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USUARIO\OneDrive\Escritorio\"/>
    </mc:Choice>
  </mc:AlternateContent>
  <bookViews>
    <workbookView xWindow="0" yWindow="0" windowWidth="19200" windowHeight="11190" tabRatio="859" firstSheet="2" activeTab="2"/>
  </bookViews>
  <sheets>
    <sheet name="Listados" sheetId="7" state="hidden" r:id="rId1"/>
    <sheet name="Matriz Riesgos Gestión" sheetId="10" state="hidden" r:id="rId2"/>
    <sheet name="Matriz Riesgos Corrupción" sheetId="6" r:id="rId3"/>
    <sheet name="Hoja1" sheetId="16" state="hidden" r:id="rId4"/>
    <sheet name="Matriz Riesgos Seg. Información" sheetId="12" state="hidden" r:id="rId5"/>
    <sheet name="Seguridad Información" sheetId="13" state="hidden" r:id="rId6"/>
    <sheet name="Probabilidad Seguridad Informac" sheetId="14" state="hidden" r:id="rId7"/>
    <sheet name="Riesgo Corrupción" sheetId="9" state="hidden" r:id="rId8"/>
    <sheet name="Corrupción" sheetId="5" state="hidden" r:id="rId9"/>
    <sheet name="CONTROLES" sheetId="11" state="hidden" r:id="rId10"/>
    <sheet name="Matriz de calificación" sheetId="4" r:id="rId11"/>
    <sheet name="Matriz de calificación (2)" sheetId="15"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10._CIFRADO.">'Seguridad Información'!$G$45:$G$46</definedName>
    <definedName name="_11._SEGURIDAD_FÍSICA_Y_AMBIENTAL.">'Seguridad Información'!$H$45:$H$59</definedName>
    <definedName name="_12._SEGURIDAD_EN_LA_OPERATIVA.">'Seguridad Información'!$I$45:$I$58</definedName>
    <definedName name="_13._SEGURIDAD_EN_LAS_TELECOMUNICACIONES.">'Seguridad Información'!$J$45:$J$51</definedName>
    <definedName name="_14._ADQUISICIÓN__DESARROLLO_Y_MANTENIMIENTO_DE_LOS_SISTEMAS_DE_INFORMACIÓN.">'Seguridad Información'!$K$45:$K$57</definedName>
    <definedName name="_15._RELACIONES_CON_SUMINISTRADORES.">'Seguridad Información'!$L$45:$L$49</definedName>
    <definedName name="_16._GESTIÓN_DE_INCIDENTES_EN_LA_SEGURIDAD_DE_LA_INFORMACIÓN.">'Seguridad Información'!$M$45:$M$51</definedName>
    <definedName name="_17._ASPECTOS_DE_SEGURIDAD_DE_LA_INFORMACION_EN_LA_GESTIÓN_DE_LA_CONTINUIDAD_DEL_NEGOCIO.">'Seguridad Información'!$N$45:$N$48</definedName>
    <definedName name="_18._CUMPLIMIENTO.">'Seguridad Información'!$O$45:$O$52</definedName>
    <definedName name="_5._POLÍTICAS_DE_SEGURIDAD.">'Seguridad Información'!$B$45:$B$46</definedName>
    <definedName name="_6._ASPECTOS_ORGANIZATIVOS_DE_LA_SEGURIDAD_DE_LA_INFORMAC.">'Seguridad Información'!$C$45:$C$51</definedName>
    <definedName name="_7._SEGURIDAD_LIGADA_A_LOS_RECURSOS_HUMANOS.">'Seguridad Información'!$D$45:$D$50</definedName>
    <definedName name="_8._GESTIÓN_DE_ACTIVOS.">'Seguridad Información'!$E$45:$E$53</definedName>
    <definedName name="_9._CONTROL_DE_ACCESOS.">'Seguridad Información'!$F$45:$F$58</definedName>
    <definedName name="_xlnm._FilterDatabase" localSheetId="2" hidden="1">'Matriz Riesgos Corrupción'!$A$1:$BW$61</definedName>
    <definedName name="_xlnm._FilterDatabase" localSheetId="1" hidden="1">'Matriz Riesgos Gestión'!$A$6:$BD$366</definedName>
    <definedName name="_xlnm._FilterDatabase" localSheetId="4" hidden="1">'Matriz Riesgos Seg. Información'!$B$6:$BI$6</definedName>
    <definedName name="_xlnm.Print_Area" localSheetId="2">'Matriz Riesgos Corrupción'!$A$1:$BK$10</definedName>
    <definedName name="_xlnm.Print_Area" localSheetId="1">'Matriz Riesgos Gestión'!$A$1:$AU$13</definedName>
    <definedName name="_xlnm.Print_Area" localSheetId="4">'Matriz Riesgos Seg. Información'!$A$1:$BI$13</definedName>
    <definedName name="CD">'Seguridad Información'!$H$3</definedName>
    <definedName name="CI">'Seguridad Información'!$I$3:$I$5</definedName>
    <definedName name="CID">'Seguridad Información'!$J$3:$J$10</definedName>
    <definedName name="Confidencialidad">'Seguridad Información'!$G$3:$G$9</definedName>
    <definedName name="CONFIDENCIALIDAD.">'Seguridad Información'!$B$20:$B$32</definedName>
    <definedName name="CONFIDENCIALIDAD_">'Seguridad Información'!$B$14:$B$16</definedName>
    <definedName name="Confidencialidad_Disponibilidad">'Seguridad Información'!$H$3</definedName>
    <definedName name="CONFIDENCIALIDAD_DISPONIBILIDAD.">'Seguridad Información'!$F$20</definedName>
    <definedName name="CONFIDENCIALIDAD_DISPONIBILIDAD_">'Seguridad Información'!$F$14</definedName>
    <definedName name="Confidencialidad_integridad">'Seguridad Información'!$I$3:$I$5</definedName>
    <definedName name="CONFIDENCIALIDAD_INTEGRIDAD.">'Seguridad Información'!$E$20:$E$32</definedName>
    <definedName name="CONFIDENCIALIDAD_INTEGRIDAD_">'Seguridad Información'!$E$14</definedName>
    <definedName name="Confidencialidad_Integridad_Disponibilidad">'Seguridad Información'!$J$3:$J$10</definedName>
    <definedName name="CONFIDENCIALIDAD_INTEGRIDAD_DISPONIBILIDAD.">'Seguridad Información'!$H$20:$H$41</definedName>
    <definedName name="CONFIDENCIALIDAD_INTEGRIDAD_DISPONIBILIDAD_">'Seguridad Información'!$H$14:$H$17</definedName>
    <definedName name="Control_Existente">[1]Hoja4!$H$3:$H$4</definedName>
    <definedName name="Disponibilidad">'Seguridad Información'!$K$3:$K$18</definedName>
    <definedName name="DISPONIBILIDAD.">'Seguridad Información'!$D$20:$D$33</definedName>
    <definedName name="DISPONIBILIDAD_">'Seguridad Información'!$D$14:$D$16</definedName>
    <definedName name="Impacto">[1]Hoja4!$F$3:$F$7</definedName>
    <definedName name="Integridad">'Seguridad Información'!$M$3:$M$6</definedName>
    <definedName name="INTEGRIDAD.">'Seguridad Información'!$C$20:$C$24</definedName>
    <definedName name="INTEGRIDAD_">'Seguridad Información'!$C$14</definedName>
    <definedName name="Integridad_Disponibilidad">'Seguridad Información'!$L$3:$L$8</definedName>
    <definedName name="INTEGRIDAD_DISPONIBILIDAD.">'Seguridad Información'!$G$20:$G$25</definedName>
    <definedName name="INTEGRIDAD_DISPONIBILIDAD_">'Seguridad Información'!$G$14</definedName>
    <definedName name="Probabilidad">[1]Hoja4!$E$3:$E$7</definedName>
    <definedName name="TIPO">'[2]Base de Datos'!$A$4:$A$8</definedName>
    <definedName name="Tipo_de_Riesgo">[1]Hoja4!$D$3:$D$9</definedName>
    <definedName name="_xlnm.Print_Titles" localSheetId="2">'Matriz Riesgos Corrupción'!$1:$6</definedName>
    <definedName name="_xlnm.Print_Titles" localSheetId="1">'Matriz Riesgos Gestión'!$1:$6</definedName>
    <definedName name="_xlnm.Print_Titles" localSheetId="4">'Matriz Riesgos Seg. Información'!$1:$6</definedName>
    <definedName name="Z_795C8354_6623_430F_B16F_866AD45BC174_.wvu.FilterData" localSheetId="2" hidden="1">'Matriz Riesgos Corrupción'!$B$6:$BK$6</definedName>
    <definedName name="Z_795C8354_6623_430F_B16F_866AD45BC174_.wvu.FilterData" localSheetId="1" hidden="1">'Matriz Riesgos Gestión'!$B$6:$AU$6</definedName>
    <definedName name="Z_795C8354_6623_430F_B16F_866AD45BC174_.wvu.FilterData" localSheetId="4" hidden="1">'Matriz Riesgos Seg. Información'!$B$6:$BI$6</definedName>
    <definedName name="Z_795C8354_6623_430F_B16F_866AD45BC174_.wvu.PrintArea" localSheetId="2" hidden="1">'Matriz Riesgos Corrupción'!$A$1:$BK$10</definedName>
    <definedName name="Z_795C8354_6623_430F_B16F_866AD45BC174_.wvu.PrintArea" localSheetId="1" hidden="1">'Matriz Riesgos Gestión'!$A$1:$AU$13</definedName>
    <definedName name="Z_795C8354_6623_430F_B16F_866AD45BC174_.wvu.PrintArea" localSheetId="4" hidden="1">'Matriz Riesgos Seg. Información'!$A$1:$BI$13</definedName>
    <definedName name="Z_795C8354_6623_430F_B16F_866AD45BC174_.wvu.PrintTitles" localSheetId="2" hidden="1">'Matriz Riesgos Corrupción'!$1:$6</definedName>
    <definedName name="Z_795C8354_6623_430F_B16F_866AD45BC174_.wvu.PrintTitles" localSheetId="1" hidden="1">'Matriz Riesgos Gestión'!$1:$6</definedName>
    <definedName name="Z_795C8354_6623_430F_B16F_866AD45BC174_.wvu.PrintTitles" localSheetId="4" hidden="1">'Matriz Riesgos Seg. Información'!$1:$6</definedName>
    <definedName name="Z_82BC0C9B_70E2_44EC_8408_64CC9B36E280_.wvu.FilterData" localSheetId="2" hidden="1">'Matriz Riesgos Corrupción'!$B$6:$BK$6</definedName>
    <definedName name="Z_82BC0C9B_70E2_44EC_8408_64CC9B36E280_.wvu.FilterData" localSheetId="1" hidden="1">'Matriz Riesgos Gestión'!$B$6:$AU$6</definedName>
    <definedName name="Z_82BC0C9B_70E2_44EC_8408_64CC9B36E280_.wvu.FilterData" localSheetId="4" hidden="1">'Matriz Riesgos Seg. Información'!$B$6:$BI$6</definedName>
    <definedName name="Z_82BC0C9B_70E2_44EC_8408_64CC9B36E280_.wvu.PrintArea" localSheetId="2" hidden="1">'Matriz Riesgos Corrupción'!$A$1:$BK$10</definedName>
    <definedName name="Z_82BC0C9B_70E2_44EC_8408_64CC9B36E280_.wvu.PrintArea" localSheetId="1" hidden="1">'Matriz Riesgos Gestión'!$A$1:$AU$13</definedName>
    <definedName name="Z_82BC0C9B_70E2_44EC_8408_64CC9B36E280_.wvu.PrintArea" localSheetId="4" hidden="1">'Matriz Riesgos Seg. Información'!$A$1:$BI$13</definedName>
    <definedName name="Z_82BC0C9B_70E2_44EC_8408_64CC9B36E280_.wvu.PrintTitles" localSheetId="2" hidden="1">'Matriz Riesgos Corrupción'!$1:$6</definedName>
    <definedName name="Z_82BC0C9B_70E2_44EC_8408_64CC9B36E280_.wvu.PrintTitles" localSheetId="1" hidden="1">'Matriz Riesgos Gestión'!$1:$6</definedName>
    <definedName name="Z_82BC0C9B_70E2_44EC_8408_64CC9B36E280_.wvu.PrintTitles" localSheetId="4" hidden="1">'Matriz Riesgos Seg. Información'!$1:$6</definedName>
    <definedName name="Z_F8FDF2EC_A9AD_41AC_8138_AA3657B53E6D_.wvu.FilterData" localSheetId="2" hidden="1">'Matriz Riesgos Corrupción'!$B$6:$BK$6</definedName>
    <definedName name="Z_F8FDF2EC_A9AD_41AC_8138_AA3657B53E6D_.wvu.FilterData" localSheetId="1" hidden="1">'Matriz Riesgos Gestión'!$B$6:$AU$6</definedName>
    <definedName name="Z_F8FDF2EC_A9AD_41AC_8138_AA3657B53E6D_.wvu.FilterData" localSheetId="4" hidden="1">'Matriz Riesgos Seg. Información'!$B$6:$BI$6</definedName>
    <definedName name="Z_F8FDF2EC_A9AD_41AC_8138_AA3657B53E6D_.wvu.PrintArea" localSheetId="2" hidden="1">'Matriz Riesgos Corrupción'!$A$1:$BK$10</definedName>
    <definedName name="Z_F8FDF2EC_A9AD_41AC_8138_AA3657B53E6D_.wvu.PrintArea" localSheetId="1" hidden="1">'Matriz Riesgos Gestión'!$A$1:$AU$13</definedName>
    <definedName name="Z_F8FDF2EC_A9AD_41AC_8138_AA3657B53E6D_.wvu.PrintArea" localSheetId="4" hidden="1">'Matriz Riesgos Seg. Información'!$A$1:$BI$13</definedName>
    <definedName name="Z_F8FDF2EC_A9AD_41AC_8138_AA3657B53E6D_.wvu.PrintTitles" localSheetId="2" hidden="1">'Matriz Riesgos Corrupción'!$1:$6</definedName>
    <definedName name="Z_F8FDF2EC_A9AD_41AC_8138_AA3657B53E6D_.wvu.PrintTitles" localSheetId="1" hidden="1">'Matriz Riesgos Gestión'!$1:$6</definedName>
    <definedName name="Z_F8FDF2EC_A9AD_41AC_8138_AA3657B53E6D_.wvu.PrintTitles" localSheetId="4" hidden="1">'Matriz Riesgos Seg. Información'!$1:$6</definedName>
  </definedNames>
  <calcPr calcId="191028"/>
  <customWorkbookViews>
    <customWorkbookView name="DIEGO ORLANDO BUSTOS FORERO - Vista personalizada" guid="{F8FDF2EC-A9AD-41AC-8138-AA3657B53E6D}" mergeInterval="0" personalView="1" maximized="1" xWindow="-8" yWindow="-8" windowWidth="1936" windowHeight="1056" tabRatio="859" activeSheetId="1" showComments="commIndAndComment"/>
    <customWorkbookView name="MAURICIO ORDOÑEZ GUTIERREZ - Vista personalizada" guid="{795C8354-6623-430F-B16F-866AD45BC174}" mergeInterval="0" personalView="1" maximized="1" xWindow="-8" yWindow="-8" windowWidth="1616" windowHeight="876" tabRatio="859" activeSheetId="1"/>
    <customWorkbookView name="LUCY MARGARITA OSORIO MASTRODOMÉNICO - Vista personalizada" guid="{82BC0C9B-70E2-44EC-8408-64CC9B36E280}" mergeInterval="0" personalView="1" maximized="1" xWindow="-8" yWindow="-8" windowWidth="1616" windowHeight="876" tabRatio="859"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9" i="6" l="1"/>
  <c r="AK53" i="6"/>
  <c r="AM53" i="6"/>
  <c r="AO53" i="6"/>
  <c r="AQ53" i="6"/>
  <c r="AS53" i="6"/>
  <c r="AU53" i="6"/>
  <c r="AK21" i="6" l="1"/>
  <c r="AM21" i="6"/>
  <c r="AO21" i="6"/>
  <c r="AQ21" i="6"/>
  <c r="AS21" i="6"/>
  <c r="AU21" i="6"/>
  <c r="C16" i="6" l="1"/>
  <c r="BB41" i="6" l="1"/>
  <c r="AX41" i="6"/>
  <c r="AY41" i="6" s="1"/>
  <c r="BA41" i="6"/>
  <c r="AA39" i="6"/>
  <c r="AD39" i="6" s="1"/>
  <c r="AC39" i="6"/>
  <c r="AU7" i="6"/>
  <c r="AS7" i="6"/>
  <c r="AQ7" i="6"/>
  <c r="AO7" i="6"/>
  <c r="AM7" i="6"/>
  <c r="AK7" i="6"/>
  <c r="BC41" i="6" l="1"/>
  <c r="AF39" i="6"/>
  <c r="AE42" i="6"/>
  <c r="BA58" i="6"/>
  <c r="AW58" i="6"/>
  <c r="BA57" i="6"/>
  <c r="AW57" i="6"/>
  <c r="BA56" i="6"/>
  <c r="AW56" i="6"/>
  <c r="AU56" i="6"/>
  <c r="AS56" i="6"/>
  <c r="AQ56" i="6"/>
  <c r="AO56" i="6"/>
  <c r="AM56" i="6"/>
  <c r="AK56" i="6"/>
  <c r="BA55" i="6"/>
  <c r="AW55" i="6"/>
  <c r="AU55" i="6"/>
  <c r="AS55" i="6"/>
  <c r="AQ55" i="6"/>
  <c r="AO55" i="6"/>
  <c r="AM55" i="6"/>
  <c r="AK55" i="6"/>
  <c r="BA54" i="6"/>
  <c r="AW54" i="6"/>
  <c r="AU54" i="6"/>
  <c r="AS54" i="6"/>
  <c r="AQ54" i="6"/>
  <c r="AO54" i="6"/>
  <c r="AM54" i="6"/>
  <c r="AK54" i="6"/>
  <c r="BA53" i="6"/>
  <c r="AW53" i="6"/>
  <c r="BA52" i="6"/>
  <c r="AW52" i="6"/>
  <c r="AU52" i="6"/>
  <c r="AS52" i="6"/>
  <c r="AQ52" i="6"/>
  <c r="AO52" i="6"/>
  <c r="AM52" i="6"/>
  <c r="AK52" i="6"/>
  <c r="BA51" i="6"/>
  <c r="AW51" i="6"/>
  <c r="AU51" i="6"/>
  <c r="AS51" i="6"/>
  <c r="AQ51" i="6"/>
  <c r="AO51" i="6"/>
  <c r="AM51" i="6"/>
  <c r="AK51" i="6"/>
  <c r="AD58" i="6"/>
  <c r="AD55" i="6"/>
  <c r="AD54" i="6"/>
  <c r="AD53" i="6"/>
  <c r="AD52" i="6"/>
  <c r="AC51" i="6"/>
  <c r="AA51" i="6"/>
  <c r="AD51" i="6" s="1"/>
  <c r="BI51" i="6" s="1"/>
  <c r="AK49" i="6"/>
  <c r="AM49" i="6"/>
  <c r="AO49" i="6"/>
  <c r="AQ49" i="6"/>
  <c r="AS49" i="6"/>
  <c r="AU49" i="6"/>
  <c r="AW49" i="6"/>
  <c r="BA49" i="6"/>
  <c r="AK50" i="6"/>
  <c r="AM50" i="6"/>
  <c r="AO50" i="6"/>
  <c r="AQ50" i="6"/>
  <c r="AS50" i="6"/>
  <c r="AU50" i="6"/>
  <c r="AW50" i="6"/>
  <c r="BA50" i="6"/>
  <c r="AX51" i="6" l="1"/>
  <c r="AY51" i="6" s="1"/>
  <c r="BB51" i="6" s="1"/>
  <c r="BC51" i="6" s="1"/>
  <c r="AX53" i="6"/>
  <c r="AY53" i="6" s="1"/>
  <c r="BB53" i="6" s="1"/>
  <c r="BC53" i="6" s="1"/>
  <c r="AX55" i="6"/>
  <c r="AY55" i="6" s="1"/>
  <c r="BB55" i="6" s="1"/>
  <c r="BC55" i="6" s="1"/>
  <c r="AX58" i="6"/>
  <c r="AY58" i="6" s="1"/>
  <c r="BB58" i="6" s="1"/>
  <c r="BC58" i="6" s="1"/>
  <c r="AX52" i="6"/>
  <c r="AY52" i="6" s="1"/>
  <c r="BB52" i="6" s="1"/>
  <c r="BC52" i="6" s="1"/>
  <c r="AX56" i="6"/>
  <c r="AY56" i="6" s="1"/>
  <c r="BB56" i="6" s="1"/>
  <c r="BC56" i="6" s="1"/>
  <c r="AX49" i="6"/>
  <c r="AY49" i="6" s="1"/>
  <c r="BB49" i="6" s="1"/>
  <c r="BC49" i="6" s="1"/>
  <c r="AX54" i="6"/>
  <c r="AY54" i="6" s="1"/>
  <c r="BB54" i="6" s="1"/>
  <c r="BC54" i="6" s="1"/>
  <c r="AX57" i="6"/>
  <c r="AY57" i="6" s="1"/>
  <c r="BB57" i="6" s="1"/>
  <c r="BC57" i="6" s="1"/>
  <c r="AF51" i="6"/>
  <c r="AE51" i="6"/>
  <c r="AX50" i="6"/>
  <c r="AY50" i="6" s="1"/>
  <c r="BB50" i="6" s="1"/>
  <c r="BC50" i="6" s="1"/>
  <c r="BD51" i="6" l="1"/>
  <c r="BE51" i="6" s="1"/>
  <c r="BF51" i="6" s="1"/>
  <c r="BG51" i="6" s="1"/>
  <c r="BH51" i="6" s="1"/>
  <c r="BJ51" i="6" s="1"/>
  <c r="BK51" i="6" s="1"/>
  <c r="BD49" i="6"/>
  <c r="BE49" i="6" s="1"/>
  <c r="BF49" i="6" s="1"/>
  <c r="BA42" i="6"/>
  <c r="AW42" i="6"/>
  <c r="AU42" i="6"/>
  <c r="AS42" i="6"/>
  <c r="AQ42" i="6"/>
  <c r="AO42" i="6"/>
  <c r="AM42" i="6"/>
  <c r="AK42" i="6"/>
  <c r="BA40" i="6"/>
  <c r="AW40" i="6"/>
  <c r="AU40" i="6"/>
  <c r="AS40" i="6"/>
  <c r="AQ40" i="6"/>
  <c r="AO40" i="6"/>
  <c r="AM40" i="6"/>
  <c r="AK40" i="6"/>
  <c r="BA39" i="6"/>
  <c r="AW39" i="6"/>
  <c r="AU39" i="6"/>
  <c r="AS39" i="6"/>
  <c r="AQ39" i="6"/>
  <c r="AO39" i="6"/>
  <c r="AM39" i="6"/>
  <c r="AK39" i="6"/>
  <c r="AX39" i="6" l="1"/>
  <c r="AY39" i="6" s="1"/>
  <c r="BB39" i="6" s="1"/>
  <c r="BC39" i="6" s="1"/>
  <c r="AX40" i="6"/>
  <c r="AY40" i="6" s="1"/>
  <c r="BB40" i="6" s="1"/>
  <c r="BC40" i="6" s="1"/>
  <c r="AX42" i="6"/>
  <c r="AY42" i="6" s="1"/>
  <c r="BB42" i="6" s="1"/>
  <c r="BC42" i="6" s="1"/>
  <c r="AX38" i="6"/>
  <c r="AY38" i="6" s="1"/>
  <c r="AD38" i="6"/>
  <c r="BA36" i="6"/>
  <c r="AW36" i="6"/>
  <c r="AU36" i="6"/>
  <c r="AS36" i="6"/>
  <c r="AQ36" i="6"/>
  <c r="AO36" i="6"/>
  <c r="AM36" i="6"/>
  <c r="AK36" i="6"/>
  <c r="AD36" i="6"/>
  <c r="BA35" i="6"/>
  <c r="AW35" i="6"/>
  <c r="AU35" i="6"/>
  <c r="AS35" i="6"/>
  <c r="AQ35" i="6"/>
  <c r="AO35" i="6"/>
  <c r="AM35" i="6"/>
  <c r="AK35" i="6"/>
  <c r="AD35" i="6"/>
  <c r="BA34" i="6"/>
  <c r="AW34" i="6"/>
  <c r="AU34" i="6"/>
  <c r="AS34" i="6"/>
  <c r="AQ34" i="6"/>
  <c r="AO34" i="6"/>
  <c r="AM34" i="6"/>
  <c r="AK34" i="6"/>
  <c r="AD34" i="6"/>
  <c r="BA33" i="6"/>
  <c r="AW33" i="6"/>
  <c r="AU33" i="6"/>
  <c r="AS33" i="6"/>
  <c r="AQ33" i="6"/>
  <c r="AO33" i="6"/>
  <c r="AM33" i="6"/>
  <c r="AK33" i="6"/>
  <c r="AD33" i="6"/>
  <c r="BA32" i="6"/>
  <c r="AW32" i="6"/>
  <c r="AU32" i="6"/>
  <c r="AS32" i="6"/>
  <c r="AQ32" i="6"/>
  <c r="AO32" i="6"/>
  <c r="AM32" i="6"/>
  <c r="AK32" i="6"/>
  <c r="AD32" i="6"/>
  <c r="BI32" i="6" s="1"/>
  <c r="AC32" i="6"/>
  <c r="C32" i="6"/>
  <c r="AX32" i="6" l="1"/>
  <c r="AY32" i="6" s="1"/>
  <c r="BB32" i="6" s="1"/>
  <c r="BC32" i="6" s="1"/>
  <c r="AX36" i="6"/>
  <c r="AY36" i="6" s="1"/>
  <c r="BB36" i="6" s="1"/>
  <c r="BC36" i="6" s="1"/>
  <c r="AX33" i="6"/>
  <c r="AY33" i="6" s="1"/>
  <c r="BB33" i="6" s="1"/>
  <c r="BC33" i="6" s="1"/>
  <c r="AX34" i="6"/>
  <c r="AY34" i="6" s="1"/>
  <c r="BB34" i="6" s="1"/>
  <c r="BC34" i="6" s="1"/>
  <c r="AX35" i="6"/>
  <c r="AY35" i="6" s="1"/>
  <c r="BB35" i="6" s="1"/>
  <c r="BC35" i="6" s="1"/>
  <c r="AE32" i="6"/>
  <c r="AF32" i="6"/>
  <c r="BD32" i="6" l="1"/>
  <c r="BE32" i="6" s="1"/>
  <c r="BF32" i="6" s="1"/>
  <c r="BG32" i="6" s="1"/>
  <c r="BH32" i="6" s="1"/>
  <c r="BJ32" i="6" s="1"/>
  <c r="BK32" i="6" s="1"/>
  <c r="AU64" i="6" l="1"/>
  <c r="AS64" i="6"/>
  <c r="AQ64" i="6"/>
  <c r="AO64" i="6"/>
  <c r="AM64" i="6"/>
  <c r="AK64" i="6"/>
  <c r="AU63" i="6"/>
  <c r="AS63" i="6"/>
  <c r="AQ63" i="6"/>
  <c r="AO63" i="6"/>
  <c r="AM63" i="6"/>
  <c r="AK63" i="6"/>
  <c r="AU62" i="6"/>
  <c r="AS62" i="6"/>
  <c r="AQ62" i="6"/>
  <c r="AO62" i="6"/>
  <c r="AM62" i="6"/>
  <c r="AK62" i="6"/>
  <c r="BA64" i="6"/>
  <c r="AW64" i="6"/>
  <c r="BA63" i="6"/>
  <c r="AW63" i="6"/>
  <c r="BA62" i="6"/>
  <c r="AW62" i="6"/>
  <c r="AC62" i="6"/>
  <c r="AA62" i="6"/>
  <c r="AD62" i="6" s="1"/>
  <c r="C62" i="6"/>
  <c r="AX63" i="6" l="1"/>
  <c r="AY63" i="6" s="1"/>
  <c r="BB63" i="6" s="1"/>
  <c r="BC63" i="6" s="1"/>
  <c r="AX64" i="6"/>
  <c r="AY64" i="6" s="1"/>
  <c r="BB64" i="6" s="1"/>
  <c r="BC64" i="6" s="1"/>
  <c r="AX62" i="6"/>
  <c r="AY62" i="6" s="1"/>
  <c r="BB62" i="6" s="1"/>
  <c r="BC62" i="6" s="1"/>
  <c r="BI62" i="6"/>
  <c r="AF62" i="6"/>
  <c r="AE62" i="6"/>
  <c r="BD62" i="6" l="1"/>
  <c r="BE62" i="6" s="1"/>
  <c r="BF62" i="6" s="1"/>
  <c r="BG62" i="6" s="1"/>
  <c r="BH62" i="6" s="1"/>
  <c r="BJ62" i="6" s="1"/>
  <c r="BK62" i="6" s="1"/>
  <c r="BA10" i="6" l="1"/>
  <c r="AW10" i="6"/>
  <c r="AU10" i="6"/>
  <c r="AS10" i="6"/>
  <c r="AQ10" i="6"/>
  <c r="AO10" i="6"/>
  <c r="AM10" i="6"/>
  <c r="AK10" i="6"/>
  <c r="AX10" i="6" l="1"/>
  <c r="AY10" i="6" s="1"/>
  <c r="BB10" i="6" s="1"/>
  <c r="BC10" i="6" s="1"/>
  <c r="AU61" i="6" l="1"/>
  <c r="AS61" i="6"/>
  <c r="AQ61" i="6"/>
  <c r="AO61" i="6"/>
  <c r="AM61" i="6"/>
  <c r="AK61" i="6"/>
  <c r="AU60" i="6"/>
  <c r="AS60" i="6"/>
  <c r="AQ60" i="6"/>
  <c r="AO60" i="6"/>
  <c r="AM60" i="6"/>
  <c r="AK60" i="6"/>
  <c r="AU18" i="6" l="1"/>
  <c r="AS18" i="6"/>
  <c r="AQ18" i="6"/>
  <c r="AO18" i="6"/>
  <c r="AM18" i="6"/>
  <c r="AK18" i="6"/>
  <c r="AU47" i="6" l="1"/>
  <c r="AS47" i="6"/>
  <c r="AQ47" i="6"/>
  <c r="AO47" i="6"/>
  <c r="AM47" i="6"/>
  <c r="AK47" i="6"/>
  <c r="AU46" i="6"/>
  <c r="AS46" i="6"/>
  <c r="AQ46" i="6"/>
  <c r="AO46" i="6"/>
  <c r="AM46" i="6"/>
  <c r="AK46" i="6"/>
  <c r="AU45" i="6"/>
  <c r="AS45" i="6"/>
  <c r="AQ45" i="6"/>
  <c r="AO45" i="6"/>
  <c r="AM45" i="6"/>
  <c r="AK45" i="6"/>
  <c r="AU44" i="6"/>
  <c r="AS44" i="6"/>
  <c r="AQ44" i="6"/>
  <c r="AO44" i="6"/>
  <c r="AM44" i="6"/>
  <c r="AK44" i="6"/>
  <c r="AU43" i="6"/>
  <c r="AS43" i="6"/>
  <c r="AQ43" i="6"/>
  <c r="AO43" i="6"/>
  <c r="AM43" i="6"/>
  <c r="AK43" i="6"/>
  <c r="AU31" i="6"/>
  <c r="AS31" i="6"/>
  <c r="AQ31" i="6"/>
  <c r="AO31" i="6"/>
  <c r="AM31" i="6"/>
  <c r="AK31" i="6"/>
  <c r="AU30" i="6"/>
  <c r="AS30" i="6"/>
  <c r="AQ30" i="6"/>
  <c r="AO30" i="6"/>
  <c r="AM30" i="6"/>
  <c r="AK30" i="6"/>
  <c r="AU29" i="6"/>
  <c r="AS29" i="6"/>
  <c r="AQ29" i="6"/>
  <c r="AO29" i="6"/>
  <c r="AM29" i="6"/>
  <c r="AK29" i="6"/>
  <c r="AU28" i="6"/>
  <c r="AS28" i="6"/>
  <c r="AQ28" i="6"/>
  <c r="AO28" i="6"/>
  <c r="AM28" i="6"/>
  <c r="AK28" i="6"/>
  <c r="AU27" i="6"/>
  <c r="AS27" i="6"/>
  <c r="AQ27" i="6"/>
  <c r="AO27" i="6"/>
  <c r="AM27" i="6"/>
  <c r="AK27" i="6"/>
  <c r="AU24" i="6"/>
  <c r="AS24" i="6"/>
  <c r="AQ24" i="6"/>
  <c r="AO24" i="6"/>
  <c r="AM24" i="6"/>
  <c r="AK24" i="6"/>
  <c r="AU23" i="6"/>
  <c r="AS23" i="6"/>
  <c r="AQ23" i="6"/>
  <c r="AO23" i="6"/>
  <c r="AM23" i="6"/>
  <c r="AK23" i="6"/>
  <c r="AU22" i="6"/>
  <c r="AU20" i="6"/>
  <c r="AS20" i="6"/>
  <c r="AQ20" i="6"/>
  <c r="AO20" i="6"/>
  <c r="AM20" i="6"/>
  <c r="AK20" i="6"/>
  <c r="AU19" i="6"/>
  <c r="AS19" i="6"/>
  <c r="AQ19" i="6"/>
  <c r="AO19" i="6"/>
  <c r="AM19" i="6"/>
  <c r="AK19" i="6"/>
  <c r="U325" i="10" l="1"/>
  <c r="W325" i="10"/>
  <c r="Y325" i="10"/>
  <c r="AA325" i="10"/>
  <c r="AC325" i="10"/>
  <c r="U326" i="10"/>
  <c r="W326" i="10"/>
  <c r="Y326" i="10"/>
  <c r="AA326" i="10"/>
  <c r="AC326" i="10"/>
  <c r="AU17" i="6" l="1"/>
  <c r="AS17" i="6"/>
  <c r="AQ17" i="6"/>
  <c r="AO17" i="6"/>
  <c r="AM17" i="6"/>
  <c r="AK17" i="6"/>
  <c r="AU16" i="6"/>
  <c r="AS16" i="6"/>
  <c r="AQ16" i="6"/>
  <c r="AO16" i="6"/>
  <c r="AM16" i="6"/>
  <c r="AK16" i="6"/>
  <c r="AA100" i="10"/>
  <c r="Y100" i="10"/>
  <c r="W100" i="10"/>
  <c r="U100" i="10"/>
  <c r="S100" i="10"/>
  <c r="AA98" i="10"/>
  <c r="Y98" i="10"/>
  <c r="W98" i="10"/>
  <c r="U98" i="10"/>
  <c r="S98" i="10"/>
  <c r="AA97" i="10"/>
  <c r="Y97" i="10"/>
  <c r="W97" i="10"/>
  <c r="U97" i="10"/>
  <c r="S97" i="10"/>
  <c r="AC93" i="10"/>
  <c r="AA93" i="10"/>
  <c r="Y93" i="10"/>
  <c r="W93" i="10"/>
  <c r="U93" i="10"/>
  <c r="S93" i="10"/>
  <c r="AC92" i="10"/>
  <c r="AA92" i="10"/>
  <c r="Y92" i="10"/>
  <c r="W92" i="10"/>
  <c r="U92" i="10"/>
  <c r="S92" i="10"/>
  <c r="AC91" i="10"/>
  <c r="AA91" i="10"/>
  <c r="Y91" i="10"/>
  <c r="W91" i="10"/>
  <c r="U91" i="10"/>
  <c r="S91" i="10"/>
  <c r="C43" i="6" l="1"/>
  <c r="C39" i="6"/>
  <c r="C30" i="6"/>
  <c r="C27" i="6"/>
  <c r="AQ11" i="6" l="1"/>
  <c r="AQ12" i="6"/>
  <c r="AQ13" i="6"/>
  <c r="AQ14" i="6"/>
  <c r="AQ15" i="6"/>
  <c r="Y8" i="10"/>
  <c r="Y9" i="10"/>
  <c r="Y10" i="10"/>
  <c r="Y11" i="10"/>
  <c r="Y12" i="10"/>
  <c r="Y13" i="10"/>
  <c r="Y14" i="10"/>
  <c r="Y15" i="10"/>
  <c r="Y16" i="10"/>
  <c r="Y17" i="10"/>
  <c r="Y18" i="10"/>
  <c r="Y19" i="10"/>
  <c r="Y20" i="10"/>
  <c r="Y21" i="10"/>
  <c r="Y22" i="10"/>
  <c r="Y23" i="10"/>
  <c r="Y24" i="10"/>
  <c r="Y25" i="10"/>
  <c r="Y26" i="10"/>
  <c r="Y27" i="10"/>
  <c r="Y28" i="10"/>
  <c r="Y29" i="10"/>
  <c r="Y30" i="10"/>
  <c r="Y31" i="10"/>
  <c r="Y32" i="10"/>
  <c r="Y33" i="10"/>
  <c r="Y34" i="10"/>
  <c r="Y35" i="10"/>
  <c r="Y36" i="10"/>
  <c r="Y37" i="10"/>
  <c r="Y38" i="10"/>
  <c r="Y39" i="10"/>
  <c r="Y40" i="10"/>
  <c r="Y41" i="10"/>
  <c r="Y42" i="10"/>
  <c r="Y43" i="10"/>
  <c r="Y44" i="10"/>
  <c r="Y45" i="10"/>
  <c r="Y46" i="10"/>
  <c r="Y47" i="10"/>
  <c r="Y48" i="10"/>
  <c r="Y49" i="10"/>
  <c r="Y50" i="10"/>
  <c r="Y51" i="10"/>
  <c r="Y52" i="10"/>
  <c r="Y53" i="10"/>
  <c r="Y54" i="10"/>
  <c r="Y55" i="10"/>
  <c r="Y56" i="10"/>
  <c r="Y57" i="10"/>
  <c r="Y58" i="10"/>
  <c r="Y59" i="10"/>
  <c r="Y60" i="10"/>
  <c r="Y61" i="10"/>
  <c r="Y62" i="10"/>
  <c r="Y63" i="10"/>
  <c r="Y64" i="10"/>
  <c r="Y65" i="10"/>
  <c r="Y66" i="10"/>
  <c r="Y67" i="10"/>
  <c r="Y68" i="10"/>
  <c r="Y69" i="10"/>
  <c r="Y70" i="10"/>
  <c r="Y71" i="10"/>
  <c r="Y72" i="10"/>
  <c r="Y73" i="10"/>
  <c r="Y74" i="10"/>
  <c r="Y75" i="10"/>
  <c r="Y76" i="10"/>
  <c r="Y77" i="10"/>
  <c r="Y78" i="10"/>
  <c r="Y79" i="10"/>
  <c r="Y80" i="10"/>
  <c r="Y81" i="10"/>
  <c r="Y82" i="10"/>
  <c r="Y83" i="10"/>
  <c r="Y84" i="10"/>
  <c r="Y85" i="10"/>
  <c r="Y86" i="10"/>
  <c r="Y87" i="10"/>
  <c r="Y88" i="10"/>
  <c r="Y89" i="10"/>
  <c r="Y90" i="10"/>
  <c r="Y94" i="10"/>
  <c r="Y95" i="10"/>
  <c r="Y96" i="10"/>
  <c r="Y99" i="10"/>
  <c r="Y101" i="10"/>
  <c r="Y102" i="10"/>
  <c r="Y103" i="10"/>
  <c r="Y104" i="10"/>
  <c r="Y105" i="10"/>
  <c r="Y106" i="10"/>
  <c r="Y107" i="10"/>
  <c r="Y108" i="10"/>
  <c r="Y109" i="10"/>
  <c r="Y110" i="10"/>
  <c r="Y111" i="10"/>
  <c r="Y112" i="10"/>
  <c r="Y113" i="10"/>
  <c r="Y114" i="10"/>
  <c r="Y115" i="10"/>
  <c r="Y116" i="10"/>
  <c r="Y117" i="10"/>
  <c r="Y118" i="10"/>
  <c r="Y119" i="10"/>
  <c r="Y120" i="10"/>
  <c r="Y121" i="10"/>
  <c r="Y122" i="10"/>
  <c r="Y123" i="10"/>
  <c r="Y124" i="10"/>
  <c r="Y125" i="10"/>
  <c r="Y126" i="10"/>
  <c r="Y127" i="10"/>
  <c r="Y128" i="10"/>
  <c r="Y129" i="10"/>
  <c r="Y130" i="10"/>
  <c r="Y131" i="10"/>
  <c r="Y132" i="10"/>
  <c r="Y133" i="10"/>
  <c r="Y134" i="10"/>
  <c r="Y135" i="10"/>
  <c r="Y136" i="10"/>
  <c r="Y137" i="10"/>
  <c r="Y138" i="10"/>
  <c r="Y139" i="10"/>
  <c r="Y140" i="10"/>
  <c r="Y141" i="10"/>
  <c r="Y142" i="10"/>
  <c r="Y143" i="10"/>
  <c r="Y144" i="10"/>
  <c r="Y145" i="10"/>
  <c r="Y146" i="10"/>
  <c r="Y147" i="10"/>
  <c r="Y148" i="10"/>
  <c r="Y149" i="10"/>
  <c r="Y150" i="10"/>
  <c r="Y151" i="10"/>
  <c r="Y152" i="10"/>
  <c r="Y153" i="10"/>
  <c r="Y154" i="10"/>
  <c r="Y155" i="10"/>
  <c r="Y156" i="10"/>
  <c r="Y157" i="10"/>
  <c r="Y158" i="10"/>
  <c r="Y159" i="10"/>
  <c r="Y160" i="10"/>
  <c r="Y161" i="10"/>
  <c r="Y162" i="10"/>
  <c r="Y163" i="10"/>
  <c r="Y164" i="10"/>
  <c r="Y165" i="10"/>
  <c r="Y166" i="10"/>
  <c r="Y167" i="10"/>
  <c r="Y168" i="10"/>
  <c r="Y169" i="10"/>
  <c r="Y170" i="10"/>
  <c r="Y171" i="10"/>
  <c r="Y172" i="10"/>
  <c r="Y173" i="10"/>
  <c r="Y174" i="10"/>
  <c r="Y175" i="10"/>
  <c r="Y176" i="10"/>
  <c r="Y177" i="10"/>
  <c r="Y178" i="10"/>
  <c r="Y179" i="10"/>
  <c r="Y180" i="10"/>
  <c r="Y181" i="10"/>
  <c r="Y182" i="10"/>
  <c r="Y183" i="10"/>
  <c r="Y184" i="10"/>
  <c r="Y185" i="10"/>
  <c r="Y186" i="10"/>
  <c r="Y187" i="10"/>
  <c r="Y188" i="10"/>
  <c r="Y189" i="10"/>
  <c r="Y190" i="10"/>
  <c r="Y191" i="10"/>
  <c r="Y192" i="10"/>
  <c r="Y193" i="10"/>
  <c r="Y194" i="10"/>
  <c r="Y195" i="10"/>
  <c r="Y196" i="10"/>
  <c r="Y197" i="10"/>
  <c r="Y198" i="10"/>
  <c r="Y199" i="10"/>
  <c r="Y200" i="10"/>
  <c r="Y201" i="10"/>
  <c r="Y202" i="10"/>
  <c r="Y203" i="10"/>
  <c r="Y204" i="10"/>
  <c r="Y205" i="10"/>
  <c r="Y206" i="10"/>
  <c r="Y207" i="10"/>
  <c r="Y208" i="10"/>
  <c r="Y209" i="10"/>
  <c r="Y210" i="10"/>
  <c r="Y211" i="10"/>
  <c r="Y212" i="10"/>
  <c r="Y213" i="10"/>
  <c r="Y214" i="10"/>
  <c r="Y215" i="10"/>
  <c r="Y216" i="10"/>
  <c r="Y217" i="10"/>
  <c r="Y218" i="10"/>
  <c r="Y219" i="10"/>
  <c r="Y220" i="10"/>
  <c r="Y221" i="10"/>
  <c r="Y222" i="10"/>
  <c r="Y223" i="10"/>
  <c r="Y224" i="10"/>
  <c r="Y225" i="10"/>
  <c r="Y226" i="10"/>
  <c r="Y227" i="10"/>
  <c r="Y228" i="10"/>
  <c r="Y229" i="10"/>
  <c r="Y230" i="10"/>
  <c r="Y231" i="10"/>
  <c r="Y232" i="10"/>
  <c r="Y233" i="10"/>
  <c r="Y234" i="10"/>
  <c r="Y235" i="10"/>
  <c r="Y236" i="10"/>
  <c r="Y237" i="10"/>
  <c r="Y238" i="10"/>
  <c r="Y239" i="10"/>
  <c r="Y240" i="10"/>
  <c r="Y241" i="10"/>
  <c r="Y242" i="10"/>
  <c r="Y243" i="10"/>
  <c r="Y244" i="10"/>
  <c r="Y245" i="10"/>
  <c r="Y246" i="10"/>
  <c r="Y247" i="10"/>
  <c r="Y248" i="10"/>
  <c r="Y249" i="10"/>
  <c r="Y250" i="10"/>
  <c r="Y251" i="10"/>
  <c r="Y252" i="10"/>
  <c r="Y253" i="10"/>
  <c r="Y254" i="10"/>
  <c r="Y255" i="10"/>
  <c r="Y256" i="10"/>
  <c r="Y257" i="10"/>
  <c r="Y258" i="10"/>
  <c r="Y259" i="10"/>
  <c r="Y260" i="10"/>
  <c r="Y261" i="10"/>
  <c r="Y262" i="10"/>
  <c r="Y263" i="10"/>
  <c r="Y264" i="10"/>
  <c r="Y265" i="10"/>
  <c r="Y266" i="10"/>
  <c r="Y267" i="10"/>
  <c r="Y268" i="10"/>
  <c r="Y269" i="10"/>
  <c r="Y270" i="10"/>
  <c r="Y271" i="10"/>
  <c r="Y272" i="10"/>
  <c r="Y273" i="10"/>
  <c r="Y274" i="10"/>
  <c r="Y275" i="10"/>
  <c r="Y276" i="10"/>
  <c r="Y277" i="10"/>
  <c r="Y278" i="10"/>
  <c r="Y279" i="10"/>
  <c r="Y280" i="10"/>
  <c r="Y281" i="10"/>
  <c r="Y282" i="10"/>
  <c r="Y283" i="10"/>
  <c r="Y284" i="10"/>
  <c r="Y285" i="10"/>
  <c r="Y286" i="10"/>
  <c r="Y287" i="10"/>
  <c r="Y288" i="10"/>
  <c r="Y289" i="10"/>
  <c r="Y290" i="10"/>
  <c r="Y291" i="10"/>
  <c r="Y292" i="10"/>
  <c r="Y293" i="10"/>
  <c r="Y294" i="10"/>
  <c r="Y295" i="10"/>
  <c r="Y296" i="10"/>
  <c r="Y297" i="10"/>
  <c r="Y298" i="10"/>
  <c r="Y299" i="10"/>
  <c r="Y300" i="10"/>
  <c r="Y301" i="10"/>
  <c r="Y302" i="10"/>
  <c r="Y303" i="10"/>
  <c r="Y304" i="10"/>
  <c r="Y305" i="10"/>
  <c r="Y306" i="10"/>
  <c r="Y307" i="10"/>
  <c r="Y308" i="10"/>
  <c r="Y309" i="10"/>
  <c r="Y310" i="10"/>
  <c r="Y311" i="10"/>
  <c r="Y312" i="10"/>
  <c r="Y313" i="10"/>
  <c r="Y314" i="10"/>
  <c r="Y315" i="10"/>
  <c r="Y316" i="10"/>
  <c r="Y317" i="10"/>
  <c r="Y318" i="10"/>
  <c r="Y319" i="10"/>
  <c r="Y320" i="10"/>
  <c r="Y321" i="10"/>
  <c r="Y322" i="10"/>
  <c r="Y323" i="10"/>
  <c r="Y324" i="10"/>
  <c r="Y327" i="10"/>
  <c r="Y328" i="10"/>
  <c r="Y329" i="10"/>
  <c r="Y330" i="10"/>
  <c r="Y331" i="10"/>
  <c r="Y332" i="10"/>
  <c r="Y333" i="10"/>
  <c r="Y334" i="10"/>
  <c r="Y335" i="10"/>
  <c r="Y336" i="10"/>
  <c r="Y337" i="10"/>
  <c r="Y338" i="10"/>
  <c r="Y339" i="10"/>
  <c r="Y340" i="10"/>
  <c r="Y341" i="10"/>
  <c r="Y342" i="10"/>
  <c r="Y343" i="10"/>
  <c r="Y344" i="10"/>
  <c r="Y345" i="10"/>
  <c r="Y346" i="10"/>
  <c r="Y347" i="10"/>
  <c r="Y348" i="10"/>
  <c r="Y349" i="10"/>
  <c r="Y350" i="10"/>
  <c r="Y351" i="10"/>
  <c r="Y352" i="10"/>
  <c r="Y353" i="10"/>
  <c r="Y354" i="10"/>
  <c r="Y355" i="10"/>
  <c r="Y356" i="10"/>
  <c r="Y357" i="10"/>
  <c r="Y358" i="10"/>
  <c r="Y359" i="10"/>
  <c r="Y360" i="10"/>
  <c r="Y361" i="10"/>
  <c r="Y362" i="10"/>
  <c r="Y363" i="10"/>
  <c r="Y364" i="10"/>
  <c r="Y365" i="10"/>
  <c r="Y366" i="10"/>
  <c r="Y7" i="10"/>
  <c r="C193" i="10" l="1"/>
  <c r="C187" i="10"/>
  <c r="C181" i="10"/>
  <c r="C175" i="10"/>
  <c r="C169" i="10"/>
  <c r="K283" i="10" l="1"/>
  <c r="K277" i="10" l="1"/>
  <c r="K271" i="10"/>
  <c r="K265" i="10" l="1"/>
  <c r="C265" i="10"/>
  <c r="K259" i="10"/>
  <c r="C259" i="10"/>
  <c r="K253" i="10"/>
  <c r="C253" i="10"/>
  <c r="K247" i="10"/>
  <c r="C247" i="10"/>
  <c r="K91" i="10" l="1"/>
  <c r="BA14" i="6" l="1"/>
  <c r="AU14" i="6"/>
  <c r="AS14" i="6"/>
  <c r="AO14" i="6"/>
  <c r="AM14" i="6"/>
  <c r="AK14" i="6"/>
  <c r="AD13" i="6" l="1"/>
  <c r="C13" i="10" l="1"/>
  <c r="K19" i="10"/>
  <c r="K13" i="10" l="1"/>
  <c r="M13" i="10"/>
  <c r="N13" i="10"/>
  <c r="AU8" i="12" l="1"/>
  <c r="AU9" i="12"/>
  <c r="AU10" i="12"/>
  <c r="AU11" i="12"/>
  <c r="AU12" i="12"/>
  <c r="AU13" i="12"/>
  <c r="AU14" i="12"/>
  <c r="AU15" i="12"/>
  <c r="AU16" i="12"/>
  <c r="AU17" i="12"/>
  <c r="AU18" i="12"/>
  <c r="AU19" i="12"/>
  <c r="AU20" i="12"/>
  <c r="AU21" i="12"/>
  <c r="AU22" i="12"/>
  <c r="AU23" i="12"/>
  <c r="AU24" i="12"/>
  <c r="AU25" i="12"/>
  <c r="AU26" i="12"/>
  <c r="AU27" i="12"/>
  <c r="AU28" i="12"/>
  <c r="AU29" i="12"/>
  <c r="AU30" i="12"/>
  <c r="AU31" i="12"/>
  <c r="AU32" i="12"/>
  <c r="AU33" i="12"/>
  <c r="AU34" i="12"/>
  <c r="AU35" i="12"/>
  <c r="AU36" i="12"/>
  <c r="AU37" i="12"/>
  <c r="AU38" i="12"/>
  <c r="AU39" i="12"/>
  <c r="AU40" i="12"/>
  <c r="AU41" i="12"/>
  <c r="AU42" i="12"/>
  <c r="AU43" i="12"/>
  <c r="AU44" i="12"/>
  <c r="AU45" i="12"/>
  <c r="AU46" i="12"/>
  <c r="AU47" i="12"/>
  <c r="AU48" i="12"/>
  <c r="AU49" i="12"/>
  <c r="AU50" i="12"/>
  <c r="AU51" i="12"/>
  <c r="AU52" i="12"/>
  <c r="AU53" i="12"/>
  <c r="AU54" i="12"/>
  <c r="AU55" i="12"/>
  <c r="AU56" i="12"/>
  <c r="AU57" i="12"/>
  <c r="AU58" i="12"/>
  <c r="AU59" i="12"/>
  <c r="AU60" i="12"/>
  <c r="AU61" i="12"/>
  <c r="AU62" i="12"/>
  <c r="AU63" i="12"/>
  <c r="AU64" i="12"/>
  <c r="AU65" i="12"/>
  <c r="AU66" i="12"/>
  <c r="AU67" i="12"/>
  <c r="AU68" i="12"/>
  <c r="AU69" i="12"/>
  <c r="AU70" i="12"/>
  <c r="AU71" i="12"/>
  <c r="AU72" i="12"/>
  <c r="AU73" i="12"/>
  <c r="AU74" i="12"/>
  <c r="AU75" i="12"/>
  <c r="AU76" i="12"/>
  <c r="AU77" i="12"/>
  <c r="AU78" i="12"/>
  <c r="AU79" i="12"/>
  <c r="AU80" i="12"/>
  <c r="AU81" i="12"/>
  <c r="AU82" i="12"/>
  <c r="AU83" i="12"/>
  <c r="AU84" i="12"/>
  <c r="AU85" i="12"/>
  <c r="AU86" i="12"/>
  <c r="AU87" i="12"/>
  <c r="AU88" i="12"/>
  <c r="AU89" i="12"/>
  <c r="AU90" i="12"/>
  <c r="AU91" i="12"/>
  <c r="AU92" i="12"/>
  <c r="AU93" i="12"/>
  <c r="AU94" i="12"/>
  <c r="AU95" i="12"/>
  <c r="AU96" i="12"/>
  <c r="AU97" i="12"/>
  <c r="AU98" i="12"/>
  <c r="AU99" i="12"/>
  <c r="AU100" i="12"/>
  <c r="AU101" i="12"/>
  <c r="AU102" i="12"/>
  <c r="AU103" i="12"/>
  <c r="AU104" i="12"/>
  <c r="AU105" i="12"/>
  <c r="AU106" i="12"/>
  <c r="AU107" i="12"/>
  <c r="AU108" i="12"/>
  <c r="AU109" i="12"/>
  <c r="AU110" i="12"/>
  <c r="AU111" i="12"/>
  <c r="AU112" i="12"/>
  <c r="AU113" i="12"/>
  <c r="AU114" i="12"/>
  <c r="AU115" i="12"/>
  <c r="AU116" i="12"/>
  <c r="AU117" i="12"/>
  <c r="AU118" i="12"/>
  <c r="AU119" i="12"/>
  <c r="AU120" i="12"/>
  <c r="AU121" i="12"/>
  <c r="AU122" i="12"/>
  <c r="AU123" i="12"/>
  <c r="AU124" i="12"/>
  <c r="AU125" i="12"/>
  <c r="AU126" i="12"/>
  <c r="AU127" i="12"/>
  <c r="AU128" i="12"/>
  <c r="AU129" i="12"/>
  <c r="AU130" i="12"/>
  <c r="AU131" i="12"/>
  <c r="AU132" i="12"/>
  <c r="AU133" i="12"/>
  <c r="AU134" i="12"/>
  <c r="AU135" i="12"/>
  <c r="AU136" i="12"/>
  <c r="AU137" i="12"/>
  <c r="AU138" i="12"/>
  <c r="AU139" i="12"/>
  <c r="AU140" i="12"/>
  <c r="AU141" i="12"/>
  <c r="AU142" i="12"/>
  <c r="AU143" i="12"/>
  <c r="AU144" i="12"/>
  <c r="AU145" i="12"/>
  <c r="AU146" i="12"/>
  <c r="AU147" i="12"/>
  <c r="AU148" i="12"/>
  <c r="AU149" i="12"/>
  <c r="AU150" i="12"/>
  <c r="AU151" i="12"/>
  <c r="AU152" i="12"/>
  <c r="AU153" i="12"/>
  <c r="AU154" i="12"/>
  <c r="AU155" i="12"/>
  <c r="AU156" i="12"/>
  <c r="AU157" i="12"/>
  <c r="AU158" i="12"/>
  <c r="AU159" i="12"/>
  <c r="AU160" i="12"/>
  <c r="AU161" i="12"/>
  <c r="AU162" i="12"/>
  <c r="AU163" i="12"/>
  <c r="AU164" i="12"/>
  <c r="AU165" i="12"/>
  <c r="AU166" i="12"/>
  <c r="AU167" i="12"/>
  <c r="AU168" i="12"/>
  <c r="AU169" i="12"/>
  <c r="AU170" i="12"/>
  <c r="AU171" i="12"/>
  <c r="AU172" i="12"/>
  <c r="AU173" i="12"/>
  <c r="AU174" i="12"/>
  <c r="AU175" i="12"/>
  <c r="AU176" i="12"/>
  <c r="AU177" i="12"/>
  <c r="AU178" i="12"/>
  <c r="AU179" i="12"/>
  <c r="AU180" i="12"/>
  <c r="AU181" i="12"/>
  <c r="AU182" i="12"/>
  <c r="AU183" i="12"/>
  <c r="AU184" i="12"/>
  <c r="AU185" i="12"/>
  <c r="AU186" i="12"/>
  <c r="AU187" i="12"/>
  <c r="AU188" i="12"/>
  <c r="AU189" i="12"/>
  <c r="AU190" i="12"/>
  <c r="AU191" i="12"/>
  <c r="AU192" i="12"/>
  <c r="AU193" i="12"/>
  <c r="AU194" i="12"/>
  <c r="AU195" i="12"/>
  <c r="AU196" i="12"/>
  <c r="AU197" i="12"/>
  <c r="AU198" i="12"/>
  <c r="AU199" i="12"/>
  <c r="AU200" i="12"/>
  <c r="AU201" i="12"/>
  <c r="AU202" i="12"/>
  <c r="AU203" i="12"/>
  <c r="AU204" i="12"/>
  <c r="AU205" i="12"/>
  <c r="AU206" i="12"/>
  <c r="AU207" i="12"/>
  <c r="AU208" i="12"/>
  <c r="AU209" i="12"/>
  <c r="AU210" i="12"/>
  <c r="AU211" i="12"/>
  <c r="AU212" i="12"/>
  <c r="AU213" i="12"/>
  <c r="AU214" i="12"/>
  <c r="AU215" i="12"/>
  <c r="AU216" i="12"/>
  <c r="AU217" i="12"/>
  <c r="AU218" i="12"/>
  <c r="AU219" i="12"/>
  <c r="AU220" i="12"/>
  <c r="AU221" i="12"/>
  <c r="AU222" i="12"/>
  <c r="AU223" i="12"/>
  <c r="AU224" i="12"/>
  <c r="AU225" i="12"/>
  <c r="AU226" i="12"/>
  <c r="AU227" i="12"/>
  <c r="AU228" i="12"/>
  <c r="AU229" i="12"/>
  <c r="AU230" i="12"/>
  <c r="AU231" i="12"/>
  <c r="AU232" i="12"/>
  <c r="AU233" i="12"/>
  <c r="AU234" i="12"/>
  <c r="AU235" i="12"/>
  <c r="AU236" i="12"/>
  <c r="AU237" i="12"/>
  <c r="AU238" i="12"/>
  <c r="AU239" i="12"/>
  <c r="AU240" i="12"/>
  <c r="AU241" i="12"/>
  <c r="AU242" i="12"/>
  <c r="AU243" i="12"/>
  <c r="AU244" i="12"/>
  <c r="AU245" i="12"/>
  <c r="AU246" i="12"/>
  <c r="AU247" i="12"/>
  <c r="AU248" i="12"/>
  <c r="AU249" i="12"/>
  <c r="AU250" i="12"/>
  <c r="AU251" i="12"/>
  <c r="AU252" i="12"/>
  <c r="AU253" i="12"/>
  <c r="AU254" i="12"/>
  <c r="AU255" i="12"/>
  <c r="AU256" i="12"/>
  <c r="AU257" i="12"/>
  <c r="AU258" i="12"/>
  <c r="AU259" i="12"/>
  <c r="AU260" i="12"/>
  <c r="AU261" i="12"/>
  <c r="AU262" i="12"/>
  <c r="AU263" i="12"/>
  <c r="AU264" i="12"/>
  <c r="AU265" i="12"/>
  <c r="AU266" i="12"/>
  <c r="AU267" i="12"/>
  <c r="AU268" i="12"/>
  <c r="AU269" i="12"/>
  <c r="AU270" i="12"/>
  <c r="AU271" i="12"/>
  <c r="AU272" i="12"/>
  <c r="AU273" i="12"/>
  <c r="AU274" i="12"/>
  <c r="AU275" i="12"/>
  <c r="AU276" i="12"/>
  <c r="AU277" i="12"/>
  <c r="AU278" i="12"/>
  <c r="AU279" i="12"/>
  <c r="AU280" i="12"/>
  <c r="AU281" i="12"/>
  <c r="AU282" i="12"/>
  <c r="AU283" i="12"/>
  <c r="AU284" i="12"/>
  <c r="AU285" i="12"/>
  <c r="AU286" i="12"/>
  <c r="AU287" i="12"/>
  <c r="AU288" i="12"/>
  <c r="AU289" i="12"/>
  <c r="AU290" i="12"/>
  <c r="AU291" i="12"/>
  <c r="AU292" i="12"/>
  <c r="AU293" i="12"/>
  <c r="AU294" i="12"/>
  <c r="AU295" i="12"/>
  <c r="AU296" i="12"/>
  <c r="AU297" i="12"/>
  <c r="AU298" i="12"/>
  <c r="AU299" i="12"/>
  <c r="AU300" i="12"/>
  <c r="AU301" i="12"/>
  <c r="AU302" i="12"/>
  <c r="AU303" i="12"/>
  <c r="AU304" i="12"/>
  <c r="AU305" i="12"/>
  <c r="AU306" i="12"/>
  <c r="AU307" i="12"/>
  <c r="AU308" i="12"/>
  <c r="AU309" i="12"/>
  <c r="AU310" i="12"/>
  <c r="AU311" i="12"/>
  <c r="AU312" i="12"/>
  <c r="AU313" i="12"/>
  <c r="AU314" i="12"/>
  <c r="AU315" i="12"/>
  <c r="AU316" i="12"/>
  <c r="AU317" i="12"/>
  <c r="AU318" i="12"/>
  <c r="AU319" i="12"/>
  <c r="AU320" i="12"/>
  <c r="AU321" i="12"/>
  <c r="AU322" i="12"/>
  <c r="AU323" i="12"/>
  <c r="AU324" i="12"/>
  <c r="AU325" i="12"/>
  <c r="AU326" i="12"/>
  <c r="AU327" i="12"/>
  <c r="AU328" i="12"/>
  <c r="AU329" i="12"/>
  <c r="AU330" i="12"/>
  <c r="AU331" i="12"/>
  <c r="AU332" i="12"/>
  <c r="AU333" i="12"/>
  <c r="AU334" i="12"/>
  <c r="AU335" i="12"/>
  <c r="AU336" i="12"/>
  <c r="AU337" i="12"/>
  <c r="AU338" i="12"/>
  <c r="AU339" i="12"/>
  <c r="AU340" i="12"/>
  <c r="AU341" i="12"/>
  <c r="AU342" i="12"/>
  <c r="AU343" i="12"/>
  <c r="AU344" i="12"/>
  <c r="AU345" i="12"/>
  <c r="AU346" i="12"/>
  <c r="AU347" i="12"/>
  <c r="AU348" i="12"/>
  <c r="AU349" i="12"/>
  <c r="AU350" i="12"/>
  <c r="AU351" i="12"/>
  <c r="AU352" i="12"/>
  <c r="AU353" i="12"/>
  <c r="AU354" i="12"/>
  <c r="AU355" i="12"/>
  <c r="AU356" i="12"/>
  <c r="AU357" i="12"/>
  <c r="AU358" i="12"/>
  <c r="AU359" i="12"/>
  <c r="AU360" i="12"/>
  <c r="AU361" i="12"/>
  <c r="AU362" i="12"/>
  <c r="AU363" i="12"/>
  <c r="AU364" i="12"/>
  <c r="AU365" i="12"/>
  <c r="AU366" i="12"/>
  <c r="AU7" i="12"/>
  <c r="AW9" i="12" l="1"/>
  <c r="AX9" i="12" s="1"/>
  <c r="AW10" i="12"/>
  <c r="AX10" i="12" s="1"/>
  <c r="AW12" i="12"/>
  <c r="AX12" i="12" s="1"/>
  <c r="AW13" i="12"/>
  <c r="AX13" i="12" s="1"/>
  <c r="AW14" i="12"/>
  <c r="AX14" i="12" s="1"/>
  <c r="AW15" i="12"/>
  <c r="AX15" i="12" s="1"/>
  <c r="AW16" i="12"/>
  <c r="AX16" i="12" s="1"/>
  <c r="AW17" i="12"/>
  <c r="AX17" i="12" s="1"/>
  <c r="AW18" i="12"/>
  <c r="AX18" i="12" s="1"/>
  <c r="AW19" i="12"/>
  <c r="AX19" i="12" s="1"/>
  <c r="AW20" i="12"/>
  <c r="AX20" i="12" s="1"/>
  <c r="AW21" i="12"/>
  <c r="AX21" i="12" s="1"/>
  <c r="AW22" i="12"/>
  <c r="AX22" i="12" s="1"/>
  <c r="AW23" i="12"/>
  <c r="AX23" i="12" s="1"/>
  <c r="AW24" i="12"/>
  <c r="AX24" i="12" s="1"/>
  <c r="AW25" i="12"/>
  <c r="AX25" i="12" s="1"/>
  <c r="AW26" i="12"/>
  <c r="AX26" i="12" s="1"/>
  <c r="AW27" i="12"/>
  <c r="AX27" i="12" s="1"/>
  <c r="AW28" i="12"/>
  <c r="AX28" i="12" s="1"/>
  <c r="AW29" i="12"/>
  <c r="AX29" i="12" s="1"/>
  <c r="AW30" i="12"/>
  <c r="AX30" i="12" s="1"/>
  <c r="AW31" i="12"/>
  <c r="AX31" i="12" s="1"/>
  <c r="AW32" i="12"/>
  <c r="AX32" i="12" s="1"/>
  <c r="AW33" i="12"/>
  <c r="AX33" i="12" s="1"/>
  <c r="AW34" i="12"/>
  <c r="AX34" i="12" s="1"/>
  <c r="AW35" i="12"/>
  <c r="AX35" i="12" s="1"/>
  <c r="AW36" i="12"/>
  <c r="AX36" i="12" s="1"/>
  <c r="AW37" i="12"/>
  <c r="AX37" i="12" s="1"/>
  <c r="AW38" i="12"/>
  <c r="AX38" i="12" s="1"/>
  <c r="AW39" i="12"/>
  <c r="AX39" i="12" s="1"/>
  <c r="AW40" i="12"/>
  <c r="AX40" i="12" s="1"/>
  <c r="AW41" i="12"/>
  <c r="AX41" i="12" s="1"/>
  <c r="AW42" i="12"/>
  <c r="AX42" i="12" s="1"/>
  <c r="AW43" i="12"/>
  <c r="AX43" i="12" s="1"/>
  <c r="AW44" i="12"/>
  <c r="AX44" i="12" s="1"/>
  <c r="AW45" i="12"/>
  <c r="AX45" i="12" s="1"/>
  <c r="AW46" i="12"/>
  <c r="AX46" i="12" s="1"/>
  <c r="AW47" i="12"/>
  <c r="AX47" i="12" s="1"/>
  <c r="AW48" i="12"/>
  <c r="AX48" i="12" s="1"/>
  <c r="AW49" i="12"/>
  <c r="AX49" i="12" s="1"/>
  <c r="AW50" i="12"/>
  <c r="AX50" i="12" s="1"/>
  <c r="AW51" i="12"/>
  <c r="AX51" i="12" s="1"/>
  <c r="AW52" i="12"/>
  <c r="AX52" i="12" s="1"/>
  <c r="AW53" i="12"/>
  <c r="AX53" i="12" s="1"/>
  <c r="AW54" i="12"/>
  <c r="AX54" i="12" s="1"/>
  <c r="AW55" i="12"/>
  <c r="AX55" i="12" s="1"/>
  <c r="AW56" i="12"/>
  <c r="AX56" i="12" s="1"/>
  <c r="AW57" i="12"/>
  <c r="AX57" i="12" s="1"/>
  <c r="AW58" i="12"/>
  <c r="AX58" i="12" s="1"/>
  <c r="AW59" i="12"/>
  <c r="AX59" i="12" s="1"/>
  <c r="AW60" i="12"/>
  <c r="AX60" i="12" s="1"/>
  <c r="AW61" i="12"/>
  <c r="AX61" i="12" s="1"/>
  <c r="AW62" i="12"/>
  <c r="AX62" i="12" s="1"/>
  <c r="AW63" i="12"/>
  <c r="AX63" i="12" s="1"/>
  <c r="AW64" i="12"/>
  <c r="AX64" i="12" s="1"/>
  <c r="AW65" i="12"/>
  <c r="AX65" i="12" s="1"/>
  <c r="AW66" i="12"/>
  <c r="AX66" i="12" s="1"/>
  <c r="AW67" i="12"/>
  <c r="AX67" i="12" s="1"/>
  <c r="AW68" i="12"/>
  <c r="AX68" i="12" s="1"/>
  <c r="AW69" i="12"/>
  <c r="AX69" i="12" s="1"/>
  <c r="AW70" i="12"/>
  <c r="AX70" i="12" s="1"/>
  <c r="AW71" i="12"/>
  <c r="AX71" i="12" s="1"/>
  <c r="AW72" i="12"/>
  <c r="AX72" i="12" s="1"/>
  <c r="AW73" i="12"/>
  <c r="AX73" i="12" s="1"/>
  <c r="AW74" i="12"/>
  <c r="AX74" i="12" s="1"/>
  <c r="AW75" i="12"/>
  <c r="AX75" i="12" s="1"/>
  <c r="AW76" i="12"/>
  <c r="AX76" i="12" s="1"/>
  <c r="AW77" i="12"/>
  <c r="AX77" i="12" s="1"/>
  <c r="AW78" i="12"/>
  <c r="AX78" i="12" s="1"/>
  <c r="AW79" i="12"/>
  <c r="AX79" i="12" s="1"/>
  <c r="AW80" i="12"/>
  <c r="AX80" i="12" s="1"/>
  <c r="AW81" i="12"/>
  <c r="AX81" i="12" s="1"/>
  <c r="AW82" i="12"/>
  <c r="AX82" i="12" s="1"/>
  <c r="AW83" i="12"/>
  <c r="AX83" i="12" s="1"/>
  <c r="AW84" i="12"/>
  <c r="AX84" i="12" s="1"/>
  <c r="AW85" i="12"/>
  <c r="AX85" i="12" s="1"/>
  <c r="AW86" i="12"/>
  <c r="AX86" i="12" s="1"/>
  <c r="AW87" i="12"/>
  <c r="AX87" i="12" s="1"/>
  <c r="AW88" i="12"/>
  <c r="AX88" i="12" s="1"/>
  <c r="AW89" i="12"/>
  <c r="AX89" i="12" s="1"/>
  <c r="AW90" i="12"/>
  <c r="AX90" i="12" s="1"/>
  <c r="AW91" i="12"/>
  <c r="AX91" i="12" s="1"/>
  <c r="AW92" i="12"/>
  <c r="AX92" i="12" s="1"/>
  <c r="AW93" i="12"/>
  <c r="AX93" i="12" s="1"/>
  <c r="AW94" i="12"/>
  <c r="AX94" i="12" s="1"/>
  <c r="AW95" i="12"/>
  <c r="AX95" i="12" s="1"/>
  <c r="AW96" i="12"/>
  <c r="AX96" i="12" s="1"/>
  <c r="AW97" i="12"/>
  <c r="AX97" i="12" s="1"/>
  <c r="AW98" i="12"/>
  <c r="AX98" i="12" s="1"/>
  <c r="AW99" i="12"/>
  <c r="AX99" i="12" s="1"/>
  <c r="AW100" i="12"/>
  <c r="AX100" i="12" s="1"/>
  <c r="AW101" i="12"/>
  <c r="AX101" i="12" s="1"/>
  <c r="AW102" i="12"/>
  <c r="AX102" i="12" s="1"/>
  <c r="AW103" i="12"/>
  <c r="AX103" i="12" s="1"/>
  <c r="AW104" i="12"/>
  <c r="AX104" i="12" s="1"/>
  <c r="AW105" i="12"/>
  <c r="AX105" i="12" s="1"/>
  <c r="AW106" i="12"/>
  <c r="AX106" i="12" s="1"/>
  <c r="AW107" i="12"/>
  <c r="AX107" i="12" s="1"/>
  <c r="AW108" i="12"/>
  <c r="AX108" i="12" s="1"/>
  <c r="AW109" i="12"/>
  <c r="AX109" i="12" s="1"/>
  <c r="AW110" i="12"/>
  <c r="AX110" i="12" s="1"/>
  <c r="AW111" i="12"/>
  <c r="AX111" i="12" s="1"/>
  <c r="AW112" i="12"/>
  <c r="AX112" i="12" s="1"/>
  <c r="AW113" i="12"/>
  <c r="AX113" i="12" s="1"/>
  <c r="AW114" i="12"/>
  <c r="AX114" i="12" s="1"/>
  <c r="AW115" i="12"/>
  <c r="AX115" i="12" s="1"/>
  <c r="AW116" i="12"/>
  <c r="AX116" i="12" s="1"/>
  <c r="AW117" i="12"/>
  <c r="AX117" i="12" s="1"/>
  <c r="AW118" i="12"/>
  <c r="AX118" i="12" s="1"/>
  <c r="AW119" i="12"/>
  <c r="AX119" i="12" s="1"/>
  <c r="AW120" i="12"/>
  <c r="AX120" i="12" s="1"/>
  <c r="AW121" i="12"/>
  <c r="AX121" i="12" s="1"/>
  <c r="AW122" i="12"/>
  <c r="AX122" i="12" s="1"/>
  <c r="AW123" i="12"/>
  <c r="AX123" i="12" s="1"/>
  <c r="AW124" i="12"/>
  <c r="AX124" i="12" s="1"/>
  <c r="AW125" i="12"/>
  <c r="AX125" i="12" s="1"/>
  <c r="AW126" i="12"/>
  <c r="AX126" i="12" s="1"/>
  <c r="AW127" i="12"/>
  <c r="AX127" i="12" s="1"/>
  <c r="AW128" i="12"/>
  <c r="AX128" i="12" s="1"/>
  <c r="AW129" i="12"/>
  <c r="AX129" i="12" s="1"/>
  <c r="AW130" i="12"/>
  <c r="AX130" i="12" s="1"/>
  <c r="AW131" i="12"/>
  <c r="AX131" i="12" s="1"/>
  <c r="AW132" i="12"/>
  <c r="AX132" i="12" s="1"/>
  <c r="AW133" i="12"/>
  <c r="AX133" i="12" s="1"/>
  <c r="AW134" i="12"/>
  <c r="AX134" i="12" s="1"/>
  <c r="AW135" i="12"/>
  <c r="AX135" i="12" s="1"/>
  <c r="AW136" i="12"/>
  <c r="AX136" i="12" s="1"/>
  <c r="AW137" i="12"/>
  <c r="AX137" i="12" s="1"/>
  <c r="AW138" i="12"/>
  <c r="AX138" i="12" s="1"/>
  <c r="AW139" i="12"/>
  <c r="AX139" i="12" s="1"/>
  <c r="AW140" i="12"/>
  <c r="AX140" i="12" s="1"/>
  <c r="AW141" i="12"/>
  <c r="AX141" i="12" s="1"/>
  <c r="AW142" i="12"/>
  <c r="AX142" i="12" s="1"/>
  <c r="AW143" i="12"/>
  <c r="AX143" i="12" s="1"/>
  <c r="AW144" i="12"/>
  <c r="AX144" i="12" s="1"/>
  <c r="AW145" i="12"/>
  <c r="AX145" i="12" s="1"/>
  <c r="AW146" i="12"/>
  <c r="AX146" i="12" s="1"/>
  <c r="AW147" i="12"/>
  <c r="AX147" i="12" s="1"/>
  <c r="AW148" i="12"/>
  <c r="AX148" i="12" s="1"/>
  <c r="AW149" i="12"/>
  <c r="AX149" i="12" s="1"/>
  <c r="AW150" i="12"/>
  <c r="AX150" i="12" s="1"/>
  <c r="AW151" i="12"/>
  <c r="AX151" i="12" s="1"/>
  <c r="AW152" i="12"/>
  <c r="AX152" i="12" s="1"/>
  <c r="AW153" i="12"/>
  <c r="AX153" i="12" s="1"/>
  <c r="AW154" i="12"/>
  <c r="AX154" i="12" s="1"/>
  <c r="AW155" i="12"/>
  <c r="AX155" i="12" s="1"/>
  <c r="AW156" i="12"/>
  <c r="AX156" i="12" s="1"/>
  <c r="AW157" i="12"/>
  <c r="AX157" i="12" s="1"/>
  <c r="AW158" i="12"/>
  <c r="AX158" i="12" s="1"/>
  <c r="AW159" i="12"/>
  <c r="AX159" i="12" s="1"/>
  <c r="AW160" i="12"/>
  <c r="AX160" i="12" s="1"/>
  <c r="AW161" i="12"/>
  <c r="AX161" i="12" s="1"/>
  <c r="AW162" i="12"/>
  <c r="AX162" i="12" s="1"/>
  <c r="AW163" i="12"/>
  <c r="AX163" i="12" s="1"/>
  <c r="AW164" i="12"/>
  <c r="AX164" i="12" s="1"/>
  <c r="AW165" i="12"/>
  <c r="AX165" i="12" s="1"/>
  <c r="AW166" i="12"/>
  <c r="AX166" i="12" s="1"/>
  <c r="AW167" i="12"/>
  <c r="AX167" i="12" s="1"/>
  <c r="AW168" i="12"/>
  <c r="AX168" i="12" s="1"/>
  <c r="AW169" i="12"/>
  <c r="AX169" i="12" s="1"/>
  <c r="AW170" i="12"/>
  <c r="AX170" i="12" s="1"/>
  <c r="AW171" i="12"/>
  <c r="AX171" i="12" s="1"/>
  <c r="AW172" i="12"/>
  <c r="AX172" i="12" s="1"/>
  <c r="AW173" i="12"/>
  <c r="AX173" i="12" s="1"/>
  <c r="AW174" i="12"/>
  <c r="AX174" i="12" s="1"/>
  <c r="AW175" i="12"/>
  <c r="AX175" i="12" s="1"/>
  <c r="AW176" i="12"/>
  <c r="AX176" i="12" s="1"/>
  <c r="AW177" i="12"/>
  <c r="AX177" i="12" s="1"/>
  <c r="AW178" i="12"/>
  <c r="AX178" i="12" s="1"/>
  <c r="AW179" i="12"/>
  <c r="AX179" i="12" s="1"/>
  <c r="AW180" i="12"/>
  <c r="AX180" i="12" s="1"/>
  <c r="AW181" i="12"/>
  <c r="AX181" i="12" s="1"/>
  <c r="AW182" i="12"/>
  <c r="AX182" i="12" s="1"/>
  <c r="AW183" i="12"/>
  <c r="AX183" i="12" s="1"/>
  <c r="AW184" i="12"/>
  <c r="AX184" i="12" s="1"/>
  <c r="AW185" i="12"/>
  <c r="AX185" i="12" s="1"/>
  <c r="AW186" i="12"/>
  <c r="AX186" i="12" s="1"/>
  <c r="AW187" i="12"/>
  <c r="AX187" i="12" s="1"/>
  <c r="AW188" i="12"/>
  <c r="AX188" i="12" s="1"/>
  <c r="AW189" i="12"/>
  <c r="AX189" i="12" s="1"/>
  <c r="AW190" i="12"/>
  <c r="AX190" i="12" s="1"/>
  <c r="AW192" i="12"/>
  <c r="AX192" i="12" s="1"/>
  <c r="AW193" i="12"/>
  <c r="AX193" i="12" s="1"/>
  <c r="AW194" i="12"/>
  <c r="AX194" i="12" s="1"/>
  <c r="AW195" i="12"/>
  <c r="AX195" i="12" s="1"/>
  <c r="AW196" i="12"/>
  <c r="AX196" i="12" s="1"/>
  <c r="AW197" i="12"/>
  <c r="AX197" i="12" s="1"/>
  <c r="AW198" i="12"/>
  <c r="AX198" i="12" s="1"/>
  <c r="AW199" i="12"/>
  <c r="AX199" i="12" s="1"/>
  <c r="AW200" i="12"/>
  <c r="AX200" i="12" s="1"/>
  <c r="AW201" i="12"/>
  <c r="AX201" i="12" s="1"/>
  <c r="AW202" i="12"/>
  <c r="AX202" i="12" s="1"/>
  <c r="AW203" i="12"/>
  <c r="AX203" i="12" s="1"/>
  <c r="AW204" i="12"/>
  <c r="AX204" i="12" s="1"/>
  <c r="AW205" i="12"/>
  <c r="AX205" i="12" s="1"/>
  <c r="AW206" i="12"/>
  <c r="AX206" i="12" s="1"/>
  <c r="AW207" i="12"/>
  <c r="AX207" i="12" s="1"/>
  <c r="AW208" i="12"/>
  <c r="AX208" i="12" s="1"/>
  <c r="AW209" i="12"/>
  <c r="AX209" i="12" s="1"/>
  <c r="AW210" i="12"/>
  <c r="AX210" i="12" s="1"/>
  <c r="AW211" i="12"/>
  <c r="AX211" i="12" s="1"/>
  <c r="AW212" i="12"/>
  <c r="AX212" i="12" s="1"/>
  <c r="AW213" i="12"/>
  <c r="AX213" i="12" s="1"/>
  <c r="AW214" i="12"/>
  <c r="AX214" i="12" s="1"/>
  <c r="AW215" i="12"/>
  <c r="AX215" i="12" s="1"/>
  <c r="AW216" i="12"/>
  <c r="AX216" i="12" s="1"/>
  <c r="AW217" i="12"/>
  <c r="AX217" i="12" s="1"/>
  <c r="AW218" i="12"/>
  <c r="AX218" i="12" s="1"/>
  <c r="AW219" i="12"/>
  <c r="AX219" i="12" s="1"/>
  <c r="AW220" i="12"/>
  <c r="AX220" i="12" s="1"/>
  <c r="AW221" i="12"/>
  <c r="AX221" i="12" s="1"/>
  <c r="AW222" i="12"/>
  <c r="AX222" i="12" s="1"/>
  <c r="AW223" i="12"/>
  <c r="AX223" i="12" s="1"/>
  <c r="AW224" i="12"/>
  <c r="AX224" i="12" s="1"/>
  <c r="AW225" i="12"/>
  <c r="AX225" i="12" s="1"/>
  <c r="AW226" i="12"/>
  <c r="AX226" i="12" s="1"/>
  <c r="AW227" i="12"/>
  <c r="AX227" i="12" s="1"/>
  <c r="AW228" i="12"/>
  <c r="AX228" i="12" s="1"/>
  <c r="AW229" i="12"/>
  <c r="AX229" i="12" s="1"/>
  <c r="AW230" i="12"/>
  <c r="AX230" i="12" s="1"/>
  <c r="AW231" i="12"/>
  <c r="AX231" i="12" s="1"/>
  <c r="AW232" i="12"/>
  <c r="AX232" i="12" s="1"/>
  <c r="AW233" i="12"/>
  <c r="AX233" i="12" s="1"/>
  <c r="AW234" i="12"/>
  <c r="AX234" i="12" s="1"/>
  <c r="AW235" i="12"/>
  <c r="AX235" i="12" s="1"/>
  <c r="AW236" i="12"/>
  <c r="AX236" i="12" s="1"/>
  <c r="AW237" i="12"/>
  <c r="AX237" i="12" s="1"/>
  <c r="AW238" i="12"/>
  <c r="AX238" i="12" s="1"/>
  <c r="AW239" i="12"/>
  <c r="AX239" i="12" s="1"/>
  <c r="AW240" i="12"/>
  <c r="AX240" i="12" s="1"/>
  <c r="AW241" i="12"/>
  <c r="AX241" i="12" s="1"/>
  <c r="AW242" i="12"/>
  <c r="AX242" i="12" s="1"/>
  <c r="AW243" i="12"/>
  <c r="AX243" i="12" s="1"/>
  <c r="AW244" i="12"/>
  <c r="AX244" i="12" s="1"/>
  <c r="AW245" i="12"/>
  <c r="AX245" i="12" s="1"/>
  <c r="AW246" i="12"/>
  <c r="AX246" i="12" s="1"/>
  <c r="AW247" i="12"/>
  <c r="AX247" i="12" s="1"/>
  <c r="AW248" i="12"/>
  <c r="AX248" i="12" s="1"/>
  <c r="AW249" i="12"/>
  <c r="AX249" i="12" s="1"/>
  <c r="AW250" i="12"/>
  <c r="AX250" i="12" s="1"/>
  <c r="AW251" i="12"/>
  <c r="AX251" i="12" s="1"/>
  <c r="AW252" i="12"/>
  <c r="AX252" i="12" s="1"/>
  <c r="AW253" i="12"/>
  <c r="AX253" i="12" s="1"/>
  <c r="AW254" i="12"/>
  <c r="AX254" i="12" s="1"/>
  <c r="AW255" i="12"/>
  <c r="AX255" i="12" s="1"/>
  <c r="AW256" i="12"/>
  <c r="AX256" i="12" s="1"/>
  <c r="AW257" i="12"/>
  <c r="AX257" i="12" s="1"/>
  <c r="AW258" i="12"/>
  <c r="AX258" i="12" s="1"/>
  <c r="AW259" i="12"/>
  <c r="AX259" i="12" s="1"/>
  <c r="AW260" i="12"/>
  <c r="AX260" i="12" s="1"/>
  <c r="AW261" i="12"/>
  <c r="AX261" i="12" s="1"/>
  <c r="AW262" i="12"/>
  <c r="AX262" i="12" s="1"/>
  <c r="AW263" i="12"/>
  <c r="AX263" i="12" s="1"/>
  <c r="AW264" i="12"/>
  <c r="AX264" i="12" s="1"/>
  <c r="AW265" i="12"/>
  <c r="AX265" i="12" s="1"/>
  <c r="AW266" i="12"/>
  <c r="AX266" i="12" s="1"/>
  <c r="AW267" i="12"/>
  <c r="AX267" i="12" s="1"/>
  <c r="AW268" i="12"/>
  <c r="AX268" i="12" s="1"/>
  <c r="AW269" i="12"/>
  <c r="AX269" i="12" s="1"/>
  <c r="AW270" i="12"/>
  <c r="AX270" i="12" s="1"/>
  <c r="AW271" i="12"/>
  <c r="AX271" i="12" s="1"/>
  <c r="AW272" i="12"/>
  <c r="AX272" i="12" s="1"/>
  <c r="AW273" i="12"/>
  <c r="AX273" i="12" s="1"/>
  <c r="AW274" i="12"/>
  <c r="AX274" i="12" s="1"/>
  <c r="AW275" i="12"/>
  <c r="AX275" i="12" s="1"/>
  <c r="AW276" i="12"/>
  <c r="AX276" i="12" s="1"/>
  <c r="AW277" i="12"/>
  <c r="AX277" i="12" s="1"/>
  <c r="AW278" i="12"/>
  <c r="AX278" i="12" s="1"/>
  <c r="AW279" i="12"/>
  <c r="AX279" i="12" s="1"/>
  <c r="AW280" i="12"/>
  <c r="AX280" i="12" s="1"/>
  <c r="AW281" i="12"/>
  <c r="AX281" i="12" s="1"/>
  <c r="AW282" i="12"/>
  <c r="AX282" i="12" s="1"/>
  <c r="AW283" i="12"/>
  <c r="AX283" i="12" s="1"/>
  <c r="AW284" i="12"/>
  <c r="AX284" i="12" s="1"/>
  <c r="AW285" i="12"/>
  <c r="AX285" i="12" s="1"/>
  <c r="AW286" i="12"/>
  <c r="AX286" i="12" s="1"/>
  <c r="AW287" i="12"/>
  <c r="AX287" i="12" s="1"/>
  <c r="AW288" i="12"/>
  <c r="AX288" i="12" s="1"/>
  <c r="AW289" i="12"/>
  <c r="AX289" i="12" s="1"/>
  <c r="AW290" i="12"/>
  <c r="AX290" i="12" s="1"/>
  <c r="AW291" i="12"/>
  <c r="AX291" i="12" s="1"/>
  <c r="AW292" i="12"/>
  <c r="AX292" i="12" s="1"/>
  <c r="AW293" i="12"/>
  <c r="AX293" i="12" s="1"/>
  <c r="AW294" i="12"/>
  <c r="AX294" i="12" s="1"/>
  <c r="AW295" i="12"/>
  <c r="AX295" i="12" s="1"/>
  <c r="AW296" i="12"/>
  <c r="AX296" i="12" s="1"/>
  <c r="AW297" i="12"/>
  <c r="AX297" i="12" s="1"/>
  <c r="AW298" i="12"/>
  <c r="AX298" i="12" s="1"/>
  <c r="AW299" i="12"/>
  <c r="AX299" i="12" s="1"/>
  <c r="AW300" i="12"/>
  <c r="AX300" i="12" s="1"/>
  <c r="AW301" i="12"/>
  <c r="AX301" i="12" s="1"/>
  <c r="AW302" i="12"/>
  <c r="AX302" i="12" s="1"/>
  <c r="AW303" i="12"/>
  <c r="AX303" i="12" s="1"/>
  <c r="AW304" i="12"/>
  <c r="AX304" i="12" s="1"/>
  <c r="AW305" i="12"/>
  <c r="AX305" i="12" s="1"/>
  <c r="AW306" i="12"/>
  <c r="AX306" i="12" s="1"/>
  <c r="AW307" i="12"/>
  <c r="AX307" i="12" s="1"/>
  <c r="AW308" i="12"/>
  <c r="AX308" i="12" s="1"/>
  <c r="AW309" i="12"/>
  <c r="AX309" i="12" s="1"/>
  <c r="AW310" i="12"/>
  <c r="AX310" i="12" s="1"/>
  <c r="AW312" i="12"/>
  <c r="AX312" i="12" s="1"/>
  <c r="AW313" i="12"/>
  <c r="AX313" i="12" s="1"/>
  <c r="AW314" i="12"/>
  <c r="AX314" i="12" s="1"/>
  <c r="AW315" i="12"/>
  <c r="AX315" i="12" s="1"/>
  <c r="AW316" i="12"/>
  <c r="AX316" i="12" s="1"/>
  <c r="AW317" i="12"/>
  <c r="AX317" i="12" s="1"/>
  <c r="AW318" i="12"/>
  <c r="AX318" i="12" s="1"/>
  <c r="AW319" i="12"/>
  <c r="AX319" i="12" s="1"/>
  <c r="AW320" i="12"/>
  <c r="AX320" i="12" s="1"/>
  <c r="AW321" i="12"/>
  <c r="AX321" i="12" s="1"/>
  <c r="AW322" i="12"/>
  <c r="AX322" i="12" s="1"/>
  <c r="AW323" i="12"/>
  <c r="AX323" i="12" s="1"/>
  <c r="AW324" i="12"/>
  <c r="AX324" i="12" s="1"/>
  <c r="AW325" i="12"/>
  <c r="AX325" i="12" s="1"/>
  <c r="AW326" i="12"/>
  <c r="AX326" i="12" s="1"/>
  <c r="AW327" i="12"/>
  <c r="AX327" i="12" s="1"/>
  <c r="AW328" i="12"/>
  <c r="AX328" i="12" s="1"/>
  <c r="AW329" i="12"/>
  <c r="AX329" i="12" s="1"/>
  <c r="AW330" i="12"/>
  <c r="AX330" i="12" s="1"/>
  <c r="AW331" i="12"/>
  <c r="AX331" i="12" s="1"/>
  <c r="AW332" i="12"/>
  <c r="AX332" i="12" s="1"/>
  <c r="AW333" i="12"/>
  <c r="AX333" i="12" s="1"/>
  <c r="AW334" i="12"/>
  <c r="AX334" i="12" s="1"/>
  <c r="AW335" i="12"/>
  <c r="AX335" i="12" s="1"/>
  <c r="AW336" i="12"/>
  <c r="AX336" i="12" s="1"/>
  <c r="AW337" i="12"/>
  <c r="AX337" i="12" s="1"/>
  <c r="AW338" i="12"/>
  <c r="AX338" i="12" s="1"/>
  <c r="AW339" i="12"/>
  <c r="AX339" i="12" s="1"/>
  <c r="AW340" i="12"/>
  <c r="AX340" i="12" s="1"/>
  <c r="AW341" i="12"/>
  <c r="AX341" i="12" s="1"/>
  <c r="AW342" i="12"/>
  <c r="AX342" i="12" s="1"/>
  <c r="AW343" i="12"/>
  <c r="AX343" i="12" s="1"/>
  <c r="AW344" i="12"/>
  <c r="AX344" i="12" s="1"/>
  <c r="AW345" i="12"/>
  <c r="AX345" i="12" s="1"/>
  <c r="AW346" i="12"/>
  <c r="AX346" i="12" s="1"/>
  <c r="AW347" i="12"/>
  <c r="AX347" i="12" s="1"/>
  <c r="AW348" i="12"/>
  <c r="AX348" i="12" s="1"/>
  <c r="AW349" i="12"/>
  <c r="AX349" i="12" s="1"/>
  <c r="AW350" i="12"/>
  <c r="AX350" i="12" s="1"/>
  <c r="AW351" i="12"/>
  <c r="AX351" i="12" s="1"/>
  <c r="AW352" i="12"/>
  <c r="AX352" i="12" s="1"/>
  <c r="AW353" i="12"/>
  <c r="AX353" i="12" s="1"/>
  <c r="AW354" i="12"/>
  <c r="AX354" i="12" s="1"/>
  <c r="AW355" i="12"/>
  <c r="AX355" i="12" s="1"/>
  <c r="AW356" i="12"/>
  <c r="AX356" i="12" s="1"/>
  <c r="AW357" i="12"/>
  <c r="AX357" i="12" s="1"/>
  <c r="AW358" i="12"/>
  <c r="AX358" i="12" s="1"/>
  <c r="AW359" i="12"/>
  <c r="AX359" i="12" s="1"/>
  <c r="AW360" i="12"/>
  <c r="AX360" i="12" s="1"/>
  <c r="AW361" i="12"/>
  <c r="AX361" i="12" s="1"/>
  <c r="AW362" i="12"/>
  <c r="AX362" i="12" s="1"/>
  <c r="AW363" i="12"/>
  <c r="AX363" i="12" s="1"/>
  <c r="AW364" i="12"/>
  <c r="AX364" i="12" s="1"/>
  <c r="AW365" i="12"/>
  <c r="AX365" i="12" s="1"/>
  <c r="AW366" i="12"/>
  <c r="AX366" i="12" s="1"/>
  <c r="AW311" i="12" l="1"/>
  <c r="AX311" i="12" s="1"/>
  <c r="AW7" i="12"/>
  <c r="AX7" i="12" s="1"/>
  <c r="AW8" i="12"/>
  <c r="AX8" i="12" s="1"/>
  <c r="AW11" i="12"/>
  <c r="AX11" i="12" s="1"/>
  <c r="AW191" i="12"/>
  <c r="AX191" i="12" s="1"/>
  <c r="AK366" i="12" l="1"/>
  <c r="AI366" i="12"/>
  <c r="AG366" i="12"/>
  <c r="AE366" i="12"/>
  <c r="AC366" i="12"/>
  <c r="AA366" i="12"/>
  <c r="Y366" i="12"/>
  <c r="AK365" i="12"/>
  <c r="AI365" i="12"/>
  <c r="AG365" i="12"/>
  <c r="AE365" i="12"/>
  <c r="AC365" i="12"/>
  <c r="AA365" i="12"/>
  <c r="Y365" i="12"/>
  <c r="AK364" i="12"/>
  <c r="AI364" i="12"/>
  <c r="AG364" i="12"/>
  <c r="AE364" i="12"/>
  <c r="AC364" i="12"/>
  <c r="AA364" i="12"/>
  <c r="Y364" i="12"/>
  <c r="AK363" i="12"/>
  <c r="AI363" i="12"/>
  <c r="AG363" i="12"/>
  <c r="AE363" i="12"/>
  <c r="AC363" i="12"/>
  <c r="AA363" i="12"/>
  <c r="Y363" i="12"/>
  <c r="AK362" i="12"/>
  <c r="AI362" i="12"/>
  <c r="AG362" i="12"/>
  <c r="AE362" i="12"/>
  <c r="AC362" i="12"/>
  <c r="AA362" i="12"/>
  <c r="Y362" i="12"/>
  <c r="AK361" i="12"/>
  <c r="AI361" i="12"/>
  <c r="AG361" i="12"/>
  <c r="AE361" i="12"/>
  <c r="AC361" i="12"/>
  <c r="AA361" i="12"/>
  <c r="Y361" i="12"/>
  <c r="Q361" i="12"/>
  <c r="R361" i="12" s="1"/>
  <c r="P361" i="12"/>
  <c r="N361" i="12"/>
  <c r="C361" i="12"/>
  <c r="AK360" i="12"/>
  <c r="AI360" i="12"/>
  <c r="AG360" i="12"/>
  <c r="AE360" i="12"/>
  <c r="AC360" i="12"/>
  <c r="AA360" i="12"/>
  <c r="Y360" i="12"/>
  <c r="AK359" i="12"/>
  <c r="AI359" i="12"/>
  <c r="AG359" i="12"/>
  <c r="AE359" i="12"/>
  <c r="AC359" i="12"/>
  <c r="AA359" i="12"/>
  <c r="Y359" i="12"/>
  <c r="AK358" i="12"/>
  <c r="AI358" i="12"/>
  <c r="AG358" i="12"/>
  <c r="AE358" i="12"/>
  <c r="AC358" i="12"/>
  <c r="AA358" i="12"/>
  <c r="Y358" i="12"/>
  <c r="AK357" i="12"/>
  <c r="AI357" i="12"/>
  <c r="AG357" i="12"/>
  <c r="AE357" i="12"/>
  <c r="AC357" i="12"/>
  <c r="AA357" i="12"/>
  <c r="Y357" i="12"/>
  <c r="AK356" i="12"/>
  <c r="AI356" i="12"/>
  <c r="AG356" i="12"/>
  <c r="AE356" i="12"/>
  <c r="AC356" i="12"/>
  <c r="AA356" i="12"/>
  <c r="Y356" i="12"/>
  <c r="AK355" i="12"/>
  <c r="AI355" i="12"/>
  <c r="AG355" i="12"/>
  <c r="AE355" i="12"/>
  <c r="AC355" i="12"/>
  <c r="AA355" i="12"/>
  <c r="Y355" i="12"/>
  <c r="Q355" i="12"/>
  <c r="R355" i="12" s="1"/>
  <c r="P355" i="12"/>
  <c r="N355" i="12"/>
  <c r="C355" i="12"/>
  <c r="AK354" i="12"/>
  <c r="AI354" i="12"/>
  <c r="AG354" i="12"/>
  <c r="AE354" i="12"/>
  <c r="AC354" i="12"/>
  <c r="AA354" i="12"/>
  <c r="Y354" i="12"/>
  <c r="AK353" i="12"/>
  <c r="AI353" i="12"/>
  <c r="AG353" i="12"/>
  <c r="AE353" i="12"/>
  <c r="AC353" i="12"/>
  <c r="AA353" i="12"/>
  <c r="Y353" i="12"/>
  <c r="AK352" i="12"/>
  <c r="AI352" i="12"/>
  <c r="AG352" i="12"/>
  <c r="AE352" i="12"/>
  <c r="AC352" i="12"/>
  <c r="AA352" i="12"/>
  <c r="Y352" i="12"/>
  <c r="AK351" i="12"/>
  <c r="AI351" i="12"/>
  <c r="AG351" i="12"/>
  <c r="AE351" i="12"/>
  <c r="AC351" i="12"/>
  <c r="AA351" i="12"/>
  <c r="Y351" i="12"/>
  <c r="AK350" i="12"/>
  <c r="AI350" i="12"/>
  <c r="AG350" i="12"/>
  <c r="AE350" i="12"/>
  <c r="AC350" i="12"/>
  <c r="AA350" i="12"/>
  <c r="Y350" i="12"/>
  <c r="AK349" i="12"/>
  <c r="AI349" i="12"/>
  <c r="AG349" i="12"/>
  <c r="AE349" i="12"/>
  <c r="AC349" i="12"/>
  <c r="AA349" i="12"/>
  <c r="Y349" i="12"/>
  <c r="Q349" i="12"/>
  <c r="R349" i="12" s="1"/>
  <c r="P349" i="12"/>
  <c r="N349" i="12"/>
  <c r="C349" i="12"/>
  <c r="AK348" i="12"/>
  <c r="AI348" i="12"/>
  <c r="AG348" i="12"/>
  <c r="AE348" i="12"/>
  <c r="AC348" i="12"/>
  <c r="AA348" i="12"/>
  <c r="Y348" i="12"/>
  <c r="AK347" i="12"/>
  <c r="AI347" i="12"/>
  <c r="AG347" i="12"/>
  <c r="AE347" i="12"/>
  <c r="AC347" i="12"/>
  <c r="AA347" i="12"/>
  <c r="Y347" i="12"/>
  <c r="AK346" i="12"/>
  <c r="AI346" i="12"/>
  <c r="AG346" i="12"/>
  <c r="AE346" i="12"/>
  <c r="AC346" i="12"/>
  <c r="AA346" i="12"/>
  <c r="Y346" i="12"/>
  <c r="AK345" i="12"/>
  <c r="AI345" i="12"/>
  <c r="AG345" i="12"/>
  <c r="AE345" i="12"/>
  <c r="AC345" i="12"/>
  <c r="AA345" i="12"/>
  <c r="Y345" i="12"/>
  <c r="AK344" i="12"/>
  <c r="AI344" i="12"/>
  <c r="AG344" i="12"/>
  <c r="AE344" i="12"/>
  <c r="AC344" i="12"/>
  <c r="AA344" i="12"/>
  <c r="Y344" i="12"/>
  <c r="AK343" i="12"/>
  <c r="AI343" i="12"/>
  <c r="AG343" i="12"/>
  <c r="AE343" i="12"/>
  <c r="AC343" i="12"/>
  <c r="AA343" i="12"/>
  <c r="Y343" i="12"/>
  <c r="Q343" i="12"/>
  <c r="R343" i="12" s="1"/>
  <c r="P343" i="12"/>
  <c r="N343" i="12"/>
  <c r="C343" i="12"/>
  <c r="AK342" i="12"/>
  <c r="AI342" i="12"/>
  <c r="AG342" i="12"/>
  <c r="AE342" i="12"/>
  <c r="AC342" i="12"/>
  <c r="AA342" i="12"/>
  <c r="Y342" i="12"/>
  <c r="AK341" i="12"/>
  <c r="AI341" i="12"/>
  <c r="AG341" i="12"/>
  <c r="AE341" i="12"/>
  <c r="AC341" i="12"/>
  <c r="AA341" i="12"/>
  <c r="Y341" i="12"/>
  <c r="AK340" i="12"/>
  <c r="AI340" i="12"/>
  <c r="AG340" i="12"/>
  <c r="AE340" i="12"/>
  <c r="AC340" i="12"/>
  <c r="AA340" i="12"/>
  <c r="Y340" i="12"/>
  <c r="AK339" i="12"/>
  <c r="AI339" i="12"/>
  <c r="AG339" i="12"/>
  <c r="AE339" i="12"/>
  <c r="AC339" i="12"/>
  <c r="AA339" i="12"/>
  <c r="Y339" i="12"/>
  <c r="AK338" i="12"/>
  <c r="AI338" i="12"/>
  <c r="AG338" i="12"/>
  <c r="AE338" i="12"/>
  <c r="AC338" i="12"/>
  <c r="AA338" i="12"/>
  <c r="Y338" i="12"/>
  <c r="AK337" i="12"/>
  <c r="AI337" i="12"/>
  <c r="AG337" i="12"/>
  <c r="AE337" i="12"/>
  <c r="AC337" i="12"/>
  <c r="AA337" i="12"/>
  <c r="Y337" i="12"/>
  <c r="Q337" i="12"/>
  <c r="R337" i="12" s="1"/>
  <c r="P337" i="12"/>
  <c r="N337" i="12"/>
  <c r="C337" i="12"/>
  <c r="AK336" i="12"/>
  <c r="AI336" i="12"/>
  <c r="AG336" i="12"/>
  <c r="AE336" i="12"/>
  <c r="AC336" i="12"/>
  <c r="AA336" i="12"/>
  <c r="Y336" i="12"/>
  <c r="AK335" i="12"/>
  <c r="AI335" i="12"/>
  <c r="AG335" i="12"/>
  <c r="AE335" i="12"/>
  <c r="AC335" i="12"/>
  <c r="AA335" i="12"/>
  <c r="Y335" i="12"/>
  <c r="AK334" i="12"/>
  <c r="AI334" i="12"/>
  <c r="AG334" i="12"/>
  <c r="AE334" i="12"/>
  <c r="AC334" i="12"/>
  <c r="AA334" i="12"/>
  <c r="Y334" i="12"/>
  <c r="AK333" i="12"/>
  <c r="AI333" i="12"/>
  <c r="AG333" i="12"/>
  <c r="AE333" i="12"/>
  <c r="AC333" i="12"/>
  <c r="AA333" i="12"/>
  <c r="Y333" i="12"/>
  <c r="AK332" i="12"/>
  <c r="AI332" i="12"/>
  <c r="AG332" i="12"/>
  <c r="AE332" i="12"/>
  <c r="AC332" i="12"/>
  <c r="AA332" i="12"/>
  <c r="Y332" i="12"/>
  <c r="AK331" i="12"/>
  <c r="AI331" i="12"/>
  <c r="AG331" i="12"/>
  <c r="AE331" i="12"/>
  <c r="AC331" i="12"/>
  <c r="AA331" i="12"/>
  <c r="Y331" i="12"/>
  <c r="Q331" i="12"/>
  <c r="R331" i="12" s="1"/>
  <c r="P331" i="12"/>
  <c r="N331" i="12"/>
  <c r="C331" i="12"/>
  <c r="AK330" i="12"/>
  <c r="AI330" i="12"/>
  <c r="AG330" i="12"/>
  <c r="AE330" i="12"/>
  <c r="AC330" i="12"/>
  <c r="AA330" i="12"/>
  <c r="Y330" i="12"/>
  <c r="AK329" i="12"/>
  <c r="AI329" i="12"/>
  <c r="AG329" i="12"/>
  <c r="AE329" i="12"/>
  <c r="AC329" i="12"/>
  <c r="AA329" i="12"/>
  <c r="Y329" i="12"/>
  <c r="AK328" i="12"/>
  <c r="AI328" i="12"/>
  <c r="AG328" i="12"/>
  <c r="AE328" i="12"/>
  <c r="AC328" i="12"/>
  <c r="AA328" i="12"/>
  <c r="Y328" i="12"/>
  <c r="AK327" i="12"/>
  <c r="AI327" i="12"/>
  <c r="AG327" i="12"/>
  <c r="AE327" i="12"/>
  <c r="AC327" i="12"/>
  <c r="AA327" i="12"/>
  <c r="Y327" i="12"/>
  <c r="AK326" i="12"/>
  <c r="AI326" i="12"/>
  <c r="AG326" i="12"/>
  <c r="AE326" i="12"/>
  <c r="AC326" i="12"/>
  <c r="AA326" i="12"/>
  <c r="Y326" i="12"/>
  <c r="AK325" i="12"/>
  <c r="AI325" i="12"/>
  <c r="AG325" i="12"/>
  <c r="AE325" i="12"/>
  <c r="AC325" i="12"/>
  <c r="AA325" i="12"/>
  <c r="Y325" i="12"/>
  <c r="Q325" i="12"/>
  <c r="R325" i="12" s="1"/>
  <c r="P325" i="12"/>
  <c r="N325" i="12"/>
  <c r="C325" i="12"/>
  <c r="AK324" i="12"/>
  <c r="AI324" i="12"/>
  <c r="AG324" i="12"/>
  <c r="AE324" i="12"/>
  <c r="AC324" i="12"/>
  <c r="AA324" i="12"/>
  <c r="Y324" i="12"/>
  <c r="AK323" i="12"/>
  <c r="AI323" i="12"/>
  <c r="AG323" i="12"/>
  <c r="AE323" i="12"/>
  <c r="AC323" i="12"/>
  <c r="AA323" i="12"/>
  <c r="Y323" i="12"/>
  <c r="AK322" i="12"/>
  <c r="AI322" i="12"/>
  <c r="AG322" i="12"/>
  <c r="AE322" i="12"/>
  <c r="AC322" i="12"/>
  <c r="AA322" i="12"/>
  <c r="Y322" i="12"/>
  <c r="AK321" i="12"/>
  <c r="AI321" i="12"/>
  <c r="AG321" i="12"/>
  <c r="AE321" i="12"/>
  <c r="AC321" i="12"/>
  <c r="AA321" i="12"/>
  <c r="Y321" i="12"/>
  <c r="AK320" i="12"/>
  <c r="AI320" i="12"/>
  <c r="AG320" i="12"/>
  <c r="AE320" i="12"/>
  <c r="AC320" i="12"/>
  <c r="AA320" i="12"/>
  <c r="Y320" i="12"/>
  <c r="AK319" i="12"/>
  <c r="AI319" i="12"/>
  <c r="AG319" i="12"/>
  <c r="AE319" i="12"/>
  <c r="AC319" i="12"/>
  <c r="AA319" i="12"/>
  <c r="Y319" i="12"/>
  <c r="Q319" i="12"/>
  <c r="R319" i="12" s="1"/>
  <c r="P319" i="12"/>
  <c r="N319" i="12"/>
  <c r="C319" i="12"/>
  <c r="AK318" i="12"/>
  <c r="AI318" i="12"/>
  <c r="AG318" i="12"/>
  <c r="AE318" i="12"/>
  <c r="AC318" i="12"/>
  <c r="AA318" i="12"/>
  <c r="Y318" i="12"/>
  <c r="AK317" i="12"/>
  <c r="AI317" i="12"/>
  <c r="AG317" i="12"/>
  <c r="AE317" i="12"/>
  <c r="AC317" i="12"/>
  <c r="AA317" i="12"/>
  <c r="Y317" i="12"/>
  <c r="AK316" i="12"/>
  <c r="AI316" i="12"/>
  <c r="AG316" i="12"/>
  <c r="AE316" i="12"/>
  <c r="AC316" i="12"/>
  <c r="AA316" i="12"/>
  <c r="Y316" i="12"/>
  <c r="AK315" i="12"/>
  <c r="AI315" i="12"/>
  <c r="AG315" i="12"/>
  <c r="AE315" i="12"/>
  <c r="AC315" i="12"/>
  <c r="AA315" i="12"/>
  <c r="Y315" i="12"/>
  <c r="AK314" i="12"/>
  <c r="AI314" i="12"/>
  <c r="AG314" i="12"/>
  <c r="AE314" i="12"/>
  <c r="AC314" i="12"/>
  <c r="AA314" i="12"/>
  <c r="Y314" i="12"/>
  <c r="AK313" i="12"/>
  <c r="AI313" i="12"/>
  <c r="AG313" i="12"/>
  <c r="AE313" i="12"/>
  <c r="AC313" i="12"/>
  <c r="AA313" i="12"/>
  <c r="Y313" i="12"/>
  <c r="Q313" i="12"/>
  <c r="R313" i="12" s="1"/>
  <c r="P313" i="12"/>
  <c r="N313" i="12"/>
  <c r="C313" i="12"/>
  <c r="AK312" i="12"/>
  <c r="AI312" i="12"/>
  <c r="AG312" i="12"/>
  <c r="AE312" i="12"/>
  <c r="AC312" i="12"/>
  <c r="AA312" i="12"/>
  <c r="Y312" i="12"/>
  <c r="AK311" i="12"/>
  <c r="AI311" i="12"/>
  <c r="AG311" i="12"/>
  <c r="AE311" i="12"/>
  <c r="AC311" i="12"/>
  <c r="AA311" i="12"/>
  <c r="Y311" i="12"/>
  <c r="AK310" i="12"/>
  <c r="AI310" i="12"/>
  <c r="AG310" i="12"/>
  <c r="AE310" i="12"/>
  <c r="AC310" i="12"/>
  <c r="AA310" i="12"/>
  <c r="Y310" i="12"/>
  <c r="AK309" i="12"/>
  <c r="AI309" i="12"/>
  <c r="AG309" i="12"/>
  <c r="AE309" i="12"/>
  <c r="AC309" i="12"/>
  <c r="AA309" i="12"/>
  <c r="Y309" i="12"/>
  <c r="AK308" i="12"/>
  <c r="AI308" i="12"/>
  <c r="AG308" i="12"/>
  <c r="AE308" i="12"/>
  <c r="AC308" i="12"/>
  <c r="AA308" i="12"/>
  <c r="Y308" i="12"/>
  <c r="AK307" i="12"/>
  <c r="AI307" i="12"/>
  <c r="AG307" i="12"/>
  <c r="AE307" i="12"/>
  <c r="AC307" i="12"/>
  <c r="AA307" i="12"/>
  <c r="Y307" i="12"/>
  <c r="Q307" i="12"/>
  <c r="R307" i="12" s="1"/>
  <c r="P307" i="12"/>
  <c r="N307" i="12"/>
  <c r="C307" i="12"/>
  <c r="AK306" i="12"/>
  <c r="AI306" i="12"/>
  <c r="AG306" i="12"/>
  <c r="AE306" i="12"/>
  <c r="AC306" i="12"/>
  <c r="AA306" i="12"/>
  <c r="Y306" i="12"/>
  <c r="AK305" i="12"/>
  <c r="AI305" i="12"/>
  <c r="AG305" i="12"/>
  <c r="AE305" i="12"/>
  <c r="AC305" i="12"/>
  <c r="AA305" i="12"/>
  <c r="Y305" i="12"/>
  <c r="AK304" i="12"/>
  <c r="AI304" i="12"/>
  <c r="AG304" i="12"/>
  <c r="AE304" i="12"/>
  <c r="AC304" i="12"/>
  <c r="AA304" i="12"/>
  <c r="Y304" i="12"/>
  <c r="AK303" i="12"/>
  <c r="AI303" i="12"/>
  <c r="AG303" i="12"/>
  <c r="AE303" i="12"/>
  <c r="AC303" i="12"/>
  <c r="AA303" i="12"/>
  <c r="Y303" i="12"/>
  <c r="AK302" i="12"/>
  <c r="AI302" i="12"/>
  <c r="AG302" i="12"/>
  <c r="AE302" i="12"/>
  <c r="AC302" i="12"/>
  <c r="AA302" i="12"/>
  <c r="Y302" i="12"/>
  <c r="AK301" i="12"/>
  <c r="AI301" i="12"/>
  <c r="AG301" i="12"/>
  <c r="AE301" i="12"/>
  <c r="AC301" i="12"/>
  <c r="AA301" i="12"/>
  <c r="Y301" i="12"/>
  <c r="Q301" i="12"/>
  <c r="R301" i="12" s="1"/>
  <c r="P301" i="12"/>
  <c r="N301" i="12"/>
  <c r="C301" i="12"/>
  <c r="AK300" i="12"/>
  <c r="AI300" i="12"/>
  <c r="AG300" i="12"/>
  <c r="AE300" i="12"/>
  <c r="AC300" i="12"/>
  <c r="AA300" i="12"/>
  <c r="Y300" i="12"/>
  <c r="AK299" i="12"/>
  <c r="AI299" i="12"/>
  <c r="AG299" i="12"/>
  <c r="AE299" i="12"/>
  <c r="AC299" i="12"/>
  <c r="AA299" i="12"/>
  <c r="Y299" i="12"/>
  <c r="AK298" i="12"/>
  <c r="AI298" i="12"/>
  <c r="AG298" i="12"/>
  <c r="AE298" i="12"/>
  <c r="AC298" i="12"/>
  <c r="AA298" i="12"/>
  <c r="Y298" i="12"/>
  <c r="AK297" i="12"/>
  <c r="AI297" i="12"/>
  <c r="AG297" i="12"/>
  <c r="AE297" i="12"/>
  <c r="AC297" i="12"/>
  <c r="AA297" i="12"/>
  <c r="Y297" i="12"/>
  <c r="AK296" i="12"/>
  <c r="AI296" i="12"/>
  <c r="AG296" i="12"/>
  <c r="AE296" i="12"/>
  <c r="AC296" i="12"/>
  <c r="AA296" i="12"/>
  <c r="Y296" i="12"/>
  <c r="AK295" i="12"/>
  <c r="AI295" i="12"/>
  <c r="AG295" i="12"/>
  <c r="AE295" i="12"/>
  <c r="AC295" i="12"/>
  <c r="AA295" i="12"/>
  <c r="Y295" i="12"/>
  <c r="Q295" i="12"/>
  <c r="R295" i="12" s="1"/>
  <c r="P295" i="12"/>
  <c r="N295" i="12"/>
  <c r="C295" i="12"/>
  <c r="AK294" i="12"/>
  <c r="AI294" i="12"/>
  <c r="AG294" i="12"/>
  <c r="AE294" i="12"/>
  <c r="AC294" i="12"/>
  <c r="AA294" i="12"/>
  <c r="Y294" i="12"/>
  <c r="AK293" i="12"/>
  <c r="AI293" i="12"/>
  <c r="AG293" i="12"/>
  <c r="AE293" i="12"/>
  <c r="AC293" i="12"/>
  <c r="AA293" i="12"/>
  <c r="Y293" i="12"/>
  <c r="AK292" i="12"/>
  <c r="AI292" i="12"/>
  <c r="AG292" i="12"/>
  <c r="AE292" i="12"/>
  <c r="AC292" i="12"/>
  <c r="AA292" i="12"/>
  <c r="Y292" i="12"/>
  <c r="AK291" i="12"/>
  <c r="AI291" i="12"/>
  <c r="AG291" i="12"/>
  <c r="AE291" i="12"/>
  <c r="AC291" i="12"/>
  <c r="AA291" i="12"/>
  <c r="Y291" i="12"/>
  <c r="AK290" i="12"/>
  <c r="AI290" i="12"/>
  <c r="AG290" i="12"/>
  <c r="AE290" i="12"/>
  <c r="AC290" i="12"/>
  <c r="AA290" i="12"/>
  <c r="Y290" i="12"/>
  <c r="AK289" i="12"/>
  <c r="AI289" i="12"/>
  <c r="AG289" i="12"/>
  <c r="AE289" i="12"/>
  <c r="AC289" i="12"/>
  <c r="AA289" i="12"/>
  <c r="Y289" i="12"/>
  <c r="Q289" i="12"/>
  <c r="R289" i="12" s="1"/>
  <c r="P289" i="12"/>
  <c r="N289" i="12"/>
  <c r="C289" i="12"/>
  <c r="AK288" i="12"/>
  <c r="AI288" i="12"/>
  <c r="AG288" i="12"/>
  <c r="AE288" i="12"/>
  <c r="AC288" i="12"/>
  <c r="AA288" i="12"/>
  <c r="Y288" i="12"/>
  <c r="AK287" i="12"/>
  <c r="AI287" i="12"/>
  <c r="AG287" i="12"/>
  <c r="AE287" i="12"/>
  <c r="AC287" i="12"/>
  <c r="AA287" i="12"/>
  <c r="Y287" i="12"/>
  <c r="AK286" i="12"/>
  <c r="AI286" i="12"/>
  <c r="AG286" i="12"/>
  <c r="AE286" i="12"/>
  <c r="AC286" i="12"/>
  <c r="AA286" i="12"/>
  <c r="Y286" i="12"/>
  <c r="AK285" i="12"/>
  <c r="AI285" i="12"/>
  <c r="AG285" i="12"/>
  <c r="AE285" i="12"/>
  <c r="AC285" i="12"/>
  <c r="AA285" i="12"/>
  <c r="Y285" i="12"/>
  <c r="AK284" i="12"/>
  <c r="AI284" i="12"/>
  <c r="AG284" i="12"/>
  <c r="AE284" i="12"/>
  <c r="AC284" i="12"/>
  <c r="AA284" i="12"/>
  <c r="Y284" i="12"/>
  <c r="AK283" i="12"/>
  <c r="AI283" i="12"/>
  <c r="AG283" i="12"/>
  <c r="AE283" i="12"/>
  <c r="AC283" i="12"/>
  <c r="AA283" i="12"/>
  <c r="Y283" i="12"/>
  <c r="Q283" i="12"/>
  <c r="R283" i="12" s="1"/>
  <c r="P283" i="12"/>
  <c r="N283" i="12"/>
  <c r="C283" i="12"/>
  <c r="AK282" i="12"/>
  <c r="AI282" i="12"/>
  <c r="AG282" i="12"/>
  <c r="AE282" i="12"/>
  <c r="AC282" i="12"/>
  <c r="AA282" i="12"/>
  <c r="Y282" i="12"/>
  <c r="AK281" i="12"/>
  <c r="AI281" i="12"/>
  <c r="AG281" i="12"/>
  <c r="AE281" i="12"/>
  <c r="AC281" i="12"/>
  <c r="AA281" i="12"/>
  <c r="Y281" i="12"/>
  <c r="AK280" i="12"/>
  <c r="AI280" i="12"/>
  <c r="AG280" i="12"/>
  <c r="AE280" i="12"/>
  <c r="AC280" i="12"/>
  <c r="AA280" i="12"/>
  <c r="Y280" i="12"/>
  <c r="AK279" i="12"/>
  <c r="AI279" i="12"/>
  <c r="AG279" i="12"/>
  <c r="AE279" i="12"/>
  <c r="AC279" i="12"/>
  <c r="AA279" i="12"/>
  <c r="Y279" i="12"/>
  <c r="AK278" i="12"/>
  <c r="AI278" i="12"/>
  <c r="AG278" i="12"/>
  <c r="AE278" i="12"/>
  <c r="AC278" i="12"/>
  <c r="AA278" i="12"/>
  <c r="Y278" i="12"/>
  <c r="AK277" i="12"/>
  <c r="AI277" i="12"/>
  <c r="AG277" i="12"/>
  <c r="AE277" i="12"/>
  <c r="AC277" i="12"/>
  <c r="AA277" i="12"/>
  <c r="Y277" i="12"/>
  <c r="Q277" i="12"/>
  <c r="R277" i="12" s="1"/>
  <c r="P277" i="12"/>
  <c r="N277" i="12"/>
  <c r="C277" i="12"/>
  <c r="AK276" i="12"/>
  <c r="AI276" i="12"/>
  <c r="AG276" i="12"/>
  <c r="AE276" i="12"/>
  <c r="AC276" i="12"/>
  <c r="AA276" i="12"/>
  <c r="Y276" i="12"/>
  <c r="AK275" i="12"/>
  <c r="AI275" i="12"/>
  <c r="AG275" i="12"/>
  <c r="AE275" i="12"/>
  <c r="AC275" i="12"/>
  <c r="AA275" i="12"/>
  <c r="Y275" i="12"/>
  <c r="AK274" i="12"/>
  <c r="AI274" i="12"/>
  <c r="AG274" i="12"/>
  <c r="AE274" i="12"/>
  <c r="AC274" i="12"/>
  <c r="AA274" i="12"/>
  <c r="Y274" i="12"/>
  <c r="AK273" i="12"/>
  <c r="AI273" i="12"/>
  <c r="AG273" i="12"/>
  <c r="AE273" i="12"/>
  <c r="AC273" i="12"/>
  <c r="AA273" i="12"/>
  <c r="Y273" i="12"/>
  <c r="AK272" i="12"/>
  <c r="AI272" i="12"/>
  <c r="AG272" i="12"/>
  <c r="AE272" i="12"/>
  <c r="AC272" i="12"/>
  <c r="AA272" i="12"/>
  <c r="Y272" i="12"/>
  <c r="AK271" i="12"/>
  <c r="AI271" i="12"/>
  <c r="AG271" i="12"/>
  <c r="AE271" i="12"/>
  <c r="AC271" i="12"/>
  <c r="AA271" i="12"/>
  <c r="Y271" i="12"/>
  <c r="Q271" i="12"/>
  <c r="R271" i="12" s="1"/>
  <c r="P271" i="12"/>
  <c r="N271" i="12"/>
  <c r="C271" i="12"/>
  <c r="AK270" i="12"/>
  <c r="AI270" i="12"/>
  <c r="AG270" i="12"/>
  <c r="AE270" i="12"/>
  <c r="AC270" i="12"/>
  <c r="AA270" i="12"/>
  <c r="Y270" i="12"/>
  <c r="AK269" i="12"/>
  <c r="AI269" i="12"/>
  <c r="AG269" i="12"/>
  <c r="AE269" i="12"/>
  <c r="AC269" i="12"/>
  <c r="AA269" i="12"/>
  <c r="Y269" i="12"/>
  <c r="AK268" i="12"/>
  <c r="AI268" i="12"/>
  <c r="AG268" i="12"/>
  <c r="AE268" i="12"/>
  <c r="AC268" i="12"/>
  <c r="AA268" i="12"/>
  <c r="Y268" i="12"/>
  <c r="AK267" i="12"/>
  <c r="AI267" i="12"/>
  <c r="AG267" i="12"/>
  <c r="AE267" i="12"/>
  <c r="AC267" i="12"/>
  <c r="AA267" i="12"/>
  <c r="Y267" i="12"/>
  <c r="AK266" i="12"/>
  <c r="AI266" i="12"/>
  <c r="AG266" i="12"/>
  <c r="AE266" i="12"/>
  <c r="AC266" i="12"/>
  <c r="AA266" i="12"/>
  <c r="Y266" i="12"/>
  <c r="AK265" i="12"/>
  <c r="AI265" i="12"/>
  <c r="AG265" i="12"/>
  <c r="AE265" i="12"/>
  <c r="AC265" i="12"/>
  <c r="AA265" i="12"/>
  <c r="Y265" i="12"/>
  <c r="Q265" i="12"/>
  <c r="R265" i="12" s="1"/>
  <c r="P265" i="12"/>
  <c r="N265" i="12"/>
  <c r="C265" i="12"/>
  <c r="AK264" i="12"/>
  <c r="AI264" i="12"/>
  <c r="AG264" i="12"/>
  <c r="AE264" i="12"/>
  <c r="AC264" i="12"/>
  <c r="AA264" i="12"/>
  <c r="Y264" i="12"/>
  <c r="AK263" i="12"/>
  <c r="AI263" i="12"/>
  <c r="AG263" i="12"/>
  <c r="AE263" i="12"/>
  <c r="AC263" i="12"/>
  <c r="AA263" i="12"/>
  <c r="Y263" i="12"/>
  <c r="AK262" i="12"/>
  <c r="AI262" i="12"/>
  <c r="AG262" i="12"/>
  <c r="AE262" i="12"/>
  <c r="AC262" i="12"/>
  <c r="AA262" i="12"/>
  <c r="Y262" i="12"/>
  <c r="AK261" i="12"/>
  <c r="AI261" i="12"/>
  <c r="AG261" i="12"/>
  <c r="AE261" i="12"/>
  <c r="AC261" i="12"/>
  <c r="AA261" i="12"/>
  <c r="Y261" i="12"/>
  <c r="AK260" i="12"/>
  <c r="AI260" i="12"/>
  <c r="AG260" i="12"/>
  <c r="AE260" i="12"/>
  <c r="AC260" i="12"/>
  <c r="AA260" i="12"/>
  <c r="Y260" i="12"/>
  <c r="AK259" i="12"/>
  <c r="AI259" i="12"/>
  <c r="AG259" i="12"/>
  <c r="AE259" i="12"/>
  <c r="AC259" i="12"/>
  <c r="AA259" i="12"/>
  <c r="Y259" i="12"/>
  <c r="Q259" i="12"/>
  <c r="R259" i="12" s="1"/>
  <c r="P259" i="12"/>
  <c r="N259" i="12"/>
  <c r="C259" i="12"/>
  <c r="AK258" i="12"/>
  <c r="AI258" i="12"/>
  <c r="AG258" i="12"/>
  <c r="AE258" i="12"/>
  <c r="AC258" i="12"/>
  <c r="AA258" i="12"/>
  <c r="Y258" i="12"/>
  <c r="AK257" i="12"/>
  <c r="AI257" i="12"/>
  <c r="AG257" i="12"/>
  <c r="AE257" i="12"/>
  <c r="AC257" i="12"/>
  <c r="AA257" i="12"/>
  <c r="Y257" i="12"/>
  <c r="AK256" i="12"/>
  <c r="AI256" i="12"/>
  <c r="AG256" i="12"/>
  <c r="AE256" i="12"/>
  <c r="AC256" i="12"/>
  <c r="AA256" i="12"/>
  <c r="Y256" i="12"/>
  <c r="AK255" i="12"/>
  <c r="AI255" i="12"/>
  <c r="AG255" i="12"/>
  <c r="AE255" i="12"/>
  <c r="AC255" i="12"/>
  <c r="AA255" i="12"/>
  <c r="Y255" i="12"/>
  <c r="AK254" i="12"/>
  <c r="AI254" i="12"/>
  <c r="AG254" i="12"/>
  <c r="AE254" i="12"/>
  <c r="AC254" i="12"/>
  <c r="AA254" i="12"/>
  <c r="Y254" i="12"/>
  <c r="AK253" i="12"/>
  <c r="AI253" i="12"/>
  <c r="AG253" i="12"/>
  <c r="AE253" i="12"/>
  <c r="AC253" i="12"/>
  <c r="AA253" i="12"/>
  <c r="Y253" i="12"/>
  <c r="Q253" i="12"/>
  <c r="R253" i="12" s="1"/>
  <c r="P253" i="12"/>
  <c r="N253" i="12"/>
  <c r="C253" i="12"/>
  <c r="AK252" i="12"/>
  <c r="AI252" i="12"/>
  <c r="AG252" i="12"/>
  <c r="AE252" i="12"/>
  <c r="AC252" i="12"/>
  <c r="AA252" i="12"/>
  <c r="Y252" i="12"/>
  <c r="AK251" i="12"/>
  <c r="AI251" i="12"/>
  <c r="AG251" i="12"/>
  <c r="AE251" i="12"/>
  <c r="AC251" i="12"/>
  <c r="AA251" i="12"/>
  <c r="Y251" i="12"/>
  <c r="AK250" i="12"/>
  <c r="AI250" i="12"/>
  <c r="AG250" i="12"/>
  <c r="AE250" i="12"/>
  <c r="AC250" i="12"/>
  <c r="AA250" i="12"/>
  <c r="Y250" i="12"/>
  <c r="AK249" i="12"/>
  <c r="AI249" i="12"/>
  <c r="AG249" i="12"/>
  <c r="AE249" i="12"/>
  <c r="AC249" i="12"/>
  <c r="AA249" i="12"/>
  <c r="Y249" i="12"/>
  <c r="AK248" i="12"/>
  <c r="AI248" i="12"/>
  <c r="AG248" i="12"/>
  <c r="AE248" i="12"/>
  <c r="AC248" i="12"/>
  <c r="AA248" i="12"/>
  <c r="Y248" i="12"/>
  <c r="AK247" i="12"/>
  <c r="AI247" i="12"/>
  <c r="AG247" i="12"/>
  <c r="AE247" i="12"/>
  <c r="AC247" i="12"/>
  <c r="AA247" i="12"/>
  <c r="Y247" i="12"/>
  <c r="Q247" i="12"/>
  <c r="R247" i="12" s="1"/>
  <c r="P247" i="12"/>
  <c r="N247" i="12"/>
  <c r="C247" i="12"/>
  <c r="AK246" i="12"/>
  <c r="AI246" i="12"/>
  <c r="AG246" i="12"/>
  <c r="AE246" i="12"/>
  <c r="AC246" i="12"/>
  <c r="AA246" i="12"/>
  <c r="Y246" i="12"/>
  <c r="AK245" i="12"/>
  <c r="AI245" i="12"/>
  <c r="AG245" i="12"/>
  <c r="AE245" i="12"/>
  <c r="AC245" i="12"/>
  <c r="AA245" i="12"/>
  <c r="Y245" i="12"/>
  <c r="AK244" i="12"/>
  <c r="AI244" i="12"/>
  <c r="AG244" i="12"/>
  <c r="AE244" i="12"/>
  <c r="AC244" i="12"/>
  <c r="AA244" i="12"/>
  <c r="Y244" i="12"/>
  <c r="AK243" i="12"/>
  <c r="AI243" i="12"/>
  <c r="AG243" i="12"/>
  <c r="AE243" i="12"/>
  <c r="AC243" i="12"/>
  <c r="AA243" i="12"/>
  <c r="Y243" i="12"/>
  <c r="AK242" i="12"/>
  <c r="AI242" i="12"/>
  <c r="AG242" i="12"/>
  <c r="AE242" i="12"/>
  <c r="AC242" i="12"/>
  <c r="AA242" i="12"/>
  <c r="Y242" i="12"/>
  <c r="AK241" i="12"/>
  <c r="AI241" i="12"/>
  <c r="AG241" i="12"/>
  <c r="AE241" i="12"/>
  <c r="AC241" i="12"/>
  <c r="AA241" i="12"/>
  <c r="Y241" i="12"/>
  <c r="Q241" i="12"/>
  <c r="R241" i="12" s="1"/>
  <c r="P241" i="12"/>
  <c r="N241" i="12"/>
  <c r="C241" i="12"/>
  <c r="AK240" i="12"/>
  <c r="AI240" i="12"/>
  <c r="AG240" i="12"/>
  <c r="AE240" i="12"/>
  <c r="AC240" i="12"/>
  <c r="AA240" i="12"/>
  <c r="Y240" i="12"/>
  <c r="AK239" i="12"/>
  <c r="AI239" i="12"/>
  <c r="AG239" i="12"/>
  <c r="AE239" i="12"/>
  <c r="AC239" i="12"/>
  <c r="AA239" i="12"/>
  <c r="Y239" i="12"/>
  <c r="AK238" i="12"/>
  <c r="AI238" i="12"/>
  <c r="AG238" i="12"/>
  <c r="AE238" i="12"/>
  <c r="AC238" i="12"/>
  <c r="AA238" i="12"/>
  <c r="Y238" i="12"/>
  <c r="AK237" i="12"/>
  <c r="AI237" i="12"/>
  <c r="AG237" i="12"/>
  <c r="AE237" i="12"/>
  <c r="AC237" i="12"/>
  <c r="AA237" i="12"/>
  <c r="Y237" i="12"/>
  <c r="AK236" i="12"/>
  <c r="AI236" i="12"/>
  <c r="AG236" i="12"/>
  <c r="AE236" i="12"/>
  <c r="AC236" i="12"/>
  <c r="AA236" i="12"/>
  <c r="Y236" i="12"/>
  <c r="AK235" i="12"/>
  <c r="AI235" i="12"/>
  <c r="AG235" i="12"/>
  <c r="AE235" i="12"/>
  <c r="AC235" i="12"/>
  <c r="AA235" i="12"/>
  <c r="Y235" i="12"/>
  <c r="Q235" i="12"/>
  <c r="R235" i="12" s="1"/>
  <c r="P235" i="12"/>
  <c r="N235" i="12"/>
  <c r="C235" i="12"/>
  <c r="AK234" i="12"/>
  <c r="AI234" i="12"/>
  <c r="AG234" i="12"/>
  <c r="AE234" i="12"/>
  <c r="AC234" i="12"/>
  <c r="AA234" i="12"/>
  <c r="Y234" i="12"/>
  <c r="AK233" i="12"/>
  <c r="AI233" i="12"/>
  <c r="AG233" i="12"/>
  <c r="AE233" i="12"/>
  <c r="AC233" i="12"/>
  <c r="AA233" i="12"/>
  <c r="Y233" i="12"/>
  <c r="AK232" i="12"/>
  <c r="AI232" i="12"/>
  <c r="AG232" i="12"/>
  <c r="AE232" i="12"/>
  <c r="AC232" i="12"/>
  <c r="AA232" i="12"/>
  <c r="Y232" i="12"/>
  <c r="AK231" i="12"/>
  <c r="AI231" i="12"/>
  <c r="AG231" i="12"/>
  <c r="AE231" i="12"/>
  <c r="AC231" i="12"/>
  <c r="AA231" i="12"/>
  <c r="Y231" i="12"/>
  <c r="AK230" i="12"/>
  <c r="AI230" i="12"/>
  <c r="AG230" i="12"/>
  <c r="AE230" i="12"/>
  <c r="AC230" i="12"/>
  <c r="AA230" i="12"/>
  <c r="Y230" i="12"/>
  <c r="AK229" i="12"/>
  <c r="AI229" i="12"/>
  <c r="AG229" i="12"/>
  <c r="AE229" i="12"/>
  <c r="AC229" i="12"/>
  <c r="AA229" i="12"/>
  <c r="Y229" i="12"/>
  <c r="Q229" i="12"/>
  <c r="R229" i="12" s="1"/>
  <c r="P229" i="12"/>
  <c r="N229" i="12"/>
  <c r="C229" i="12"/>
  <c r="AK228" i="12"/>
  <c r="AI228" i="12"/>
  <c r="AG228" i="12"/>
  <c r="AE228" i="12"/>
  <c r="AC228" i="12"/>
  <c r="AA228" i="12"/>
  <c r="Y228" i="12"/>
  <c r="AK227" i="12"/>
  <c r="AI227" i="12"/>
  <c r="AG227" i="12"/>
  <c r="AE227" i="12"/>
  <c r="AC227" i="12"/>
  <c r="AA227" i="12"/>
  <c r="Y227" i="12"/>
  <c r="AK226" i="12"/>
  <c r="AI226" i="12"/>
  <c r="AG226" i="12"/>
  <c r="AE226" i="12"/>
  <c r="AC226" i="12"/>
  <c r="AA226" i="12"/>
  <c r="Y226" i="12"/>
  <c r="AK225" i="12"/>
  <c r="AI225" i="12"/>
  <c r="AG225" i="12"/>
  <c r="AE225" i="12"/>
  <c r="AC225" i="12"/>
  <c r="AA225" i="12"/>
  <c r="Y225" i="12"/>
  <c r="AK224" i="12"/>
  <c r="AI224" i="12"/>
  <c r="AG224" i="12"/>
  <c r="AE224" i="12"/>
  <c r="AC224" i="12"/>
  <c r="AA224" i="12"/>
  <c r="Y224" i="12"/>
  <c r="AK223" i="12"/>
  <c r="AI223" i="12"/>
  <c r="AG223" i="12"/>
  <c r="AE223" i="12"/>
  <c r="AC223" i="12"/>
  <c r="AA223" i="12"/>
  <c r="Y223" i="12"/>
  <c r="Q223" i="12"/>
  <c r="R223" i="12" s="1"/>
  <c r="P223" i="12"/>
  <c r="N223" i="12"/>
  <c r="C223" i="12"/>
  <c r="AK222" i="12"/>
  <c r="AI222" i="12"/>
  <c r="AG222" i="12"/>
  <c r="AE222" i="12"/>
  <c r="AC222" i="12"/>
  <c r="AA222" i="12"/>
  <c r="Y222" i="12"/>
  <c r="AK221" i="12"/>
  <c r="AI221" i="12"/>
  <c r="AG221" i="12"/>
  <c r="AE221" i="12"/>
  <c r="AC221" i="12"/>
  <c r="AA221" i="12"/>
  <c r="Y221" i="12"/>
  <c r="AK220" i="12"/>
  <c r="AI220" i="12"/>
  <c r="AG220" i="12"/>
  <c r="AE220" i="12"/>
  <c r="AC220" i="12"/>
  <c r="AA220" i="12"/>
  <c r="Y220" i="12"/>
  <c r="AK219" i="12"/>
  <c r="AI219" i="12"/>
  <c r="AG219" i="12"/>
  <c r="AE219" i="12"/>
  <c r="AC219" i="12"/>
  <c r="AA219" i="12"/>
  <c r="Y219" i="12"/>
  <c r="AK218" i="12"/>
  <c r="AI218" i="12"/>
  <c r="AG218" i="12"/>
  <c r="AE218" i="12"/>
  <c r="AC218" i="12"/>
  <c r="AA218" i="12"/>
  <c r="Y218" i="12"/>
  <c r="AK217" i="12"/>
  <c r="AI217" i="12"/>
  <c r="AG217" i="12"/>
  <c r="AE217" i="12"/>
  <c r="AC217" i="12"/>
  <c r="AA217" i="12"/>
  <c r="Y217" i="12"/>
  <c r="Q217" i="12"/>
  <c r="R217" i="12" s="1"/>
  <c r="P217" i="12"/>
  <c r="N217" i="12"/>
  <c r="C217" i="12"/>
  <c r="AK216" i="12"/>
  <c r="AI216" i="12"/>
  <c r="AG216" i="12"/>
  <c r="AE216" i="12"/>
  <c r="AC216" i="12"/>
  <c r="AA216" i="12"/>
  <c r="Y216" i="12"/>
  <c r="AK215" i="12"/>
  <c r="AI215" i="12"/>
  <c r="AG215" i="12"/>
  <c r="AE215" i="12"/>
  <c r="AC215" i="12"/>
  <c r="AA215" i="12"/>
  <c r="Y215" i="12"/>
  <c r="AK214" i="12"/>
  <c r="AI214" i="12"/>
  <c r="AG214" i="12"/>
  <c r="AE214" i="12"/>
  <c r="AC214" i="12"/>
  <c r="AA214" i="12"/>
  <c r="Y214" i="12"/>
  <c r="AK213" i="12"/>
  <c r="AI213" i="12"/>
  <c r="AG213" i="12"/>
  <c r="AE213" i="12"/>
  <c r="AC213" i="12"/>
  <c r="AA213" i="12"/>
  <c r="Y213" i="12"/>
  <c r="AK212" i="12"/>
  <c r="AI212" i="12"/>
  <c r="AG212" i="12"/>
  <c r="AE212" i="12"/>
  <c r="AC212" i="12"/>
  <c r="AA212" i="12"/>
  <c r="Y212" i="12"/>
  <c r="AK211" i="12"/>
  <c r="AI211" i="12"/>
  <c r="AG211" i="12"/>
  <c r="AE211" i="12"/>
  <c r="AC211" i="12"/>
  <c r="AA211" i="12"/>
  <c r="Y211" i="12"/>
  <c r="Q211" i="12"/>
  <c r="R211" i="12" s="1"/>
  <c r="P211" i="12"/>
  <c r="N211" i="12"/>
  <c r="C211" i="12"/>
  <c r="AK210" i="12"/>
  <c r="AI210" i="12"/>
  <c r="AG210" i="12"/>
  <c r="AE210" i="12"/>
  <c r="AC210" i="12"/>
  <c r="AA210" i="12"/>
  <c r="Y210" i="12"/>
  <c r="AK209" i="12"/>
  <c r="AI209" i="12"/>
  <c r="AG209" i="12"/>
  <c r="AE209" i="12"/>
  <c r="AC209" i="12"/>
  <c r="AA209" i="12"/>
  <c r="Y209" i="12"/>
  <c r="AK208" i="12"/>
  <c r="AI208" i="12"/>
  <c r="AG208" i="12"/>
  <c r="AE208" i="12"/>
  <c r="AC208" i="12"/>
  <c r="AA208" i="12"/>
  <c r="Y208" i="12"/>
  <c r="AK207" i="12"/>
  <c r="AI207" i="12"/>
  <c r="AG207" i="12"/>
  <c r="AE207" i="12"/>
  <c r="AC207" i="12"/>
  <c r="AA207" i="12"/>
  <c r="Y207" i="12"/>
  <c r="AK206" i="12"/>
  <c r="AI206" i="12"/>
  <c r="AG206" i="12"/>
  <c r="AE206" i="12"/>
  <c r="AC206" i="12"/>
  <c r="AA206" i="12"/>
  <c r="Y206" i="12"/>
  <c r="AK205" i="12"/>
  <c r="AI205" i="12"/>
  <c r="AG205" i="12"/>
  <c r="AE205" i="12"/>
  <c r="AC205" i="12"/>
  <c r="AA205" i="12"/>
  <c r="Y205" i="12"/>
  <c r="Q205" i="12"/>
  <c r="R205" i="12" s="1"/>
  <c r="P205" i="12"/>
  <c r="N205" i="12"/>
  <c r="C205" i="12"/>
  <c r="AK204" i="12"/>
  <c r="AI204" i="12"/>
  <c r="AG204" i="12"/>
  <c r="AE204" i="12"/>
  <c r="AC204" i="12"/>
  <c r="AA204" i="12"/>
  <c r="Y204" i="12"/>
  <c r="AK203" i="12"/>
  <c r="AI203" i="12"/>
  <c r="AG203" i="12"/>
  <c r="AE203" i="12"/>
  <c r="AC203" i="12"/>
  <c r="AA203" i="12"/>
  <c r="Y203" i="12"/>
  <c r="AK202" i="12"/>
  <c r="AI202" i="12"/>
  <c r="AG202" i="12"/>
  <c r="AE202" i="12"/>
  <c r="AC202" i="12"/>
  <c r="AA202" i="12"/>
  <c r="Y202" i="12"/>
  <c r="AK201" i="12"/>
  <c r="AI201" i="12"/>
  <c r="AG201" i="12"/>
  <c r="AE201" i="12"/>
  <c r="AC201" i="12"/>
  <c r="AA201" i="12"/>
  <c r="Y201" i="12"/>
  <c r="AK200" i="12"/>
  <c r="AI200" i="12"/>
  <c r="AG200" i="12"/>
  <c r="AE200" i="12"/>
  <c r="AC200" i="12"/>
  <c r="AA200" i="12"/>
  <c r="Y200" i="12"/>
  <c r="AK199" i="12"/>
  <c r="AI199" i="12"/>
  <c r="AG199" i="12"/>
  <c r="AE199" i="12"/>
  <c r="AC199" i="12"/>
  <c r="AA199" i="12"/>
  <c r="Y199" i="12"/>
  <c r="Q199" i="12"/>
  <c r="R199" i="12" s="1"/>
  <c r="P199" i="12"/>
  <c r="N199" i="12"/>
  <c r="C199" i="12"/>
  <c r="AK198" i="12"/>
  <c r="AI198" i="12"/>
  <c r="AG198" i="12"/>
  <c r="AE198" i="12"/>
  <c r="AC198" i="12"/>
  <c r="AA198" i="12"/>
  <c r="Y198" i="12"/>
  <c r="AK197" i="12"/>
  <c r="AI197" i="12"/>
  <c r="AG197" i="12"/>
  <c r="AE197" i="12"/>
  <c r="AC197" i="12"/>
  <c r="AA197" i="12"/>
  <c r="Y197" i="12"/>
  <c r="AK196" i="12"/>
  <c r="AI196" i="12"/>
  <c r="AG196" i="12"/>
  <c r="AE196" i="12"/>
  <c r="AC196" i="12"/>
  <c r="AA196" i="12"/>
  <c r="Y196" i="12"/>
  <c r="AK195" i="12"/>
  <c r="AI195" i="12"/>
  <c r="AG195" i="12"/>
  <c r="AE195" i="12"/>
  <c r="AC195" i="12"/>
  <c r="AA195" i="12"/>
  <c r="Y195" i="12"/>
  <c r="AK194" i="12"/>
  <c r="AI194" i="12"/>
  <c r="AG194" i="12"/>
  <c r="AE194" i="12"/>
  <c r="AC194" i="12"/>
  <c r="AA194" i="12"/>
  <c r="Y194" i="12"/>
  <c r="AK193" i="12"/>
  <c r="AI193" i="12"/>
  <c r="AG193" i="12"/>
  <c r="AE193" i="12"/>
  <c r="AC193" i="12"/>
  <c r="AA193" i="12"/>
  <c r="Y193" i="12"/>
  <c r="Q193" i="12"/>
  <c r="R193" i="12" s="1"/>
  <c r="P193" i="12"/>
  <c r="N193" i="12"/>
  <c r="C193" i="12"/>
  <c r="AK192" i="12"/>
  <c r="AI192" i="12"/>
  <c r="AG192" i="12"/>
  <c r="AE192" i="12"/>
  <c r="AC192" i="12"/>
  <c r="AA192" i="12"/>
  <c r="Y192" i="12"/>
  <c r="AK191" i="12"/>
  <c r="AI191" i="12"/>
  <c r="AG191" i="12"/>
  <c r="AE191" i="12"/>
  <c r="AC191" i="12"/>
  <c r="AA191" i="12"/>
  <c r="Y191" i="12"/>
  <c r="AK190" i="12"/>
  <c r="AI190" i="12"/>
  <c r="AG190" i="12"/>
  <c r="AE190" i="12"/>
  <c r="AC190" i="12"/>
  <c r="AA190" i="12"/>
  <c r="Y190" i="12"/>
  <c r="AK189" i="12"/>
  <c r="AI189" i="12"/>
  <c r="AG189" i="12"/>
  <c r="AE189" i="12"/>
  <c r="AC189" i="12"/>
  <c r="AA189" i="12"/>
  <c r="Y189" i="12"/>
  <c r="AK188" i="12"/>
  <c r="AI188" i="12"/>
  <c r="AG188" i="12"/>
  <c r="AE188" i="12"/>
  <c r="AC188" i="12"/>
  <c r="AA188" i="12"/>
  <c r="Y188" i="12"/>
  <c r="AK187" i="12"/>
  <c r="AI187" i="12"/>
  <c r="AG187" i="12"/>
  <c r="AE187" i="12"/>
  <c r="AC187" i="12"/>
  <c r="AA187" i="12"/>
  <c r="Y187" i="12"/>
  <c r="Q187" i="12"/>
  <c r="R187" i="12" s="1"/>
  <c r="P187" i="12"/>
  <c r="N187" i="12"/>
  <c r="C187" i="12"/>
  <c r="AK186" i="12"/>
  <c r="AI186" i="12"/>
  <c r="AG186" i="12"/>
  <c r="AE186" i="12"/>
  <c r="AC186" i="12"/>
  <c r="AA186" i="12"/>
  <c r="Y186" i="12"/>
  <c r="AK185" i="12"/>
  <c r="AI185" i="12"/>
  <c r="AG185" i="12"/>
  <c r="AE185" i="12"/>
  <c r="AC185" i="12"/>
  <c r="AA185" i="12"/>
  <c r="Y185" i="12"/>
  <c r="AK184" i="12"/>
  <c r="AI184" i="12"/>
  <c r="AG184" i="12"/>
  <c r="AE184" i="12"/>
  <c r="AC184" i="12"/>
  <c r="AA184" i="12"/>
  <c r="Y184" i="12"/>
  <c r="AK183" i="12"/>
  <c r="AI183" i="12"/>
  <c r="AG183" i="12"/>
  <c r="AE183" i="12"/>
  <c r="AC183" i="12"/>
  <c r="AA183" i="12"/>
  <c r="Y183" i="12"/>
  <c r="AK182" i="12"/>
  <c r="AI182" i="12"/>
  <c r="AG182" i="12"/>
  <c r="AE182" i="12"/>
  <c r="AC182" i="12"/>
  <c r="AA182" i="12"/>
  <c r="Y182" i="12"/>
  <c r="AK181" i="12"/>
  <c r="AI181" i="12"/>
  <c r="AG181" i="12"/>
  <c r="AE181" i="12"/>
  <c r="AC181" i="12"/>
  <c r="AA181" i="12"/>
  <c r="Y181" i="12"/>
  <c r="Q181" i="12"/>
  <c r="R181" i="12" s="1"/>
  <c r="P181" i="12"/>
  <c r="N181" i="12"/>
  <c r="C181" i="12"/>
  <c r="AK180" i="12"/>
  <c r="AI180" i="12"/>
  <c r="AG180" i="12"/>
  <c r="AE180" i="12"/>
  <c r="AC180" i="12"/>
  <c r="AA180" i="12"/>
  <c r="Y180" i="12"/>
  <c r="AK179" i="12"/>
  <c r="AI179" i="12"/>
  <c r="AG179" i="12"/>
  <c r="AE179" i="12"/>
  <c r="AC179" i="12"/>
  <c r="AA179" i="12"/>
  <c r="Y179" i="12"/>
  <c r="AK178" i="12"/>
  <c r="AI178" i="12"/>
  <c r="AG178" i="12"/>
  <c r="AE178" i="12"/>
  <c r="AC178" i="12"/>
  <c r="AA178" i="12"/>
  <c r="Y178" i="12"/>
  <c r="AK177" i="12"/>
  <c r="AI177" i="12"/>
  <c r="AG177" i="12"/>
  <c r="AE177" i="12"/>
  <c r="AC177" i="12"/>
  <c r="AA177" i="12"/>
  <c r="Y177" i="12"/>
  <c r="AK176" i="12"/>
  <c r="AI176" i="12"/>
  <c r="AG176" i="12"/>
  <c r="AE176" i="12"/>
  <c r="AC176" i="12"/>
  <c r="AA176" i="12"/>
  <c r="Y176" i="12"/>
  <c r="AK175" i="12"/>
  <c r="AI175" i="12"/>
  <c r="AG175" i="12"/>
  <c r="AE175" i="12"/>
  <c r="AC175" i="12"/>
  <c r="AA175" i="12"/>
  <c r="Y175" i="12"/>
  <c r="Q175" i="12"/>
  <c r="R175" i="12" s="1"/>
  <c r="P175" i="12"/>
  <c r="N175" i="12"/>
  <c r="C175" i="12"/>
  <c r="AK174" i="12"/>
  <c r="AI174" i="12"/>
  <c r="AG174" i="12"/>
  <c r="AE174" i="12"/>
  <c r="AC174" i="12"/>
  <c r="AA174" i="12"/>
  <c r="Y174" i="12"/>
  <c r="AK173" i="12"/>
  <c r="AI173" i="12"/>
  <c r="AG173" i="12"/>
  <c r="AE173" i="12"/>
  <c r="AC173" i="12"/>
  <c r="AA173" i="12"/>
  <c r="Y173" i="12"/>
  <c r="AK172" i="12"/>
  <c r="AI172" i="12"/>
  <c r="AG172" i="12"/>
  <c r="AE172" i="12"/>
  <c r="AC172" i="12"/>
  <c r="AA172" i="12"/>
  <c r="Y172" i="12"/>
  <c r="AK171" i="12"/>
  <c r="AI171" i="12"/>
  <c r="AG171" i="12"/>
  <c r="AE171" i="12"/>
  <c r="AC171" i="12"/>
  <c r="AA171" i="12"/>
  <c r="Y171" i="12"/>
  <c r="AK170" i="12"/>
  <c r="AI170" i="12"/>
  <c r="AG170" i="12"/>
  <c r="AE170" i="12"/>
  <c r="AC170" i="12"/>
  <c r="AA170" i="12"/>
  <c r="Y170" i="12"/>
  <c r="AK169" i="12"/>
  <c r="AI169" i="12"/>
  <c r="AG169" i="12"/>
  <c r="AE169" i="12"/>
  <c r="AC169" i="12"/>
  <c r="AA169" i="12"/>
  <c r="Y169" i="12"/>
  <c r="Q169" i="12"/>
  <c r="R169" i="12" s="1"/>
  <c r="P169" i="12"/>
  <c r="N169" i="12"/>
  <c r="C169" i="12"/>
  <c r="AK168" i="12"/>
  <c r="AI168" i="12"/>
  <c r="AG168" i="12"/>
  <c r="AE168" i="12"/>
  <c r="AC168" i="12"/>
  <c r="AA168" i="12"/>
  <c r="Y168" i="12"/>
  <c r="AK167" i="12"/>
  <c r="AI167" i="12"/>
  <c r="AG167" i="12"/>
  <c r="AE167" i="12"/>
  <c r="AC167" i="12"/>
  <c r="AA167" i="12"/>
  <c r="Y167" i="12"/>
  <c r="AK166" i="12"/>
  <c r="AI166" i="12"/>
  <c r="AG166" i="12"/>
  <c r="AE166" i="12"/>
  <c r="AC166" i="12"/>
  <c r="AA166" i="12"/>
  <c r="Y166" i="12"/>
  <c r="AK165" i="12"/>
  <c r="AI165" i="12"/>
  <c r="AG165" i="12"/>
  <c r="AE165" i="12"/>
  <c r="AC165" i="12"/>
  <c r="AA165" i="12"/>
  <c r="Y165" i="12"/>
  <c r="AK164" i="12"/>
  <c r="AI164" i="12"/>
  <c r="AG164" i="12"/>
  <c r="AE164" i="12"/>
  <c r="AC164" i="12"/>
  <c r="AA164" i="12"/>
  <c r="Y164" i="12"/>
  <c r="AK163" i="12"/>
  <c r="AI163" i="12"/>
  <c r="AG163" i="12"/>
  <c r="AE163" i="12"/>
  <c r="AC163" i="12"/>
  <c r="AA163" i="12"/>
  <c r="Y163" i="12"/>
  <c r="Q163" i="12"/>
  <c r="R163" i="12" s="1"/>
  <c r="P163" i="12"/>
  <c r="N163" i="12"/>
  <c r="C163" i="12"/>
  <c r="AK162" i="12"/>
  <c r="AI162" i="12"/>
  <c r="AG162" i="12"/>
  <c r="AE162" i="12"/>
  <c r="AC162" i="12"/>
  <c r="AA162" i="12"/>
  <c r="Y162" i="12"/>
  <c r="AK161" i="12"/>
  <c r="AI161" i="12"/>
  <c r="AG161" i="12"/>
  <c r="AE161" i="12"/>
  <c r="AC161" i="12"/>
  <c r="AA161" i="12"/>
  <c r="Y161" i="12"/>
  <c r="AK160" i="12"/>
  <c r="AI160" i="12"/>
  <c r="AG160" i="12"/>
  <c r="AE160" i="12"/>
  <c r="AC160" i="12"/>
  <c r="AA160" i="12"/>
  <c r="Y160" i="12"/>
  <c r="AK159" i="12"/>
  <c r="AI159" i="12"/>
  <c r="AG159" i="12"/>
  <c r="AE159" i="12"/>
  <c r="AC159" i="12"/>
  <c r="AA159" i="12"/>
  <c r="Y159" i="12"/>
  <c r="AK158" i="12"/>
  <c r="AI158" i="12"/>
  <c r="AG158" i="12"/>
  <c r="AE158" i="12"/>
  <c r="AC158" i="12"/>
  <c r="AA158" i="12"/>
  <c r="Y158" i="12"/>
  <c r="AK157" i="12"/>
  <c r="AI157" i="12"/>
  <c r="AG157" i="12"/>
  <c r="AE157" i="12"/>
  <c r="AC157" i="12"/>
  <c r="AA157" i="12"/>
  <c r="Y157" i="12"/>
  <c r="Q157" i="12"/>
  <c r="R157" i="12" s="1"/>
  <c r="P157" i="12"/>
  <c r="N157" i="12"/>
  <c r="C157" i="12"/>
  <c r="AK156" i="12"/>
  <c r="AI156" i="12"/>
  <c r="AG156" i="12"/>
  <c r="AE156" i="12"/>
  <c r="AC156" i="12"/>
  <c r="AA156" i="12"/>
  <c r="Y156" i="12"/>
  <c r="AK155" i="12"/>
  <c r="AI155" i="12"/>
  <c r="AG155" i="12"/>
  <c r="AE155" i="12"/>
  <c r="AC155" i="12"/>
  <c r="AA155" i="12"/>
  <c r="Y155" i="12"/>
  <c r="AK154" i="12"/>
  <c r="AI154" i="12"/>
  <c r="AG154" i="12"/>
  <c r="AE154" i="12"/>
  <c r="AC154" i="12"/>
  <c r="AA154" i="12"/>
  <c r="Y154" i="12"/>
  <c r="AK153" i="12"/>
  <c r="AI153" i="12"/>
  <c r="AG153" i="12"/>
  <c r="AE153" i="12"/>
  <c r="AC153" i="12"/>
  <c r="AA153" i="12"/>
  <c r="Y153" i="12"/>
  <c r="AK152" i="12"/>
  <c r="AI152" i="12"/>
  <c r="AG152" i="12"/>
  <c r="AE152" i="12"/>
  <c r="AC152" i="12"/>
  <c r="AA152" i="12"/>
  <c r="Y152" i="12"/>
  <c r="AK151" i="12"/>
  <c r="AI151" i="12"/>
  <c r="AG151" i="12"/>
  <c r="AE151" i="12"/>
  <c r="AC151" i="12"/>
  <c r="AA151" i="12"/>
  <c r="Y151" i="12"/>
  <c r="Q151" i="12"/>
  <c r="R151" i="12" s="1"/>
  <c r="P151" i="12"/>
  <c r="N151" i="12"/>
  <c r="C151" i="12"/>
  <c r="AK150" i="12"/>
  <c r="AI150" i="12"/>
  <c r="AG150" i="12"/>
  <c r="AE150" i="12"/>
  <c r="AC150" i="12"/>
  <c r="AA150" i="12"/>
  <c r="Y150" i="12"/>
  <c r="AK149" i="12"/>
  <c r="AI149" i="12"/>
  <c r="AG149" i="12"/>
  <c r="AE149" i="12"/>
  <c r="AC149" i="12"/>
  <c r="AA149" i="12"/>
  <c r="Y149" i="12"/>
  <c r="AK148" i="12"/>
  <c r="AI148" i="12"/>
  <c r="AG148" i="12"/>
  <c r="AE148" i="12"/>
  <c r="AC148" i="12"/>
  <c r="AA148" i="12"/>
  <c r="Y148" i="12"/>
  <c r="AK147" i="12"/>
  <c r="AI147" i="12"/>
  <c r="AG147" i="12"/>
  <c r="AE147" i="12"/>
  <c r="AC147" i="12"/>
  <c r="AA147" i="12"/>
  <c r="Y147" i="12"/>
  <c r="AK146" i="12"/>
  <c r="AI146" i="12"/>
  <c r="AG146" i="12"/>
  <c r="AE146" i="12"/>
  <c r="AC146" i="12"/>
  <c r="AA146" i="12"/>
  <c r="Y146" i="12"/>
  <c r="AK145" i="12"/>
  <c r="AI145" i="12"/>
  <c r="AG145" i="12"/>
  <c r="AE145" i="12"/>
  <c r="AC145" i="12"/>
  <c r="AA145" i="12"/>
  <c r="Y145" i="12"/>
  <c r="Q145" i="12"/>
  <c r="R145" i="12" s="1"/>
  <c r="P145" i="12"/>
  <c r="N145" i="12"/>
  <c r="C145" i="12"/>
  <c r="AK144" i="12"/>
  <c r="AI144" i="12"/>
  <c r="AG144" i="12"/>
  <c r="AE144" i="12"/>
  <c r="AC144" i="12"/>
  <c r="AA144" i="12"/>
  <c r="Y144" i="12"/>
  <c r="AK143" i="12"/>
  <c r="AI143" i="12"/>
  <c r="AG143" i="12"/>
  <c r="AE143" i="12"/>
  <c r="AC143" i="12"/>
  <c r="AA143" i="12"/>
  <c r="Y143" i="12"/>
  <c r="AK142" i="12"/>
  <c r="AI142" i="12"/>
  <c r="AG142" i="12"/>
  <c r="AE142" i="12"/>
  <c r="AC142" i="12"/>
  <c r="AA142" i="12"/>
  <c r="Y142" i="12"/>
  <c r="AK141" i="12"/>
  <c r="AI141" i="12"/>
  <c r="AG141" i="12"/>
  <c r="AE141" i="12"/>
  <c r="AC141" i="12"/>
  <c r="AA141" i="12"/>
  <c r="Y141" i="12"/>
  <c r="AK140" i="12"/>
  <c r="AI140" i="12"/>
  <c r="AG140" i="12"/>
  <c r="AE140" i="12"/>
  <c r="AC140" i="12"/>
  <c r="AA140" i="12"/>
  <c r="Y140" i="12"/>
  <c r="AK139" i="12"/>
  <c r="AI139" i="12"/>
  <c r="AG139" i="12"/>
  <c r="AE139" i="12"/>
  <c r="AC139" i="12"/>
  <c r="AA139" i="12"/>
  <c r="Y139" i="12"/>
  <c r="Q139" i="12"/>
  <c r="R139" i="12" s="1"/>
  <c r="P139" i="12"/>
  <c r="N139" i="12"/>
  <c r="C139" i="12"/>
  <c r="AK138" i="12"/>
  <c r="AI138" i="12"/>
  <c r="AG138" i="12"/>
  <c r="AE138" i="12"/>
  <c r="AC138" i="12"/>
  <c r="AA138" i="12"/>
  <c r="Y138" i="12"/>
  <c r="AK137" i="12"/>
  <c r="AI137" i="12"/>
  <c r="AG137" i="12"/>
  <c r="AE137" i="12"/>
  <c r="AC137" i="12"/>
  <c r="AA137" i="12"/>
  <c r="Y137" i="12"/>
  <c r="AK136" i="12"/>
  <c r="AI136" i="12"/>
  <c r="AG136" i="12"/>
  <c r="AE136" i="12"/>
  <c r="AC136" i="12"/>
  <c r="AA136" i="12"/>
  <c r="Y136" i="12"/>
  <c r="AK135" i="12"/>
  <c r="AI135" i="12"/>
  <c r="AG135" i="12"/>
  <c r="AE135" i="12"/>
  <c r="AC135" i="12"/>
  <c r="AA135" i="12"/>
  <c r="Y135" i="12"/>
  <c r="AK134" i="12"/>
  <c r="AI134" i="12"/>
  <c r="AG134" i="12"/>
  <c r="AE134" i="12"/>
  <c r="AC134" i="12"/>
  <c r="AA134" i="12"/>
  <c r="Y134" i="12"/>
  <c r="AK133" i="12"/>
  <c r="AI133" i="12"/>
  <c r="AG133" i="12"/>
  <c r="AE133" i="12"/>
  <c r="AC133" i="12"/>
  <c r="AA133" i="12"/>
  <c r="Y133" i="12"/>
  <c r="Q133" i="12"/>
  <c r="R133" i="12" s="1"/>
  <c r="P133" i="12"/>
  <c r="N133" i="12"/>
  <c r="C133" i="12"/>
  <c r="AK132" i="12"/>
  <c r="AI132" i="12"/>
  <c r="AG132" i="12"/>
  <c r="AE132" i="12"/>
  <c r="AC132" i="12"/>
  <c r="AA132" i="12"/>
  <c r="Y132" i="12"/>
  <c r="AK131" i="12"/>
  <c r="AI131" i="12"/>
  <c r="AG131" i="12"/>
  <c r="AE131" i="12"/>
  <c r="AC131" i="12"/>
  <c r="AA131" i="12"/>
  <c r="Y131" i="12"/>
  <c r="AK130" i="12"/>
  <c r="AI130" i="12"/>
  <c r="AG130" i="12"/>
  <c r="AE130" i="12"/>
  <c r="AC130" i="12"/>
  <c r="AA130" i="12"/>
  <c r="Y130" i="12"/>
  <c r="AK129" i="12"/>
  <c r="AI129" i="12"/>
  <c r="AG129" i="12"/>
  <c r="AE129" i="12"/>
  <c r="AC129" i="12"/>
  <c r="AA129" i="12"/>
  <c r="Y129" i="12"/>
  <c r="AK128" i="12"/>
  <c r="AI128" i="12"/>
  <c r="AG128" i="12"/>
  <c r="AE128" i="12"/>
  <c r="AC128" i="12"/>
  <c r="AA128" i="12"/>
  <c r="Y128" i="12"/>
  <c r="AK127" i="12"/>
  <c r="AI127" i="12"/>
  <c r="AG127" i="12"/>
  <c r="AE127" i="12"/>
  <c r="AC127" i="12"/>
  <c r="AA127" i="12"/>
  <c r="Y127" i="12"/>
  <c r="Q127" i="12"/>
  <c r="R127" i="12" s="1"/>
  <c r="P127" i="12"/>
  <c r="N127" i="12"/>
  <c r="C127" i="12"/>
  <c r="AK126" i="12"/>
  <c r="AI126" i="12"/>
  <c r="AG126" i="12"/>
  <c r="AE126" i="12"/>
  <c r="AC126" i="12"/>
  <c r="AA126" i="12"/>
  <c r="Y126" i="12"/>
  <c r="AK125" i="12"/>
  <c r="AI125" i="12"/>
  <c r="AG125" i="12"/>
  <c r="AE125" i="12"/>
  <c r="AC125" i="12"/>
  <c r="AA125" i="12"/>
  <c r="Y125" i="12"/>
  <c r="AK124" i="12"/>
  <c r="AI124" i="12"/>
  <c r="AG124" i="12"/>
  <c r="AE124" i="12"/>
  <c r="AC124" i="12"/>
  <c r="AA124" i="12"/>
  <c r="Y124" i="12"/>
  <c r="AK123" i="12"/>
  <c r="AI123" i="12"/>
  <c r="AG123" i="12"/>
  <c r="AE123" i="12"/>
  <c r="AC123" i="12"/>
  <c r="AA123" i="12"/>
  <c r="Y123" i="12"/>
  <c r="AK122" i="12"/>
  <c r="AI122" i="12"/>
  <c r="AG122" i="12"/>
  <c r="AE122" i="12"/>
  <c r="AC122" i="12"/>
  <c r="AA122" i="12"/>
  <c r="Y122" i="12"/>
  <c r="AK121" i="12"/>
  <c r="AI121" i="12"/>
  <c r="AG121" i="12"/>
  <c r="AE121" i="12"/>
  <c r="AC121" i="12"/>
  <c r="AA121" i="12"/>
  <c r="Y121" i="12"/>
  <c r="Q121" i="12"/>
  <c r="R121" i="12" s="1"/>
  <c r="P121" i="12"/>
  <c r="N121" i="12"/>
  <c r="C121" i="12"/>
  <c r="AK120" i="12"/>
  <c r="AI120" i="12"/>
  <c r="AG120" i="12"/>
  <c r="AE120" i="12"/>
  <c r="AC120" i="12"/>
  <c r="AA120" i="12"/>
  <c r="Y120" i="12"/>
  <c r="AK119" i="12"/>
  <c r="AI119" i="12"/>
  <c r="AG119" i="12"/>
  <c r="AE119" i="12"/>
  <c r="AC119" i="12"/>
  <c r="AA119" i="12"/>
  <c r="Y119" i="12"/>
  <c r="AK118" i="12"/>
  <c r="AI118" i="12"/>
  <c r="AG118" i="12"/>
  <c r="AE118" i="12"/>
  <c r="AC118" i="12"/>
  <c r="AA118" i="12"/>
  <c r="Y118" i="12"/>
  <c r="AK117" i="12"/>
  <c r="AI117" i="12"/>
  <c r="AG117" i="12"/>
  <c r="AE117" i="12"/>
  <c r="AC117" i="12"/>
  <c r="AA117" i="12"/>
  <c r="Y117" i="12"/>
  <c r="AK116" i="12"/>
  <c r="AI116" i="12"/>
  <c r="AG116" i="12"/>
  <c r="AE116" i="12"/>
  <c r="AC116" i="12"/>
  <c r="AA116" i="12"/>
  <c r="Y116" i="12"/>
  <c r="AK115" i="12"/>
  <c r="AI115" i="12"/>
  <c r="AG115" i="12"/>
  <c r="AE115" i="12"/>
  <c r="AC115" i="12"/>
  <c r="AA115" i="12"/>
  <c r="Y115" i="12"/>
  <c r="Q115" i="12"/>
  <c r="R115" i="12" s="1"/>
  <c r="P115" i="12"/>
  <c r="N115" i="12"/>
  <c r="C115" i="12"/>
  <c r="AK114" i="12"/>
  <c r="AI114" i="12"/>
  <c r="AG114" i="12"/>
  <c r="AE114" i="12"/>
  <c r="AC114" i="12"/>
  <c r="AA114" i="12"/>
  <c r="Y114" i="12"/>
  <c r="AK113" i="12"/>
  <c r="AI113" i="12"/>
  <c r="AG113" i="12"/>
  <c r="AE113" i="12"/>
  <c r="AC113" i="12"/>
  <c r="AA113" i="12"/>
  <c r="Y113" i="12"/>
  <c r="AK112" i="12"/>
  <c r="AI112" i="12"/>
  <c r="AG112" i="12"/>
  <c r="AE112" i="12"/>
  <c r="AC112" i="12"/>
  <c r="AA112" i="12"/>
  <c r="Y112" i="12"/>
  <c r="AK111" i="12"/>
  <c r="AI111" i="12"/>
  <c r="AG111" i="12"/>
  <c r="AE111" i="12"/>
  <c r="AC111" i="12"/>
  <c r="AA111" i="12"/>
  <c r="Y111" i="12"/>
  <c r="AK110" i="12"/>
  <c r="AI110" i="12"/>
  <c r="AG110" i="12"/>
  <c r="AE110" i="12"/>
  <c r="AC110" i="12"/>
  <c r="AA110" i="12"/>
  <c r="Y110" i="12"/>
  <c r="AK109" i="12"/>
  <c r="AI109" i="12"/>
  <c r="AG109" i="12"/>
  <c r="AE109" i="12"/>
  <c r="AC109" i="12"/>
  <c r="AA109" i="12"/>
  <c r="Y109" i="12"/>
  <c r="Q109" i="12"/>
  <c r="R109" i="12" s="1"/>
  <c r="P109" i="12"/>
  <c r="N109" i="12"/>
  <c r="C109" i="12"/>
  <c r="AK108" i="12"/>
  <c r="AI108" i="12"/>
  <c r="AG108" i="12"/>
  <c r="AE108" i="12"/>
  <c r="AC108" i="12"/>
  <c r="AA108" i="12"/>
  <c r="Y108" i="12"/>
  <c r="AK107" i="12"/>
  <c r="AI107" i="12"/>
  <c r="AG107" i="12"/>
  <c r="AE107" i="12"/>
  <c r="AC107" i="12"/>
  <c r="AA107" i="12"/>
  <c r="Y107" i="12"/>
  <c r="AK106" i="12"/>
  <c r="AI106" i="12"/>
  <c r="AG106" i="12"/>
  <c r="AE106" i="12"/>
  <c r="AC106" i="12"/>
  <c r="AA106" i="12"/>
  <c r="Y106" i="12"/>
  <c r="AK105" i="12"/>
  <c r="AI105" i="12"/>
  <c r="AG105" i="12"/>
  <c r="AE105" i="12"/>
  <c r="AC105" i="12"/>
  <c r="AA105" i="12"/>
  <c r="Y105" i="12"/>
  <c r="AK104" i="12"/>
  <c r="AI104" i="12"/>
  <c r="AG104" i="12"/>
  <c r="AE104" i="12"/>
  <c r="AC104" i="12"/>
  <c r="AA104" i="12"/>
  <c r="Y104" i="12"/>
  <c r="AK103" i="12"/>
  <c r="AI103" i="12"/>
  <c r="AG103" i="12"/>
  <c r="AE103" i="12"/>
  <c r="AC103" i="12"/>
  <c r="AA103" i="12"/>
  <c r="Y103" i="12"/>
  <c r="Q103" i="12"/>
  <c r="R103" i="12" s="1"/>
  <c r="P103" i="12"/>
  <c r="N103" i="12"/>
  <c r="C103" i="12"/>
  <c r="AK102" i="12"/>
  <c r="AI102" i="12"/>
  <c r="AG102" i="12"/>
  <c r="AE102" i="12"/>
  <c r="AC102" i="12"/>
  <c r="AA102" i="12"/>
  <c r="Y102" i="12"/>
  <c r="AK101" i="12"/>
  <c r="AI101" i="12"/>
  <c r="AG101" i="12"/>
  <c r="AE101" i="12"/>
  <c r="AC101" i="12"/>
  <c r="AA101" i="12"/>
  <c r="Y101" i="12"/>
  <c r="AK100" i="12"/>
  <c r="AI100" i="12"/>
  <c r="AG100" i="12"/>
  <c r="AE100" i="12"/>
  <c r="AC100" i="12"/>
  <c r="AA100" i="12"/>
  <c r="Y100" i="12"/>
  <c r="AK99" i="12"/>
  <c r="AI99" i="12"/>
  <c r="AG99" i="12"/>
  <c r="AE99" i="12"/>
  <c r="AC99" i="12"/>
  <c r="AA99" i="12"/>
  <c r="Y99" i="12"/>
  <c r="AK98" i="12"/>
  <c r="AI98" i="12"/>
  <c r="AG98" i="12"/>
  <c r="AE98" i="12"/>
  <c r="AC98" i="12"/>
  <c r="AA98" i="12"/>
  <c r="Y98" i="12"/>
  <c r="AK97" i="12"/>
  <c r="AI97" i="12"/>
  <c r="AG97" i="12"/>
  <c r="AE97" i="12"/>
  <c r="AC97" i="12"/>
  <c r="AA97" i="12"/>
  <c r="Y97" i="12"/>
  <c r="Q97" i="12"/>
  <c r="R97" i="12" s="1"/>
  <c r="P97" i="12"/>
  <c r="N97" i="12"/>
  <c r="C97" i="12"/>
  <c r="AK96" i="12"/>
  <c r="AI96" i="12"/>
  <c r="AG96" i="12"/>
  <c r="AE96" i="12"/>
  <c r="AC96" i="12"/>
  <c r="AA96" i="12"/>
  <c r="Y96" i="12"/>
  <c r="AK95" i="12"/>
  <c r="AI95" i="12"/>
  <c r="AG95" i="12"/>
  <c r="AE95" i="12"/>
  <c r="AC95" i="12"/>
  <c r="AA95" i="12"/>
  <c r="Y95" i="12"/>
  <c r="AK94" i="12"/>
  <c r="AI94" i="12"/>
  <c r="AG94" i="12"/>
  <c r="AE94" i="12"/>
  <c r="AC94" i="12"/>
  <c r="AA94" i="12"/>
  <c r="Y94" i="12"/>
  <c r="AK93" i="12"/>
  <c r="AI93" i="12"/>
  <c r="AG93" i="12"/>
  <c r="AE93" i="12"/>
  <c r="AC93" i="12"/>
  <c r="AA93" i="12"/>
  <c r="Y93" i="12"/>
  <c r="AK92" i="12"/>
  <c r="AI92" i="12"/>
  <c r="AG92" i="12"/>
  <c r="AE92" i="12"/>
  <c r="AC92" i="12"/>
  <c r="AA92" i="12"/>
  <c r="Y92" i="12"/>
  <c r="AK91" i="12"/>
  <c r="AI91" i="12"/>
  <c r="AG91" i="12"/>
  <c r="AE91" i="12"/>
  <c r="AC91" i="12"/>
  <c r="AA91" i="12"/>
  <c r="Y91" i="12"/>
  <c r="Q91" i="12"/>
  <c r="R91" i="12" s="1"/>
  <c r="P91" i="12"/>
  <c r="N91" i="12"/>
  <c r="C91" i="12"/>
  <c r="AK90" i="12"/>
  <c r="AI90" i="12"/>
  <c r="AG90" i="12"/>
  <c r="AE90" i="12"/>
  <c r="AC90" i="12"/>
  <c r="AA90" i="12"/>
  <c r="Y90" i="12"/>
  <c r="AK89" i="12"/>
  <c r="AI89" i="12"/>
  <c r="AG89" i="12"/>
  <c r="AE89" i="12"/>
  <c r="AC89" i="12"/>
  <c r="AA89" i="12"/>
  <c r="Y89" i="12"/>
  <c r="AK88" i="12"/>
  <c r="AI88" i="12"/>
  <c r="AG88" i="12"/>
  <c r="AE88" i="12"/>
  <c r="AC88" i="12"/>
  <c r="AA88" i="12"/>
  <c r="Y88" i="12"/>
  <c r="AK87" i="12"/>
  <c r="AI87" i="12"/>
  <c r="AG87" i="12"/>
  <c r="AE87" i="12"/>
  <c r="AC87" i="12"/>
  <c r="AA87" i="12"/>
  <c r="Y87" i="12"/>
  <c r="AK86" i="12"/>
  <c r="AI86" i="12"/>
  <c r="AG86" i="12"/>
  <c r="AE86" i="12"/>
  <c r="AC86" i="12"/>
  <c r="AA86" i="12"/>
  <c r="Y86" i="12"/>
  <c r="AK85" i="12"/>
  <c r="AI85" i="12"/>
  <c r="AG85" i="12"/>
  <c r="AE85" i="12"/>
  <c r="AC85" i="12"/>
  <c r="AA85" i="12"/>
  <c r="Y85" i="12"/>
  <c r="Q85" i="12"/>
  <c r="R85" i="12" s="1"/>
  <c r="P85" i="12"/>
  <c r="N85" i="12"/>
  <c r="C85" i="12"/>
  <c r="AK84" i="12"/>
  <c r="AI84" i="12"/>
  <c r="AG84" i="12"/>
  <c r="AE84" i="12"/>
  <c r="AC84" i="12"/>
  <c r="AA84" i="12"/>
  <c r="Y84" i="12"/>
  <c r="AK83" i="12"/>
  <c r="AI83" i="12"/>
  <c r="AG83" i="12"/>
  <c r="AE83" i="12"/>
  <c r="AC83" i="12"/>
  <c r="AA83" i="12"/>
  <c r="Y83" i="12"/>
  <c r="AK82" i="12"/>
  <c r="AI82" i="12"/>
  <c r="AG82" i="12"/>
  <c r="AE82" i="12"/>
  <c r="AC82" i="12"/>
  <c r="AA82" i="12"/>
  <c r="Y82" i="12"/>
  <c r="AK81" i="12"/>
  <c r="AI81" i="12"/>
  <c r="AG81" i="12"/>
  <c r="AE81" i="12"/>
  <c r="AC81" i="12"/>
  <c r="AA81" i="12"/>
  <c r="Y81" i="12"/>
  <c r="AK80" i="12"/>
  <c r="AI80" i="12"/>
  <c r="AG80" i="12"/>
  <c r="AE80" i="12"/>
  <c r="AC80" i="12"/>
  <c r="AA80" i="12"/>
  <c r="Y80" i="12"/>
  <c r="AK79" i="12"/>
  <c r="AI79" i="12"/>
  <c r="AG79" i="12"/>
  <c r="AE79" i="12"/>
  <c r="AC79" i="12"/>
  <c r="AA79" i="12"/>
  <c r="Y79" i="12"/>
  <c r="Q79" i="12"/>
  <c r="R79" i="12" s="1"/>
  <c r="P79" i="12"/>
  <c r="N79" i="12"/>
  <c r="C79" i="12"/>
  <c r="AK78" i="12"/>
  <c r="AI78" i="12"/>
  <c r="AG78" i="12"/>
  <c r="AE78" i="12"/>
  <c r="AC78" i="12"/>
  <c r="AA78" i="12"/>
  <c r="Y78" i="12"/>
  <c r="AK77" i="12"/>
  <c r="AI77" i="12"/>
  <c r="AG77" i="12"/>
  <c r="AE77" i="12"/>
  <c r="AC77" i="12"/>
  <c r="AA77" i="12"/>
  <c r="Y77" i="12"/>
  <c r="AK76" i="12"/>
  <c r="AI76" i="12"/>
  <c r="AG76" i="12"/>
  <c r="AE76" i="12"/>
  <c r="AC76" i="12"/>
  <c r="AA76" i="12"/>
  <c r="Y76" i="12"/>
  <c r="AK75" i="12"/>
  <c r="AI75" i="12"/>
  <c r="AG75" i="12"/>
  <c r="AE75" i="12"/>
  <c r="AC75" i="12"/>
  <c r="AA75" i="12"/>
  <c r="Y75" i="12"/>
  <c r="AK74" i="12"/>
  <c r="AI74" i="12"/>
  <c r="AG74" i="12"/>
  <c r="AE74" i="12"/>
  <c r="AC74" i="12"/>
  <c r="AA74" i="12"/>
  <c r="Y74" i="12"/>
  <c r="AK73" i="12"/>
  <c r="AI73" i="12"/>
  <c r="AG73" i="12"/>
  <c r="AE73" i="12"/>
  <c r="AC73" i="12"/>
  <c r="AA73" i="12"/>
  <c r="Y73" i="12"/>
  <c r="Q73" i="12"/>
  <c r="R73" i="12" s="1"/>
  <c r="P73" i="12"/>
  <c r="N73" i="12"/>
  <c r="C73" i="12"/>
  <c r="AK72" i="12"/>
  <c r="AI72" i="12"/>
  <c r="AG72" i="12"/>
  <c r="AE72" i="12"/>
  <c r="AC72" i="12"/>
  <c r="AA72" i="12"/>
  <c r="Y72" i="12"/>
  <c r="AK71" i="12"/>
  <c r="AI71" i="12"/>
  <c r="AG71" i="12"/>
  <c r="AE71" i="12"/>
  <c r="AC71" i="12"/>
  <c r="AA71" i="12"/>
  <c r="Y71" i="12"/>
  <c r="AK70" i="12"/>
  <c r="AI70" i="12"/>
  <c r="AG70" i="12"/>
  <c r="AE70" i="12"/>
  <c r="AC70" i="12"/>
  <c r="AA70" i="12"/>
  <c r="Y70" i="12"/>
  <c r="AK69" i="12"/>
  <c r="AI69" i="12"/>
  <c r="AG69" i="12"/>
  <c r="AE69" i="12"/>
  <c r="AC69" i="12"/>
  <c r="AA69" i="12"/>
  <c r="Y69" i="12"/>
  <c r="AK68" i="12"/>
  <c r="AI68" i="12"/>
  <c r="AG68" i="12"/>
  <c r="AE68" i="12"/>
  <c r="AC68" i="12"/>
  <c r="AA68" i="12"/>
  <c r="Y68" i="12"/>
  <c r="AK67" i="12"/>
  <c r="AI67" i="12"/>
  <c r="AG67" i="12"/>
  <c r="AE67" i="12"/>
  <c r="AC67" i="12"/>
  <c r="AA67" i="12"/>
  <c r="Y67" i="12"/>
  <c r="Q67" i="12"/>
  <c r="R67" i="12" s="1"/>
  <c r="P67" i="12"/>
  <c r="N67" i="12"/>
  <c r="C67" i="12"/>
  <c r="AK66" i="12"/>
  <c r="AI66" i="12"/>
  <c r="AG66" i="12"/>
  <c r="AE66" i="12"/>
  <c r="AC66" i="12"/>
  <c r="AA66" i="12"/>
  <c r="Y66" i="12"/>
  <c r="AK65" i="12"/>
  <c r="AI65" i="12"/>
  <c r="AG65" i="12"/>
  <c r="AE65" i="12"/>
  <c r="AC65" i="12"/>
  <c r="AA65" i="12"/>
  <c r="Y65" i="12"/>
  <c r="AK64" i="12"/>
  <c r="AI64" i="12"/>
  <c r="AG64" i="12"/>
  <c r="AE64" i="12"/>
  <c r="AC64" i="12"/>
  <c r="AA64" i="12"/>
  <c r="Y64" i="12"/>
  <c r="AK63" i="12"/>
  <c r="AI63" i="12"/>
  <c r="AG63" i="12"/>
  <c r="AE63" i="12"/>
  <c r="AC63" i="12"/>
  <c r="AA63" i="12"/>
  <c r="Y63" i="12"/>
  <c r="AK62" i="12"/>
  <c r="AI62" i="12"/>
  <c r="AG62" i="12"/>
  <c r="AE62" i="12"/>
  <c r="AC62" i="12"/>
  <c r="AA62" i="12"/>
  <c r="Y62" i="12"/>
  <c r="AK61" i="12"/>
  <c r="AI61" i="12"/>
  <c r="AG61" i="12"/>
  <c r="AE61" i="12"/>
  <c r="AC61" i="12"/>
  <c r="AA61" i="12"/>
  <c r="Y61" i="12"/>
  <c r="Q61" i="12"/>
  <c r="R61" i="12" s="1"/>
  <c r="P61" i="12"/>
  <c r="N61" i="12"/>
  <c r="C61" i="12"/>
  <c r="AK60" i="12"/>
  <c r="AI60" i="12"/>
  <c r="AG60" i="12"/>
  <c r="AE60" i="12"/>
  <c r="AC60" i="12"/>
  <c r="AA60" i="12"/>
  <c r="Y60" i="12"/>
  <c r="AK59" i="12"/>
  <c r="AI59" i="12"/>
  <c r="AG59" i="12"/>
  <c r="AE59" i="12"/>
  <c r="AC59" i="12"/>
  <c r="AA59" i="12"/>
  <c r="Y59" i="12"/>
  <c r="AK58" i="12"/>
  <c r="AI58" i="12"/>
  <c r="AG58" i="12"/>
  <c r="AE58" i="12"/>
  <c r="AC58" i="12"/>
  <c r="AA58" i="12"/>
  <c r="Y58" i="12"/>
  <c r="AK57" i="12"/>
  <c r="AI57" i="12"/>
  <c r="AG57" i="12"/>
  <c r="AE57" i="12"/>
  <c r="AC57" i="12"/>
  <c r="AA57" i="12"/>
  <c r="Y57" i="12"/>
  <c r="AK56" i="12"/>
  <c r="AI56" i="12"/>
  <c r="AG56" i="12"/>
  <c r="AE56" i="12"/>
  <c r="AC56" i="12"/>
  <c r="AA56" i="12"/>
  <c r="Y56" i="12"/>
  <c r="AK55" i="12"/>
  <c r="AI55" i="12"/>
  <c r="AG55" i="12"/>
  <c r="AE55" i="12"/>
  <c r="AC55" i="12"/>
  <c r="AA55" i="12"/>
  <c r="Y55" i="12"/>
  <c r="Q55" i="12"/>
  <c r="R55" i="12" s="1"/>
  <c r="P55" i="12"/>
  <c r="N55" i="12"/>
  <c r="C55" i="12"/>
  <c r="AK54" i="12"/>
  <c r="AI54" i="12"/>
  <c r="AG54" i="12"/>
  <c r="AE54" i="12"/>
  <c r="AC54" i="12"/>
  <c r="AA54" i="12"/>
  <c r="Y54" i="12"/>
  <c r="AK53" i="12"/>
  <c r="AI53" i="12"/>
  <c r="AG53" i="12"/>
  <c r="AE53" i="12"/>
  <c r="AC53" i="12"/>
  <c r="AA53" i="12"/>
  <c r="Y53" i="12"/>
  <c r="AK52" i="12"/>
  <c r="AI52" i="12"/>
  <c r="AG52" i="12"/>
  <c r="AE52" i="12"/>
  <c r="AC52" i="12"/>
  <c r="AA52" i="12"/>
  <c r="Y52" i="12"/>
  <c r="AK51" i="12"/>
  <c r="AI51" i="12"/>
  <c r="AG51" i="12"/>
  <c r="AE51" i="12"/>
  <c r="AC51" i="12"/>
  <c r="AA51" i="12"/>
  <c r="Y51" i="12"/>
  <c r="AK50" i="12"/>
  <c r="AI50" i="12"/>
  <c r="AG50" i="12"/>
  <c r="AE50" i="12"/>
  <c r="AC50" i="12"/>
  <c r="AA50" i="12"/>
  <c r="Y50" i="12"/>
  <c r="AK49" i="12"/>
  <c r="AI49" i="12"/>
  <c r="AG49" i="12"/>
  <c r="AE49" i="12"/>
  <c r="AC49" i="12"/>
  <c r="AA49" i="12"/>
  <c r="Y49" i="12"/>
  <c r="Q49" i="12"/>
  <c r="R49" i="12" s="1"/>
  <c r="P49" i="12"/>
  <c r="N49" i="12"/>
  <c r="C49" i="12"/>
  <c r="AK48" i="12"/>
  <c r="AI48" i="12"/>
  <c r="AG48" i="12"/>
  <c r="AE48" i="12"/>
  <c r="AC48" i="12"/>
  <c r="AA48" i="12"/>
  <c r="Y48" i="12"/>
  <c r="AK47" i="12"/>
  <c r="AI47" i="12"/>
  <c r="AG47" i="12"/>
  <c r="AE47" i="12"/>
  <c r="AC47" i="12"/>
  <c r="AA47" i="12"/>
  <c r="Y47" i="12"/>
  <c r="AK46" i="12"/>
  <c r="AI46" i="12"/>
  <c r="AG46" i="12"/>
  <c r="AE46" i="12"/>
  <c r="AC46" i="12"/>
  <c r="AA46" i="12"/>
  <c r="Y46" i="12"/>
  <c r="AK45" i="12"/>
  <c r="AI45" i="12"/>
  <c r="AG45" i="12"/>
  <c r="AE45" i="12"/>
  <c r="AC45" i="12"/>
  <c r="AA45" i="12"/>
  <c r="Y45" i="12"/>
  <c r="AK44" i="12"/>
  <c r="AI44" i="12"/>
  <c r="AG44" i="12"/>
  <c r="AE44" i="12"/>
  <c r="AC44" i="12"/>
  <c r="AA44" i="12"/>
  <c r="Y44" i="12"/>
  <c r="AK43" i="12"/>
  <c r="AI43" i="12"/>
  <c r="AG43" i="12"/>
  <c r="AE43" i="12"/>
  <c r="AC43" i="12"/>
  <c r="AA43" i="12"/>
  <c r="Y43" i="12"/>
  <c r="Q43" i="12"/>
  <c r="R43" i="12" s="1"/>
  <c r="P43" i="12"/>
  <c r="N43" i="12"/>
  <c r="C43" i="12"/>
  <c r="AK42" i="12"/>
  <c r="AI42" i="12"/>
  <c r="AG42" i="12"/>
  <c r="AE42" i="12"/>
  <c r="AC42" i="12"/>
  <c r="AA42" i="12"/>
  <c r="Y42" i="12"/>
  <c r="AK41" i="12"/>
  <c r="AI41" i="12"/>
  <c r="AG41" i="12"/>
  <c r="AE41" i="12"/>
  <c r="AC41" i="12"/>
  <c r="AA41" i="12"/>
  <c r="Y41" i="12"/>
  <c r="AK40" i="12"/>
  <c r="AI40" i="12"/>
  <c r="AG40" i="12"/>
  <c r="AE40" i="12"/>
  <c r="AC40" i="12"/>
  <c r="AA40" i="12"/>
  <c r="Y40" i="12"/>
  <c r="AK39" i="12"/>
  <c r="AI39" i="12"/>
  <c r="AG39" i="12"/>
  <c r="AE39" i="12"/>
  <c r="AC39" i="12"/>
  <c r="AA39" i="12"/>
  <c r="Y39" i="12"/>
  <c r="AK38" i="12"/>
  <c r="AI38" i="12"/>
  <c r="AG38" i="12"/>
  <c r="AE38" i="12"/>
  <c r="AC38" i="12"/>
  <c r="AA38" i="12"/>
  <c r="Y38" i="12"/>
  <c r="AK37" i="12"/>
  <c r="AI37" i="12"/>
  <c r="AG37" i="12"/>
  <c r="AE37" i="12"/>
  <c r="AC37" i="12"/>
  <c r="AA37" i="12"/>
  <c r="Y37" i="12"/>
  <c r="Q37" i="12"/>
  <c r="R37" i="12" s="1"/>
  <c r="P37" i="12"/>
  <c r="N37" i="12"/>
  <c r="C37" i="12"/>
  <c r="AK36" i="12"/>
  <c r="AI36" i="12"/>
  <c r="AG36" i="12"/>
  <c r="AE36" i="12"/>
  <c r="AC36" i="12"/>
  <c r="AA36" i="12"/>
  <c r="Y36" i="12"/>
  <c r="AK35" i="12"/>
  <c r="AI35" i="12"/>
  <c r="AG35" i="12"/>
  <c r="AE35" i="12"/>
  <c r="AC35" i="12"/>
  <c r="AA35" i="12"/>
  <c r="Y35" i="12"/>
  <c r="AK34" i="12"/>
  <c r="AI34" i="12"/>
  <c r="AG34" i="12"/>
  <c r="AE34" i="12"/>
  <c r="AC34" i="12"/>
  <c r="AA34" i="12"/>
  <c r="Y34" i="12"/>
  <c r="AK33" i="12"/>
  <c r="AI33" i="12"/>
  <c r="AG33" i="12"/>
  <c r="AE33" i="12"/>
  <c r="AC33" i="12"/>
  <c r="AA33" i="12"/>
  <c r="Y33" i="12"/>
  <c r="AK32" i="12"/>
  <c r="AI32" i="12"/>
  <c r="AG32" i="12"/>
  <c r="AE32" i="12"/>
  <c r="AC32" i="12"/>
  <c r="AA32" i="12"/>
  <c r="Y32" i="12"/>
  <c r="AK31" i="12"/>
  <c r="AI31" i="12"/>
  <c r="AG31" i="12"/>
  <c r="AE31" i="12"/>
  <c r="AC31" i="12"/>
  <c r="AA31" i="12"/>
  <c r="Y31" i="12"/>
  <c r="Q31" i="12"/>
  <c r="R31" i="12" s="1"/>
  <c r="P31" i="12"/>
  <c r="N31" i="12"/>
  <c r="C31" i="12"/>
  <c r="AK30" i="12"/>
  <c r="AI30" i="12"/>
  <c r="AG30" i="12"/>
  <c r="AE30" i="12"/>
  <c r="AC30" i="12"/>
  <c r="AA30" i="12"/>
  <c r="Y30" i="12"/>
  <c r="AK29" i="12"/>
  <c r="AI29" i="12"/>
  <c r="AG29" i="12"/>
  <c r="AE29" i="12"/>
  <c r="AC29" i="12"/>
  <c r="AA29" i="12"/>
  <c r="Y29" i="12"/>
  <c r="AK28" i="12"/>
  <c r="AI28" i="12"/>
  <c r="AG28" i="12"/>
  <c r="AE28" i="12"/>
  <c r="AC28" i="12"/>
  <c r="AA28" i="12"/>
  <c r="Y28" i="12"/>
  <c r="AK27" i="12"/>
  <c r="AI27" i="12"/>
  <c r="AG27" i="12"/>
  <c r="AE27" i="12"/>
  <c r="AC27" i="12"/>
  <c r="AA27" i="12"/>
  <c r="Y27" i="12"/>
  <c r="AK26" i="12"/>
  <c r="AI26" i="12"/>
  <c r="AG26" i="12"/>
  <c r="AE26" i="12"/>
  <c r="AC26" i="12"/>
  <c r="AA26" i="12"/>
  <c r="Y26" i="12"/>
  <c r="AK25" i="12"/>
  <c r="AI25" i="12"/>
  <c r="AG25" i="12"/>
  <c r="AE25" i="12"/>
  <c r="AC25" i="12"/>
  <c r="AA25" i="12"/>
  <c r="Y25" i="12"/>
  <c r="Q25" i="12"/>
  <c r="R25" i="12" s="1"/>
  <c r="P25" i="12"/>
  <c r="N25" i="12"/>
  <c r="C25" i="12"/>
  <c r="AK24" i="12"/>
  <c r="AI24" i="12"/>
  <c r="AG24" i="12"/>
  <c r="AE24" i="12"/>
  <c r="AC24" i="12"/>
  <c r="AA24" i="12"/>
  <c r="Y24" i="12"/>
  <c r="AK23" i="12"/>
  <c r="AI23" i="12"/>
  <c r="AG23" i="12"/>
  <c r="AE23" i="12"/>
  <c r="AC23" i="12"/>
  <c r="AA23" i="12"/>
  <c r="Y23" i="12"/>
  <c r="AK22" i="12"/>
  <c r="AI22" i="12"/>
  <c r="AG22" i="12"/>
  <c r="AE22" i="12"/>
  <c r="AC22" i="12"/>
  <c r="AA22" i="12"/>
  <c r="Y22" i="12"/>
  <c r="AK21" i="12"/>
  <c r="AI21" i="12"/>
  <c r="AG21" i="12"/>
  <c r="AE21" i="12"/>
  <c r="AC21" i="12"/>
  <c r="AA21" i="12"/>
  <c r="Y21" i="12"/>
  <c r="AK20" i="12"/>
  <c r="AI20" i="12"/>
  <c r="AG20" i="12"/>
  <c r="AE20" i="12"/>
  <c r="AC20" i="12"/>
  <c r="AA20" i="12"/>
  <c r="Y20" i="12"/>
  <c r="AK19" i="12"/>
  <c r="AI19" i="12"/>
  <c r="AG19" i="12"/>
  <c r="AE19" i="12"/>
  <c r="AC19" i="12"/>
  <c r="AA19" i="12"/>
  <c r="Y19" i="12"/>
  <c r="Q19" i="12"/>
  <c r="R19" i="12" s="1"/>
  <c r="P19" i="12"/>
  <c r="N19" i="12"/>
  <c r="C19" i="12"/>
  <c r="AK18" i="12"/>
  <c r="AI18" i="12"/>
  <c r="AG18" i="12"/>
  <c r="AE18" i="12"/>
  <c r="AC18" i="12"/>
  <c r="AA18" i="12"/>
  <c r="Y18" i="12"/>
  <c r="AK17" i="12"/>
  <c r="AI17" i="12"/>
  <c r="AG17" i="12"/>
  <c r="AE17" i="12"/>
  <c r="AC17" i="12"/>
  <c r="AA17" i="12"/>
  <c r="Y17" i="12"/>
  <c r="AK16" i="12"/>
  <c r="AI16" i="12"/>
  <c r="AG16" i="12"/>
  <c r="AE16" i="12"/>
  <c r="AC16" i="12"/>
  <c r="AA16" i="12"/>
  <c r="Y16" i="12"/>
  <c r="AK15" i="12"/>
  <c r="AI15" i="12"/>
  <c r="AG15" i="12"/>
  <c r="AE15" i="12"/>
  <c r="AC15" i="12"/>
  <c r="AA15" i="12"/>
  <c r="Y15" i="12"/>
  <c r="AK14" i="12"/>
  <c r="AI14" i="12"/>
  <c r="AG14" i="12"/>
  <c r="AE14" i="12"/>
  <c r="AC14" i="12"/>
  <c r="AA14" i="12"/>
  <c r="Y14" i="12"/>
  <c r="AK13" i="12"/>
  <c r="AI13" i="12"/>
  <c r="AG13" i="12"/>
  <c r="AE13" i="12"/>
  <c r="AC13" i="12"/>
  <c r="AA13" i="12"/>
  <c r="Y13" i="12"/>
  <c r="Q13" i="12"/>
  <c r="R13" i="12" s="1"/>
  <c r="P13" i="12"/>
  <c r="N13" i="12"/>
  <c r="C13" i="12"/>
  <c r="AK12" i="12"/>
  <c r="AI12" i="12"/>
  <c r="AG12" i="12"/>
  <c r="AE12" i="12"/>
  <c r="AC12" i="12"/>
  <c r="AA12" i="12"/>
  <c r="Y12" i="12"/>
  <c r="AK11" i="12"/>
  <c r="AI11" i="12"/>
  <c r="AG11" i="12"/>
  <c r="AE11" i="12"/>
  <c r="AC11" i="12"/>
  <c r="AA11" i="12"/>
  <c r="Y11" i="12"/>
  <c r="AK10" i="12"/>
  <c r="AI10" i="12"/>
  <c r="AG10" i="12"/>
  <c r="AE10" i="12"/>
  <c r="AC10" i="12"/>
  <c r="AA10" i="12"/>
  <c r="Y10" i="12"/>
  <c r="AK9" i="12"/>
  <c r="AI9" i="12"/>
  <c r="AG9" i="12"/>
  <c r="AE9" i="12"/>
  <c r="AC9" i="12"/>
  <c r="AA9" i="12"/>
  <c r="Y9" i="12"/>
  <c r="AK8" i="12"/>
  <c r="AK7" i="12"/>
  <c r="Q7" i="12"/>
  <c r="R7" i="12" s="1"/>
  <c r="P7" i="12"/>
  <c r="N7" i="12"/>
  <c r="C7" i="12"/>
  <c r="M361" i="10"/>
  <c r="M355" i="10"/>
  <c r="M349" i="10"/>
  <c r="M343" i="10"/>
  <c r="M337" i="10"/>
  <c r="M331" i="10"/>
  <c r="M325" i="10"/>
  <c r="M319" i="10"/>
  <c r="M313" i="10"/>
  <c r="M307" i="10"/>
  <c r="M301" i="10"/>
  <c r="M295" i="10"/>
  <c r="M289" i="10"/>
  <c r="M283" i="10"/>
  <c r="M277" i="10"/>
  <c r="M271" i="10"/>
  <c r="M265" i="10"/>
  <c r="M259" i="10"/>
  <c r="M253" i="10"/>
  <c r="M247" i="10"/>
  <c r="M241" i="10"/>
  <c r="M235" i="10"/>
  <c r="M229" i="10"/>
  <c r="M223" i="10"/>
  <c r="M217" i="10"/>
  <c r="M211" i="10"/>
  <c r="M205" i="10"/>
  <c r="M199" i="10"/>
  <c r="M193" i="10"/>
  <c r="M187" i="10"/>
  <c r="M181" i="10"/>
  <c r="M175" i="10"/>
  <c r="M169" i="10"/>
  <c r="M163" i="10"/>
  <c r="M157" i="10"/>
  <c r="M151" i="10"/>
  <c r="M145" i="10"/>
  <c r="M139" i="10"/>
  <c r="M133" i="10"/>
  <c r="M127" i="10"/>
  <c r="M121" i="10"/>
  <c r="M115" i="10"/>
  <c r="M109" i="10"/>
  <c r="M103" i="10"/>
  <c r="M97" i="10"/>
  <c r="M91" i="10"/>
  <c r="M85" i="10"/>
  <c r="M79" i="10"/>
  <c r="M73" i="10"/>
  <c r="M67" i="10"/>
  <c r="M61" i="10"/>
  <c r="M55" i="10"/>
  <c r="M49" i="10"/>
  <c r="M43" i="10"/>
  <c r="M37" i="10"/>
  <c r="M31" i="10"/>
  <c r="M25" i="10"/>
  <c r="M19" i="10"/>
  <c r="M7" i="10"/>
  <c r="N361" i="10"/>
  <c r="N355" i="10"/>
  <c r="N349" i="10"/>
  <c r="N343" i="10"/>
  <c r="N337" i="10"/>
  <c r="N331" i="10"/>
  <c r="N325" i="10"/>
  <c r="N319" i="10"/>
  <c r="N313" i="10"/>
  <c r="N307" i="10"/>
  <c r="N301" i="10"/>
  <c r="N295" i="10"/>
  <c r="N289" i="10"/>
  <c r="N283" i="10"/>
  <c r="N277" i="10"/>
  <c r="N271" i="10"/>
  <c r="N265" i="10"/>
  <c r="N259" i="10"/>
  <c r="N253" i="10"/>
  <c r="N247" i="10"/>
  <c r="N241" i="10"/>
  <c r="N235" i="10"/>
  <c r="N229" i="10"/>
  <c r="N223" i="10"/>
  <c r="N217" i="10"/>
  <c r="N211" i="10"/>
  <c r="N205" i="10"/>
  <c r="N199" i="10"/>
  <c r="N193" i="10"/>
  <c r="N187" i="10"/>
  <c r="N181" i="10"/>
  <c r="N175" i="10"/>
  <c r="N169" i="10"/>
  <c r="N163" i="10"/>
  <c r="N157" i="10"/>
  <c r="N151" i="10"/>
  <c r="N145" i="10"/>
  <c r="N139" i="10"/>
  <c r="N133" i="10"/>
  <c r="N127" i="10"/>
  <c r="N121" i="10"/>
  <c r="N115" i="10"/>
  <c r="N109" i="10"/>
  <c r="N103" i="10"/>
  <c r="N97" i="10"/>
  <c r="N91" i="10"/>
  <c r="N85" i="10"/>
  <c r="N79" i="10"/>
  <c r="N73" i="10"/>
  <c r="N67" i="10"/>
  <c r="N61" i="10"/>
  <c r="N55" i="10"/>
  <c r="N49" i="10"/>
  <c r="N43" i="10"/>
  <c r="N37" i="10"/>
  <c r="N31" i="10"/>
  <c r="N25" i="10"/>
  <c r="N19" i="10"/>
  <c r="N7" i="10"/>
  <c r="C19" i="11"/>
  <c r="BL19" i="12" l="1"/>
  <c r="BJ19" i="12"/>
  <c r="BM19" i="12"/>
  <c r="BK19" i="12"/>
  <c r="BL25" i="12"/>
  <c r="BJ25" i="12"/>
  <c r="BM25" i="12"/>
  <c r="BK25" i="12"/>
  <c r="BL31" i="12"/>
  <c r="BJ31" i="12"/>
  <c r="BM31" i="12"/>
  <c r="BK31" i="12"/>
  <c r="BL37" i="12"/>
  <c r="BJ37" i="12"/>
  <c r="BM37" i="12"/>
  <c r="BK37" i="12"/>
  <c r="BL43" i="12"/>
  <c r="BJ43" i="12"/>
  <c r="BK43" i="12"/>
  <c r="BM43" i="12"/>
  <c r="BL49" i="12"/>
  <c r="BJ49" i="12"/>
  <c r="BM49" i="12"/>
  <c r="BK49" i="12"/>
  <c r="BL55" i="12"/>
  <c r="BJ55" i="12"/>
  <c r="BM55" i="12"/>
  <c r="BK55" i="12"/>
  <c r="BL61" i="12"/>
  <c r="BJ61" i="12"/>
  <c r="BM61" i="12"/>
  <c r="BK61" i="12"/>
  <c r="BL67" i="12"/>
  <c r="BJ67" i="12"/>
  <c r="BM67" i="12"/>
  <c r="BK67" i="12"/>
  <c r="BL73" i="12"/>
  <c r="BJ73" i="12"/>
  <c r="BM73" i="12"/>
  <c r="BK73" i="12"/>
  <c r="BL79" i="12"/>
  <c r="BJ79" i="12"/>
  <c r="BM79" i="12"/>
  <c r="BK79" i="12"/>
  <c r="BL85" i="12"/>
  <c r="BJ85" i="12"/>
  <c r="BM85" i="12"/>
  <c r="BK85" i="12"/>
  <c r="BL91" i="12"/>
  <c r="BJ91" i="12"/>
  <c r="BM91" i="12"/>
  <c r="BK91" i="12"/>
  <c r="BL97" i="12"/>
  <c r="BJ97" i="12"/>
  <c r="BM97" i="12"/>
  <c r="BK97" i="12"/>
  <c r="BL103" i="12"/>
  <c r="BJ103" i="12"/>
  <c r="BM103" i="12"/>
  <c r="BK103" i="12"/>
  <c r="BM109" i="12"/>
  <c r="BL109" i="12"/>
  <c r="BJ109" i="12"/>
  <c r="BK109" i="12"/>
  <c r="BM115" i="12"/>
  <c r="BK115" i="12"/>
  <c r="BL115" i="12"/>
  <c r="BJ115" i="12"/>
  <c r="BM121" i="12"/>
  <c r="BK121" i="12"/>
  <c r="BL121" i="12"/>
  <c r="BJ121" i="12"/>
  <c r="BM127" i="12"/>
  <c r="BK127" i="12"/>
  <c r="BL127" i="12"/>
  <c r="BJ127" i="12"/>
  <c r="BM133" i="12"/>
  <c r="BK133" i="12"/>
  <c r="BL133" i="12"/>
  <c r="BJ133" i="12"/>
  <c r="BM139" i="12"/>
  <c r="BK139" i="12"/>
  <c r="BL139" i="12"/>
  <c r="BJ139" i="12"/>
  <c r="BM145" i="12"/>
  <c r="BK145" i="12"/>
  <c r="BL145" i="12"/>
  <c r="BJ145" i="12"/>
  <c r="BM151" i="12"/>
  <c r="BK151" i="12"/>
  <c r="BL151" i="12"/>
  <c r="BJ151" i="12"/>
  <c r="BM157" i="12"/>
  <c r="BK157" i="12"/>
  <c r="BL157" i="12"/>
  <c r="BJ157" i="12"/>
  <c r="BM163" i="12"/>
  <c r="BK163" i="12"/>
  <c r="BL163" i="12"/>
  <c r="BJ163" i="12"/>
  <c r="BM169" i="12"/>
  <c r="BK169" i="12"/>
  <c r="BL169" i="12"/>
  <c r="BJ169" i="12"/>
  <c r="BM175" i="12"/>
  <c r="BK175" i="12"/>
  <c r="BL175" i="12"/>
  <c r="BJ175" i="12"/>
  <c r="BM181" i="12"/>
  <c r="BK181" i="12"/>
  <c r="BL181" i="12"/>
  <c r="BJ181" i="12"/>
  <c r="BM187" i="12"/>
  <c r="BK187" i="12"/>
  <c r="BL187" i="12"/>
  <c r="BJ187" i="12"/>
  <c r="BM193" i="12"/>
  <c r="BK193" i="12"/>
  <c r="BL193" i="12"/>
  <c r="BJ193" i="12"/>
  <c r="BM199" i="12"/>
  <c r="BK199" i="12"/>
  <c r="BL199" i="12"/>
  <c r="BJ199" i="12"/>
  <c r="BM205" i="12"/>
  <c r="BK205" i="12"/>
  <c r="BL205" i="12"/>
  <c r="BJ205" i="12"/>
  <c r="BM211" i="12"/>
  <c r="BK211" i="12"/>
  <c r="BL211" i="12"/>
  <c r="BJ211" i="12"/>
  <c r="BM217" i="12"/>
  <c r="BK217" i="12"/>
  <c r="BL217" i="12"/>
  <c r="BJ217" i="12"/>
  <c r="BM223" i="12"/>
  <c r="BK223" i="12"/>
  <c r="BL223" i="12"/>
  <c r="BJ223" i="12"/>
  <c r="BM229" i="12"/>
  <c r="BK229" i="12"/>
  <c r="BL229" i="12"/>
  <c r="BJ229" i="12"/>
  <c r="BM235" i="12"/>
  <c r="BK235" i="12"/>
  <c r="BL235" i="12"/>
  <c r="BJ235" i="12"/>
  <c r="BM241" i="12"/>
  <c r="BK241" i="12"/>
  <c r="BL241" i="12"/>
  <c r="BJ241" i="12"/>
  <c r="BM247" i="12"/>
  <c r="BK247" i="12"/>
  <c r="BL247" i="12"/>
  <c r="BJ247" i="12"/>
  <c r="BM253" i="12"/>
  <c r="BK253" i="12"/>
  <c r="BL253" i="12"/>
  <c r="BJ253" i="12"/>
  <c r="BM259" i="12"/>
  <c r="BK259" i="12"/>
  <c r="BL259" i="12"/>
  <c r="BJ259" i="12"/>
  <c r="BM265" i="12"/>
  <c r="BK265" i="12"/>
  <c r="BL265" i="12"/>
  <c r="BJ265" i="12"/>
  <c r="BM271" i="12"/>
  <c r="BK271" i="12"/>
  <c r="BL271" i="12"/>
  <c r="BJ271" i="12"/>
  <c r="BM277" i="12"/>
  <c r="BK277" i="12"/>
  <c r="BL277" i="12"/>
  <c r="BJ277" i="12"/>
  <c r="BM283" i="12"/>
  <c r="BK283" i="12"/>
  <c r="BL283" i="12"/>
  <c r="BJ283" i="12"/>
  <c r="BM289" i="12"/>
  <c r="BK289" i="12"/>
  <c r="BL289" i="12"/>
  <c r="BJ289" i="12"/>
  <c r="BM295" i="12"/>
  <c r="BK295" i="12"/>
  <c r="BL295" i="12"/>
  <c r="BJ295" i="12"/>
  <c r="BM301" i="12"/>
  <c r="BK301" i="12"/>
  <c r="BL301" i="12"/>
  <c r="BJ301" i="12"/>
  <c r="BM307" i="12"/>
  <c r="BK307" i="12"/>
  <c r="BL307" i="12"/>
  <c r="BJ307" i="12"/>
  <c r="BM313" i="12"/>
  <c r="BK313" i="12"/>
  <c r="BL313" i="12"/>
  <c r="BJ313" i="12"/>
  <c r="BM319" i="12"/>
  <c r="BK319" i="12"/>
  <c r="BL319" i="12"/>
  <c r="BJ319" i="12"/>
  <c r="BM325" i="12"/>
  <c r="BK325" i="12"/>
  <c r="BL325" i="12"/>
  <c r="BJ325" i="12"/>
  <c r="BM331" i="12"/>
  <c r="BK331" i="12"/>
  <c r="BL331" i="12"/>
  <c r="BJ331" i="12"/>
  <c r="BM337" i="12"/>
  <c r="BK337" i="12"/>
  <c r="BL337" i="12"/>
  <c r="BJ337" i="12"/>
  <c r="BM343" i="12"/>
  <c r="BK343" i="12"/>
  <c r="BL343" i="12"/>
  <c r="BJ343" i="12"/>
  <c r="BM349" i="12"/>
  <c r="BK349" i="12"/>
  <c r="BL349" i="12"/>
  <c r="BJ349" i="12"/>
  <c r="BM355" i="12"/>
  <c r="BK355" i="12"/>
  <c r="BL355" i="12"/>
  <c r="BJ355" i="12"/>
  <c r="BM361" i="12"/>
  <c r="BK361" i="12"/>
  <c r="BL361" i="12"/>
  <c r="BJ361" i="12"/>
  <c r="BM13" i="12"/>
  <c r="BL13" i="12"/>
  <c r="BJ13" i="12"/>
  <c r="BK13" i="12"/>
  <c r="BM7" i="12"/>
  <c r="BL7" i="12"/>
  <c r="BK7" i="12"/>
  <c r="BJ7" i="12"/>
  <c r="AL8" i="12"/>
  <c r="AM8" i="12" s="1"/>
  <c r="AL39" i="12"/>
  <c r="AM39" i="12" s="1"/>
  <c r="AL43" i="12"/>
  <c r="AM43" i="12" s="1"/>
  <c r="AL130" i="12"/>
  <c r="AM130" i="12" s="1"/>
  <c r="AL132" i="12"/>
  <c r="AM132" i="12" s="1"/>
  <c r="AL140" i="12"/>
  <c r="AM140" i="12" s="1"/>
  <c r="AL158" i="12"/>
  <c r="AM158" i="12" s="1"/>
  <c r="AL161" i="12"/>
  <c r="AM161" i="12" s="1"/>
  <c r="AL162" i="12"/>
  <c r="AM162" i="12" s="1"/>
  <c r="AL163" i="12"/>
  <c r="AM163" i="12" s="1"/>
  <c r="AL170" i="12"/>
  <c r="AM170" i="12" s="1"/>
  <c r="AL171" i="12"/>
  <c r="AM171" i="12" s="1"/>
  <c r="AL172" i="12"/>
  <c r="AM172" i="12" s="1"/>
  <c r="AL173" i="12"/>
  <c r="AM173" i="12" s="1"/>
  <c r="AL174" i="12"/>
  <c r="AM174" i="12" s="1"/>
  <c r="AL175" i="12"/>
  <c r="AM175" i="12" s="1"/>
  <c r="AL182" i="12"/>
  <c r="AM182" i="12" s="1"/>
  <c r="AL183" i="12"/>
  <c r="AM183" i="12" s="1"/>
  <c r="AL184" i="12"/>
  <c r="AM184" i="12" s="1"/>
  <c r="AL185" i="12"/>
  <c r="AM185" i="12" s="1"/>
  <c r="AL186" i="12"/>
  <c r="AM186" i="12" s="1"/>
  <c r="AL187" i="12"/>
  <c r="AM187" i="12" s="1"/>
  <c r="AL194" i="12"/>
  <c r="AM194" i="12" s="1"/>
  <c r="AL195" i="12"/>
  <c r="AM195" i="12" s="1"/>
  <c r="AL196" i="12"/>
  <c r="AM196" i="12" s="1"/>
  <c r="AL197" i="12"/>
  <c r="AM197" i="12" s="1"/>
  <c r="AL198" i="12"/>
  <c r="AM198" i="12" s="1"/>
  <c r="AL199" i="12"/>
  <c r="AM199" i="12" s="1"/>
  <c r="AL204" i="12"/>
  <c r="AM204" i="12" s="1"/>
  <c r="AL213" i="12"/>
  <c r="AM213" i="12" s="1"/>
  <c r="AL216" i="12"/>
  <c r="AM216" i="12" s="1"/>
  <c r="AL217" i="12"/>
  <c r="AM217" i="12" s="1"/>
  <c r="AL219" i="12"/>
  <c r="AM219" i="12" s="1"/>
  <c r="AL268" i="12"/>
  <c r="AM268" i="12" s="1"/>
  <c r="AL269" i="12"/>
  <c r="AM269" i="12" s="1"/>
  <c r="AL52" i="12"/>
  <c r="AM52" i="12" s="1"/>
  <c r="AL62" i="12"/>
  <c r="AM62" i="12" s="1"/>
  <c r="AL64" i="12"/>
  <c r="AM64" i="12" s="1"/>
  <c r="AL65" i="12"/>
  <c r="AM65" i="12" s="1"/>
  <c r="AL67" i="12"/>
  <c r="AM67" i="12" s="1"/>
  <c r="AL69" i="12"/>
  <c r="AM69" i="12" s="1"/>
  <c r="AL71" i="12"/>
  <c r="AM71" i="12" s="1"/>
  <c r="AL87" i="12"/>
  <c r="AM87" i="12" s="1"/>
  <c r="AL91" i="12"/>
  <c r="AM91" i="12" s="1"/>
  <c r="AL94" i="12"/>
  <c r="AM94" i="12" s="1"/>
  <c r="AL110" i="12"/>
  <c r="AM110" i="12" s="1"/>
  <c r="AL111" i="12"/>
  <c r="AM111" i="12" s="1"/>
  <c r="AL112" i="12"/>
  <c r="AM112" i="12" s="1"/>
  <c r="AL117" i="12"/>
  <c r="AM117" i="12" s="1"/>
  <c r="AL119" i="12"/>
  <c r="AM119" i="12" s="1"/>
  <c r="AL123" i="12"/>
  <c r="AM123" i="12" s="1"/>
  <c r="AL125" i="12"/>
  <c r="AM125" i="12" s="1"/>
  <c r="AL128" i="12"/>
  <c r="AM128" i="12" s="1"/>
  <c r="AL151" i="12"/>
  <c r="AM151" i="12" s="1"/>
  <c r="AL284" i="12"/>
  <c r="AM284" i="12" s="1"/>
  <c r="AL299" i="12"/>
  <c r="AM299" i="12" s="1"/>
  <c r="AL306" i="12"/>
  <c r="AM306" i="12" s="1"/>
  <c r="AL308" i="12"/>
  <c r="AM308" i="12" s="1"/>
  <c r="AL309" i="12"/>
  <c r="AM309" i="12" s="1"/>
  <c r="AL312" i="12"/>
  <c r="AM312" i="12" s="1"/>
  <c r="AL313" i="12"/>
  <c r="AM313" i="12" s="1"/>
  <c r="AL316" i="12"/>
  <c r="AM316" i="12" s="1"/>
  <c r="AL317" i="12"/>
  <c r="AM317" i="12" s="1"/>
  <c r="AL323" i="12"/>
  <c r="AM323" i="12" s="1"/>
  <c r="AL59" i="12"/>
  <c r="AM59" i="12" s="1"/>
  <c r="AL66" i="12"/>
  <c r="AM66" i="12" s="1"/>
  <c r="AL68" i="12"/>
  <c r="AM68" i="12" s="1"/>
  <c r="AL70" i="12"/>
  <c r="AM70" i="12" s="1"/>
  <c r="AL72" i="12"/>
  <c r="AM72" i="12" s="1"/>
  <c r="AL86" i="12"/>
  <c r="AM86" i="12" s="1"/>
  <c r="AL88" i="12"/>
  <c r="AM88" i="12" s="1"/>
  <c r="AL92" i="12"/>
  <c r="AM92" i="12" s="1"/>
  <c r="AL96" i="12"/>
  <c r="AM96" i="12" s="1"/>
  <c r="AL51" i="12"/>
  <c r="AM51" i="12" s="1"/>
  <c r="AL53" i="12"/>
  <c r="AM53" i="12" s="1"/>
  <c r="AL230" i="12"/>
  <c r="AM230" i="12" s="1"/>
  <c r="AL232" i="12"/>
  <c r="AM232" i="12" s="1"/>
  <c r="AL234" i="12"/>
  <c r="AM234" i="12" s="1"/>
  <c r="AL243" i="12"/>
  <c r="AM243" i="12" s="1"/>
  <c r="AL245" i="12"/>
  <c r="AM245" i="12" s="1"/>
  <c r="AL247" i="12"/>
  <c r="AM247" i="12" s="1"/>
  <c r="AL254" i="12"/>
  <c r="AM254" i="12" s="1"/>
  <c r="AL256" i="12"/>
  <c r="AM256" i="12" s="1"/>
  <c r="AL40" i="12"/>
  <c r="AM40" i="12" s="1"/>
  <c r="AL41" i="12"/>
  <c r="AM41" i="12" s="1"/>
  <c r="AL290" i="12"/>
  <c r="AM290" i="12" s="1"/>
  <c r="AL293" i="12"/>
  <c r="AM293" i="12" s="1"/>
  <c r="AL294" i="12"/>
  <c r="AM294" i="12" s="1"/>
  <c r="AL50" i="12"/>
  <c r="AM50" i="12" s="1"/>
  <c r="AL7" i="12"/>
  <c r="AL14" i="12"/>
  <c r="AM14" i="12" s="1"/>
  <c r="AL15" i="12"/>
  <c r="AM15" i="12" s="1"/>
  <c r="AL16" i="12"/>
  <c r="AM16" i="12" s="1"/>
  <c r="AL17" i="12"/>
  <c r="AM17" i="12" s="1"/>
  <c r="AL18" i="12"/>
  <c r="AM18" i="12" s="1"/>
  <c r="AL19" i="12"/>
  <c r="AM19" i="12" s="1"/>
  <c r="AL26" i="12"/>
  <c r="AM26" i="12" s="1"/>
  <c r="AL27" i="12"/>
  <c r="AM27" i="12" s="1"/>
  <c r="AL28" i="12"/>
  <c r="AM28" i="12" s="1"/>
  <c r="AL29" i="12"/>
  <c r="AM29" i="12" s="1"/>
  <c r="AL30" i="12"/>
  <c r="AM30" i="12" s="1"/>
  <c r="AL31" i="12"/>
  <c r="AM31" i="12" s="1"/>
  <c r="AL89" i="12"/>
  <c r="AM89" i="12" s="1"/>
  <c r="AL90" i="12"/>
  <c r="AM90" i="12" s="1"/>
  <c r="AL9" i="12"/>
  <c r="AM9" i="12" s="1"/>
  <c r="AL10" i="12"/>
  <c r="AM10" i="12" s="1"/>
  <c r="AL11" i="12"/>
  <c r="AM11" i="12" s="1"/>
  <c r="AL12" i="12"/>
  <c r="AM12" i="12" s="1"/>
  <c r="AL13" i="12"/>
  <c r="AM13" i="12" s="1"/>
  <c r="AL20" i="12"/>
  <c r="AM20" i="12" s="1"/>
  <c r="AL21" i="12"/>
  <c r="AM21" i="12" s="1"/>
  <c r="AL22" i="12"/>
  <c r="AM22" i="12" s="1"/>
  <c r="AL23" i="12"/>
  <c r="AM23" i="12" s="1"/>
  <c r="AL24" i="12"/>
  <c r="AM24" i="12" s="1"/>
  <c r="AL25" i="12"/>
  <c r="AM25" i="12" s="1"/>
  <c r="AL32" i="12"/>
  <c r="AM32" i="12" s="1"/>
  <c r="AL42" i="12"/>
  <c r="AM42" i="12" s="1"/>
  <c r="AL33" i="12"/>
  <c r="AM33" i="12" s="1"/>
  <c r="AL34" i="12"/>
  <c r="AM34" i="12" s="1"/>
  <c r="AL35" i="12"/>
  <c r="AM35" i="12" s="1"/>
  <c r="AL36" i="12"/>
  <c r="AM36" i="12" s="1"/>
  <c r="AL37" i="12"/>
  <c r="AM37" i="12" s="1"/>
  <c r="AL44" i="12"/>
  <c r="AM44" i="12" s="1"/>
  <c r="AL45" i="12"/>
  <c r="AM45" i="12" s="1"/>
  <c r="AL46" i="12"/>
  <c r="AM46" i="12" s="1"/>
  <c r="AL47" i="12"/>
  <c r="AM47" i="12" s="1"/>
  <c r="AL48" i="12"/>
  <c r="AM48" i="12" s="1"/>
  <c r="AL49" i="12"/>
  <c r="AM49" i="12" s="1"/>
  <c r="AL56" i="12"/>
  <c r="AM56" i="12" s="1"/>
  <c r="AL57" i="12"/>
  <c r="AM57" i="12" s="1"/>
  <c r="AL135" i="12"/>
  <c r="AM135" i="12" s="1"/>
  <c r="AL137" i="12"/>
  <c r="AM137" i="12" s="1"/>
  <c r="AL139" i="12"/>
  <c r="AM139" i="12" s="1"/>
  <c r="AL142" i="12"/>
  <c r="AM142" i="12" s="1"/>
  <c r="AL143" i="12"/>
  <c r="AM143" i="12" s="1"/>
  <c r="AL144" i="12"/>
  <c r="AM144" i="12" s="1"/>
  <c r="AL145" i="12"/>
  <c r="AM145" i="12" s="1"/>
  <c r="AL150" i="12"/>
  <c r="AM150" i="12" s="1"/>
  <c r="AL152" i="12"/>
  <c r="AM152" i="12" s="1"/>
  <c r="AL154" i="12"/>
  <c r="AM154" i="12" s="1"/>
  <c r="AL157" i="12"/>
  <c r="AM157" i="12" s="1"/>
  <c r="AL159" i="12"/>
  <c r="AM159" i="12" s="1"/>
  <c r="AL160" i="12"/>
  <c r="AM160" i="12" s="1"/>
  <c r="AL205" i="12"/>
  <c r="AM205" i="12" s="1"/>
  <c r="AL209" i="12"/>
  <c r="AM209" i="12" s="1"/>
  <c r="AL212" i="12"/>
  <c r="AM212" i="12" s="1"/>
  <c r="AL214" i="12"/>
  <c r="AM214" i="12" s="1"/>
  <c r="AL215" i="12"/>
  <c r="AM215" i="12" s="1"/>
  <c r="AL224" i="12"/>
  <c r="AM224" i="12" s="1"/>
  <c r="AL225" i="12"/>
  <c r="AM225" i="12" s="1"/>
  <c r="AL242" i="12"/>
  <c r="AM242" i="12" s="1"/>
  <c r="AL244" i="12"/>
  <c r="AM244" i="12" s="1"/>
  <c r="AL246" i="12"/>
  <c r="AM246" i="12" s="1"/>
  <c r="AL258" i="12"/>
  <c r="AM258" i="12" s="1"/>
  <c r="AL259" i="12"/>
  <c r="AM259" i="12" s="1"/>
  <c r="AL271" i="12"/>
  <c r="AM271" i="12" s="1"/>
  <c r="AL279" i="12"/>
  <c r="AM279" i="12" s="1"/>
  <c r="AL280" i="12"/>
  <c r="AM280" i="12" s="1"/>
  <c r="AL285" i="12"/>
  <c r="AM285" i="12" s="1"/>
  <c r="AL288" i="12"/>
  <c r="AM288" i="12" s="1"/>
  <c r="AL291" i="12"/>
  <c r="AM291" i="12" s="1"/>
  <c r="AL292" i="12"/>
  <c r="AM292" i="12" s="1"/>
  <c r="AL320" i="12"/>
  <c r="AM320" i="12" s="1"/>
  <c r="AL324" i="12"/>
  <c r="AM324" i="12" s="1"/>
  <c r="AL332" i="12"/>
  <c r="AM332" i="12" s="1"/>
  <c r="AL333" i="12"/>
  <c r="AM333" i="12" s="1"/>
  <c r="AL334" i="12"/>
  <c r="AM334" i="12" s="1"/>
  <c r="AL335" i="12"/>
  <c r="AM335" i="12" s="1"/>
  <c r="AL336" i="12"/>
  <c r="AM336" i="12" s="1"/>
  <c r="AL337" i="12"/>
  <c r="AM337" i="12" s="1"/>
  <c r="AL340" i="12"/>
  <c r="AM340" i="12" s="1"/>
  <c r="AL341" i="12"/>
  <c r="AM341" i="12" s="1"/>
  <c r="AL342" i="12"/>
  <c r="AM342" i="12" s="1"/>
  <c r="AL343" i="12"/>
  <c r="AM343" i="12" s="1"/>
  <c r="AL351" i="12"/>
  <c r="AM351" i="12" s="1"/>
  <c r="AL352" i="12"/>
  <c r="AM352" i="12" s="1"/>
  <c r="AL353" i="12"/>
  <c r="AM353" i="12" s="1"/>
  <c r="AL354" i="12"/>
  <c r="AM354" i="12" s="1"/>
  <c r="AL355" i="12"/>
  <c r="AM355" i="12" s="1"/>
  <c r="AL362" i="12"/>
  <c r="AM362" i="12" s="1"/>
  <c r="AL363" i="12"/>
  <c r="AM363" i="12" s="1"/>
  <c r="AL364" i="12"/>
  <c r="AM364" i="12" s="1"/>
  <c r="AL73" i="12"/>
  <c r="AM73" i="12" s="1"/>
  <c r="AL93" i="12"/>
  <c r="AM93" i="12" s="1"/>
  <c r="AL95" i="12"/>
  <c r="AM95" i="12" s="1"/>
  <c r="AL97" i="12"/>
  <c r="AM97" i="12" s="1"/>
  <c r="AL147" i="12"/>
  <c r="AM147" i="12" s="1"/>
  <c r="AL164" i="12"/>
  <c r="AM164" i="12" s="1"/>
  <c r="AL165" i="12"/>
  <c r="AM165" i="12" s="1"/>
  <c r="AL166" i="12"/>
  <c r="AM166" i="12" s="1"/>
  <c r="AL167" i="12"/>
  <c r="AM167" i="12" s="1"/>
  <c r="AL168" i="12"/>
  <c r="AM168" i="12" s="1"/>
  <c r="AL169" i="12"/>
  <c r="AM169" i="12" s="1"/>
  <c r="AL176" i="12"/>
  <c r="AM176" i="12" s="1"/>
  <c r="AL177" i="12"/>
  <c r="AM177" i="12" s="1"/>
  <c r="AL178" i="12"/>
  <c r="AM178" i="12" s="1"/>
  <c r="AL179" i="12"/>
  <c r="AM179" i="12" s="1"/>
  <c r="AL180" i="12"/>
  <c r="AM180" i="12" s="1"/>
  <c r="AL181" i="12"/>
  <c r="AM181" i="12" s="1"/>
  <c r="AL188" i="12"/>
  <c r="AM188" i="12" s="1"/>
  <c r="AL189" i="12"/>
  <c r="AM189" i="12" s="1"/>
  <c r="AL190" i="12"/>
  <c r="AM190" i="12" s="1"/>
  <c r="AL191" i="12"/>
  <c r="AM191" i="12" s="1"/>
  <c r="AL192" i="12"/>
  <c r="AM192" i="12" s="1"/>
  <c r="AL193" i="12"/>
  <c r="AM193" i="12" s="1"/>
  <c r="AL200" i="12"/>
  <c r="AM200" i="12" s="1"/>
  <c r="AL201" i="12"/>
  <c r="AM201" i="12" s="1"/>
  <c r="AL202" i="12"/>
  <c r="AM202" i="12" s="1"/>
  <c r="AL203" i="12"/>
  <c r="AM203" i="12" s="1"/>
  <c r="AL218" i="12"/>
  <c r="AM218" i="12" s="1"/>
  <c r="AL226" i="12"/>
  <c r="AM226" i="12" s="1"/>
  <c r="AL227" i="12"/>
  <c r="AM227" i="12" s="1"/>
  <c r="AL231" i="12"/>
  <c r="AM231" i="12" s="1"/>
  <c r="AL233" i="12"/>
  <c r="AM233" i="12" s="1"/>
  <c r="AL236" i="12"/>
  <c r="AM236" i="12" s="1"/>
  <c r="AL238" i="12"/>
  <c r="AM238" i="12" s="1"/>
  <c r="AL240" i="12"/>
  <c r="AM240" i="12" s="1"/>
  <c r="AL248" i="12"/>
  <c r="AM248" i="12" s="1"/>
  <c r="AL250" i="12"/>
  <c r="AM250" i="12" s="1"/>
  <c r="AL252" i="12"/>
  <c r="AM252" i="12" s="1"/>
  <c r="AL255" i="12"/>
  <c r="AM255" i="12" s="1"/>
  <c r="AL257" i="12"/>
  <c r="AM257" i="12" s="1"/>
  <c r="AL266" i="12"/>
  <c r="AM266" i="12" s="1"/>
  <c r="AL274" i="12"/>
  <c r="AM274" i="12" s="1"/>
  <c r="AL278" i="12"/>
  <c r="AM278" i="12" s="1"/>
  <c r="AL283" i="12"/>
  <c r="AM283" i="12" s="1"/>
  <c r="AL289" i="12"/>
  <c r="AM289" i="12" s="1"/>
  <c r="AL295" i="12"/>
  <c r="AM295" i="12" s="1"/>
  <c r="AL303" i="12"/>
  <c r="AM303" i="12" s="1"/>
  <c r="AL304" i="12"/>
  <c r="AM304" i="12" s="1"/>
  <c r="AL310" i="12"/>
  <c r="AM310" i="12" s="1"/>
  <c r="AL321" i="12"/>
  <c r="AM321" i="12" s="1"/>
  <c r="AL325" i="12"/>
  <c r="AM325" i="12" s="1"/>
  <c r="AL38" i="12"/>
  <c r="AM38" i="12" s="1"/>
  <c r="AL54" i="12"/>
  <c r="AM54" i="12" s="1"/>
  <c r="AL55" i="12"/>
  <c r="AM55" i="12" s="1"/>
  <c r="AL63" i="12"/>
  <c r="AM63" i="12" s="1"/>
  <c r="AL116" i="12"/>
  <c r="AM116" i="12" s="1"/>
  <c r="AL118" i="12"/>
  <c r="AM118" i="12" s="1"/>
  <c r="AL120" i="12"/>
  <c r="AM120" i="12" s="1"/>
  <c r="AL129" i="12"/>
  <c r="AM129" i="12" s="1"/>
  <c r="AL131" i="12"/>
  <c r="AM131" i="12" s="1"/>
  <c r="AL133" i="12"/>
  <c r="AM133" i="12" s="1"/>
  <c r="AL141" i="12"/>
  <c r="AM141" i="12" s="1"/>
  <c r="AL146" i="12"/>
  <c r="AM146" i="12" s="1"/>
  <c r="AL148" i="12"/>
  <c r="AM148" i="12" s="1"/>
  <c r="AL149" i="12"/>
  <c r="AM149" i="12" s="1"/>
  <c r="AL153" i="12"/>
  <c r="AM153" i="12" s="1"/>
  <c r="AL221" i="12"/>
  <c r="AM221" i="12" s="1"/>
  <c r="AL223" i="12"/>
  <c r="AM223" i="12" s="1"/>
  <c r="AL228" i="12"/>
  <c r="AM228" i="12" s="1"/>
  <c r="AL229" i="12"/>
  <c r="AM229" i="12" s="1"/>
  <c r="AL237" i="12"/>
  <c r="AM237" i="12" s="1"/>
  <c r="AL239" i="12"/>
  <c r="AM239" i="12" s="1"/>
  <c r="AL241" i="12"/>
  <c r="AM241" i="12" s="1"/>
  <c r="AL249" i="12"/>
  <c r="AM249" i="12" s="1"/>
  <c r="AL251" i="12"/>
  <c r="AM251" i="12" s="1"/>
  <c r="AL253" i="12"/>
  <c r="AM253" i="12" s="1"/>
  <c r="AL260" i="12"/>
  <c r="AM260" i="12" s="1"/>
  <c r="AL261" i="12"/>
  <c r="AM261" i="12" s="1"/>
  <c r="AL264" i="12"/>
  <c r="AM264" i="12" s="1"/>
  <c r="AL267" i="12"/>
  <c r="AM267" i="12" s="1"/>
  <c r="AL270" i="12"/>
  <c r="AM270" i="12" s="1"/>
  <c r="AL275" i="12"/>
  <c r="AM275" i="12" s="1"/>
  <c r="AL281" i="12"/>
  <c r="AM281" i="12" s="1"/>
  <c r="AL282" i="12"/>
  <c r="AM282" i="12" s="1"/>
  <c r="AL298" i="12"/>
  <c r="AM298" i="12" s="1"/>
  <c r="AL302" i="12"/>
  <c r="AM302" i="12" s="1"/>
  <c r="AL305" i="12"/>
  <c r="AM305" i="12" s="1"/>
  <c r="AL311" i="12"/>
  <c r="AM311" i="12" s="1"/>
  <c r="AL322" i="12"/>
  <c r="AM322" i="12" s="1"/>
  <c r="AL326" i="12"/>
  <c r="AM326" i="12" s="1"/>
  <c r="AL327" i="12"/>
  <c r="AM327" i="12" s="1"/>
  <c r="AL328" i="12"/>
  <c r="AM328" i="12" s="1"/>
  <c r="AL329" i="12"/>
  <c r="AM329" i="12" s="1"/>
  <c r="AL330" i="12"/>
  <c r="AM330" i="12" s="1"/>
  <c r="AL331" i="12"/>
  <c r="AM331" i="12" s="1"/>
  <c r="AL338" i="12"/>
  <c r="AM338" i="12" s="1"/>
  <c r="AL339" i="12"/>
  <c r="AM339" i="12" s="1"/>
  <c r="AL344" i="12"/>
  <c r="AM344" i="12" s="1"/>
  <c r="AL345" i="12"/>
  <c r="AM345" i="12" s="1"/>
  <c r="AL346" i="12"/>
  <c r="AM346" i="12" s="1"/>
  <c r="AL347" i="12"/>
  <c r="AM347" i="12" s="1"/>
  <c r="AL348" i="12"/>
  <c r="AM348" i="12" s="1"/>
  <c r="AL349" i="12"/>
  <c r="AM349" i="12" s="1"/>
  <c r="AL350" i="12"/>
  <c r="AM350" i="12" s="1"/>
  <c r="AL356" i="12"/>
  <c r="AM356" i="12" s="1"/>
  <c r="AL357" i="12"/>
  <c r="AM357" i="12" s="1"/>
  <c r="AL358" i="12"/>
  <c r="AM358" i="12" s="1"/>
  <c r="AL359" i="12"/>
  <c r="AM359" i="12" s="1"/>
  <c r="AL360" i="12"/>
  <c r="AM360" i="12" s="1"/>
  <c r="AL361" i="12"/>
  <c r="AM361" i="12" s="1"/>
  <c r="AL60" i="12"/>
  <c r="AM60" i="12" s="1"/>
  <c r="AL80" i="12"/>
  <c r="AM80" i="12" s="1"/>
  <c r="AL81" i="12"/>
  <c r="AM81" i="12" s="1"/>
  <c r="AL82" i="12"/>
  <c r="AM82" i="12" s="1"/>
  <c r="AL83" i="12"/>
  <c r="AM83" i="12" s="1"/>
  <c r="AL84" i="12"/>
  <c r="AM84" i="12" s="1"/>
  <c r="AL85" i="12"/>
  <c r="AM85" i="12" s="1"/>
  <c r="AL104" i="12"/>
  <c r="AM104" i="12" s="1"/>
  <c r="AL105" i="12"/>
  <c r="AM105" i="12" s="1"/>
  <c r="AL106" i="12"/>
  <c r="AM106" i="12" s="1"/>
  <c r="AL107" i="12"/>
  <c r="AM107" i="12" s="1"/>
  <c r="AL108" i="12"/>
  <c r="AM108" i="12" s="1"/>
  <c r="AL109" i="12"/>
  <c r="AM109" i="12" s="1"/>
  <c r="AL114" i="12"/>
  <c r="AM114" i="12" s="1"/>
  <c r="AL127" i="12"/>
  <c r="AM127" i="12" s="1"/>
  <c r="AL61" i="12"/>
  <c r="AM61" i="12" s="1"/>
  <c r="AL74" i="12"/>
  <c r="AM74" i="12" s="1"/>
  <c r="AL75" i="12"/>
  <c r="AM75" i="12" s="1"/>
  <c r="AL76" i="12"/>
  <c r="AM76" i="12" s="1"/>
  <c r="AL77" i="12"/>
  <c r="AM77" i="12" s="1"/>
  <c r="AL78" i="12"/>
  <c r="AM78" i="12" s="1"/>
  <c r="AL79" i="12"/>
  <c r="AM79" i="12" s="1"/>
  <c r="AL98" i="12"/>
  <c r="AM98" i="12" s="1"/>
  <c r="AL99" i="12"/>
  <c r="AM99" i="12" s="1"/>
  <c r="AL100" i="12"/>
  <c r="AM100" i="12" s="1"/>
  <c r="AL101" i="12"/>
  <c r="AM101" i="12" s="1"/>
  <c r="AL102" i="12"/>
  <c r="AM102" i="12" s="1"/>
  <c r="AL103" i="12"/>
  <c r="AM103" i="12" s="1"/>
  <c r="AL121" i="12"/>
  <c r="AM121" i="12" s="1"/>
  <c r="AL58" i="12"/>
  <c r="AM58" i="12" s="1"/>
  <c r="AL115" i="12"/>
  <c r="AM115" i="12" s="1"/>
  <c r="AL122" i="12"/>
  <c r="AM122" i="12" s="1"/>
  <c r="AL126" i="12"/>
  <c r="AM126" i="12" s="1"/>
  <c r="AL136" i="12"/>
  <c r="AM136" i="12" s="1"/>
  <c r="AL113" i="12"/>
  <c r="AM113" i="12" s="1"/>
  <c r="AL124" i="12"/>
  <c r="AM124" i="12" s="1"/>
  <c r="AL134" i="12"/>
  <c r="AM134" i="12" s="1"/>
  <c r="AL138" i="12"/>
  <c r="AM138" i="12" s="1"/>
  <c r="AL156" i="12"/>
  <c r="AM156" i="12" s="1"/>
  <c r="AL155" i="12"/>
  <c r="AM155" i="12" s="1"/>
  <c r="AL208" i="12"/>
  <c r="AM208" i="12" s="1"/>
  <c r="AL206" i="12"/>
  <c r="AM206" i="12" s="1"/>
  <c r="AL210" i="12"/>
  <c r="AM210" i="12" s="1"/>
  <c r="AL220" i="12"/>
  <c r="AM220" i="12" s="1"/>
  <c r="AL222" i="12"/>
  <c r="AM222" i="12" s="1"/>
  <c r="AL207" i="12"/>
  <c r="AM207" i="12" s="1"/>
  <c r="AL211" i="12"/>
  <c r="AM211" i="12" s="1"/>
  <c r="AL235" i="12"/>
  <c r="AM235" i="12" s="1"/>
  <c r="AL265" i="12"/>
  <c r="AM265" i="12" s="1"/>
  <c r="AL263" i="12"/>
  <c r="AM263" i="12" s="1"/>
  <c r="AL273" i="12"/>
  <c r="AM273" i="12" s="1"/>
  <c r="AL277" i="12"/>
  <c r="AM277" i="12" s="1"/>
  <c r="AL287" i="12"/>
  <c r="AM287" i="12" s="1"/>
  <c r="AL297" i="12"/>
  <c r="AM297" i="12" s="1"/>
  <c r="AL301" i="12"/>
  <c r="AM301" i="12" s="1"/>
  <c r="AL262" i="12"/>
  <c r="AM262" i="12" s="1"/>
  <c r="AL272" i="12"/>
  <c r="AM272" i="12" s="1"/>
  <c r="AL276" i="12"/>
  <c r="AM276" i="12" s="1"/>
  <c r="AL286" i="12"/>
  <c r="AM286" i="12" s="1"/>
  <c r="AL296" i="12"/>
  <c r="AM296" i="12" s="1"/>
  <c r="AL300" i="12"/>
  <c r="AM300" i="12" s="1"/>
  <c r="AL307" i="12"/>
  <c r="AM307" i="12" s="1"/>
  <c r="AL314" i="12"/>
  <c r="AM314" i="12" s="1"/>
  <c r="AL318" i="12"/>
  <c r="AM318" i="12" s="1"/>
  <c r="AL319" i="12"/>
  <c r="AM319" i="12" s="1"/>
  <c r="AL315" i="12"/>
  <c r="AM315" i="12" s="1"/>
  <c r="AL365" i="12"/>
  <c r="AM365" i="12" s="1"/>
  <c r="AL366" i="12"/>
  <c r="AM366" i="12" s="1"/>
  <c r="AM7" i="12" l="1"/>
  <c r="AI366" i="10" l="1"/>
  <c r="AE366" i="10"/>
  <c r="AC366" i="10"/>
  <c r="AA366" i="10"/>
  <c r="W366" i="10"/>
  <c r="U366" i="10"/>
  <c r="S366" i="10"/>
  <c r="AI365" i="10"/>
  <c r="AE365" i="10"/>
  <c r="AC365" i="10"/>
  <c r="AA365" i="10"/>
  <c r="W365" i="10"/>
  <c r="U365" i="10"/>
  <c r="S365" i="10"/>
  <c r="AI364" i="10"/>
  <c r="AE364" i="10"/>
  <c r="AC364" i="10"/>
  <c r="AA364" i="10"/>
  <c r="W364" i="10"/>
  <c r="U364" i="10"/>
  <c r="S364" i="10"/>
  <c r="AI363" i="10"/>
  <c r="AE363" i="10"/>
  <c r="AC363" i="10"/>
  <c r="AA363" i="10"/>
  <c r="W363" i="10"/>
  <c r="U363" i="10"/>
  <c r="S363" i="10"/>
  <c r="AI362" i="10"/>
  <c r="AE362" i="10"/>
  <c r="AC362" i="10"/>
  <c r="AA362" i="10"/>
  <c r="W362" i="10"/>
  <c r="U362" i="10"/>
  <c r="S362" i="10"/>
  <c r="AI361" i="10"/>
  <c r="AE361" i="10"/>
  <c r="AC361" i="10"/>
  <c r="AA361" i="10"/>
  <c r="W361" i="10"/>
  <c r="U361" i="10"/>
  <c r="S361" i="10"/>
  <c r="K361" i="10"/>
  <c r="C361" i="10"/>
  <c r="AI360" i="10"/>
  <c r="AE360" i="10"/>
  <c r="AC360" i="10"/>
  <c r="AA360" i="10"/>
  <c r="W360" i="10"/>
  <c r="U360" i="10"/>
  <c r="S360" i="10"/>
  <c r="AI359" i="10"/>
  <c r="AE359" i="10"/>
  <c r="AC359" i="10"/>
  <c r="AA359" i="10"/>
  <c r="W359" i="10"/>
  <c r="U359" i="10"/>
  <c r="S359" i="10"/>
  <c r="AI358" i="10"/>
  <c r="AE358" i="10"/>
  <c r="AC358" i="10"/>
  <c r="AA358" i="10"/>
  <c r="W358" i="10"/>
  <c r="U358" i="10"/>
  <c r="S358" i="10"/>
  <c r="AI357" i="10"/>
  <c r="AE357" i="10"/>
  <c r="AC357" i="10"/>
  <c r="AA357" i="10"/>
  <c r="W357" i="10"/>
  <c r="U357" i="10"/>
  <c r="S357" i="10"/>
  <c r="AI356" i="10"/>
  <c r="AE356" i="10"/>
  <c r="AC356" i="10"/>
  <c r="AA356" i="10"/>
  <c r="W356" i="10"/>
  <c r="U356" i="10"/>
  <c r="S356" i="10"/>
  <c r="AI355" i="10"/>
  <c r="AE355" i="10"/>
  <c r="AC355" i="10"/>
  <c r="AA355" i="10"/>
  <c r="W355" i="10"/>
  <c r="U355" i="10"/>
  <c r="S355" i="10"/>
  <c r="K355" i="10"/>
  <c r="C355" i="10"/>
  <c r="AI354" i="10"/>
  <c r="AE354" i="10"/>
  <c r="AC354" i="10"/>
  <c r="AA354" i="10"/>
  <c r="W354" i="10"/>
  <c r="U354" i="10"/>
  <c r="S354" i="10"/>
  <c r="AI353" i="10"/>
  <c r="AE353" i="10"/>
  <c r="AC353" i="10"/>
  <c r="AA353" i="10"/>
  <c r="W353" i="10"/>
  <c r="U353" i="10"/>
  <c r="S353" i="10"/>
  <c r="AI352" i="10"/>
  <c r="AE352" i="10"/>
  <c r="AC352" i="10"/>
  <c r="AA352" i="10"/>
  <c r="W352" i="10"/>
  <c r="U352" i="10"/>
  <c r="S352" i="10"/>
  <c r="AI351" i="10"/>
  <c r="AE351" i="10"/>
  <c r="AC351" i="10"/>
  <c r="AA351" i="10"/>
  <c r="W351" i="10"/>
  <c r="U351" i="10"/>
  <c r="S351" i="10"/>
  <c r="AI350" i="10"/>
  <c r="AE350" i="10"/>
  <c r="AC350" i="10"/>
  <c r="AA350" i="10"/>
  <c r="W350" i="10"/>
  <c r="U350" i="10"/>
  <c r="S350" i="10"/>
  <c r="AI349" i="10"/>
  <c r="AE349" i="10"/>
  <c r="AC349" i="10"/>
  <c r="AA349" i="10"/>
  <c r="W349" i="10"/>
  <c r="U349" i="10"/>
  <c r="S349" i="10"/>
  <c r="K349" i="10"/>
  <c r="C349" i="10"/>
  <c r="AI348" i="10"/>
  <c r="AE348" i="10"/>
  <c r="AC348" i="10"/>
  <c r="AA348" i="10"/>
  <c r="W348" i="10"/>
  <c r="U348" i="10"/>
  <c r="S348" i="10"/>
  <c r="AI347" i="10"/>
  <c r="AE347" i="10"/>
  <c r="AC347" i="10"/>
  <c r="AA347" i="10"/>
  <c r="W347" i="10"/>
  <c r="U347" i="10"/>
  <c r="S347" i="10"/>
  <c r="AI346" i="10"/>
  <c r="AE346" i="10"/>
  <c r="AC346" i="10"/>
  <c r="AA346" i="10"/>
  <c r="W346" i="10"/>
  <c r="U346" i="10"/>
  <c r="S346" i="10"/>
  <c r="AI345" i="10"/>
  <c r="AE345" i="10"/>
  <c r="AC345" i="10"/>
  <c r="AA345" i="10"/>
  <c r="W345" i="10"/>
  <c r="U345" i="10"/>
  <c r="S345" i="10"/>
  <c r="AI344" i="10"/>
  <c r="AE344" i="10"/>
  <c r="AC344" i="10"/>
  <c r="AA344" i="10"/>
  <c r="W344" i="10"/>
  <c r="U344" i="10"/>
  <c r="S344" i="10"/>
  <c r="AI343" i="10"/>
  <c r="AE343" i="10"/>
  <c r="AC343" i="10"/>
  <c r="AA343" i="10"/>
  <c r="W343" i="10"/>
  <c r="U343" i="10"/>
  <c r="S343" i="10"/>
  <c r="K343" i="10"/>
  <c r="C343" i="10"/>
  <c r="AI342" i="10"/>
  <c r="AE342" i="10"/>
  <c r="AC342" i="10"/>
  <c r="AA342" i="10"/>
  <c r="W342" i="10"/>
  <c r="U342" i="10"/>
  <c r="S342" i="10"/>
  <c r="AI341" i="10"/>
  <c r="AE341" i="10"/>
  <c r="AC341" i="10"/>
  <c r="AA341" i="10"/>
  <c r="W341" i="10"/>
  <c r="U341" i="10"/>
  <c r="S341" i="10"/>
  <c r="AI340" i="10"/>
  <c r="AE340" i="10"/>
  <c r="AC340" i="10"/>
  <c r="AA340" i="10"/>
  <c r="W340" i="10"/>
  <c r="U340" i="10"/>
  <c r="S340" i="10"/>
  <c r="AI339" i="10"/>
  <c r="AE339" i="10"/>
  <c r="AC339" i="10"/>
  <c r="AA339" i="10"/>
  <c r="W339" i="10"/>
  <c r="U339" i="10"/>
  <c r="S339" i="10"/>
  <c r="AI338" i="10"/>
  <c r="AE338" i="10"/>
  <c r="AC338" i="10"/>
  <c r="AA338" i="10"/>
  <c r="W338" i="10"/>
  <c r="U338" i="10"/>
  <c r="S338" i="10"/>
  <c r="AI337" i="10"/>
  <c r="AE337" i="10"/>
  <c r="AC337" i="10"/>
  <c r="AA337" i="10"/>
  <c r="W337" i="10"/>
  <c r="U337" i="10"/>
  <c r="S337" i="10"/>
  <c r="K337" i="10"/>
  <c r="C337" i="10"/>
  <c r="AI336" i="10"/>
  <c r="AE336" i="10"/>
  <c r="AC336" i="10"/>
  <c r="AA336" i="10"/>
  <c r="W336" i="10"/>
  <c r="U336" i="10"/>
  <c r="S336" i="10"/>
  <c r="AI335" i="10"/>
  <c r="AE335" i="10"/>
  <c r="AC335" i="10"/>
  <c r="AA335" i="10"/>
  <c r="W335" i="10"/>
  <c r="U335" i="10"/>
  <c r="S335" i="10"/>
  <c r="AI334" i="10"/>
  <c r="AE334" i="10"/>
  <c r="AC334" i="10"/>
  <c r="AA334" i="10"/>
  <c r="W334" i="10"/>
  <c r="U334" i="10"/>
  <c r="S334" i="10"/>
  <c r="AI333" i="10"/>
  <c r="AE333" i="10"/>
  <c r="AC333" i="10"/>
  <c r="AA333" i="10"/>
  <c r="W333" i="10"/>
  <c r="U333" i="10"/>
  <c r="S333" i="10"/>
  <c r="AI332" i="10"/>
  <c r="AE332" i="10"/>
  <c r="AC332" i="10"/>
  <c r="AA332" i="10"/>
  <c r="W332" i="10"/>
  <c r="U332" i="10"/>
  <c r="S332" i="10"/>
  <c r="AI331" i="10"/>
  <c r="AE331" i="10"/>
  <c r="AC331" i="10"/>
  <c r="AA331" i="10"/>
  <c r="W331" i="10"/>
  <c r="U331" i="10"/>
  <c r="S331" i="10"/>
  <c r="K331" i="10"/>
  <c r="C331" i="10"/>
  <c r="AI330" i="10"/>
  <c r="AE330" i="10"/>
  <c r="AC330" i="10"/>
  <c r="AA330" i="10"/>
  <c r="W330" i="10"/>
  <c r="U330" i="10"/>
  <c r="S330" i="10"/>
  <c r="AI329" i="10"/>
  <c r="AE329" i="10"/>
  <c r="AC329" i="10"/>
  <c r="AA329" i="10"/>
  <c r="W329" i="10"/>
  <c r="U329" i="10"/>
  <c r="S329" i="10"/>
  <c r="AI328" i="10"/>
  <c r="AE328" i="10"/>
  <c r="AC328" i="10"/>
  <c r="AA328" i="10"/>
  <c r="W328" i="10"/>
  <c r="U328" i="10"/>
  <c r="S328" i="10"/>
  <c r="AI327" i="10"/>
  <c r="AE327" i="10"/>
  <c r="AC327" i="10"/>
  <c r="AA327" i="10"/>
  <c r="W327" i="10"/>
  <c r="U327" i="10"/>
  <c r="S327" i="10"/>
  <c r="AI326" i="10"/>
  <c r="AE326" i="10"/>
  <c r="S326" i="10"/>
  <c r="AI325" i="10"/>
  <c r="AE325" i="10"/>
  <c r="S325" i="10"/>
  <c r="K325" i="10"/>
  <c r="C325" i="10"/>
  <c r="AI324" i="10"/>
  <c r="AE324" i="10"/>
  <c r="AC324" i="10"/>
  <c r="AA324" i="10"/>
  <c r="W324" i="10"/>
  <c r="U324" i="10"/>
  <c r="S324" i="10"/>
  <c r="AI323" i="10"/>
  <c r="AE323" i="10"/>
  <c r="AC323" i="10"/>
  <c r="AA323" i="10"/>
  <c r="W323" i="10"/>
  <c r="U323" i="10"/>
  <c r="S323" i="10"/>
  <c r="AI322" i="10"/>
  <c r="AE322" i="10"/>
  <c r="AC322" i="10"/>
  <c r="AA322" i="10"/>
  <c r="W322" i="10"/>
  <c r="U322" i="10"/>
  <c r="S322" i="10"/>
  <c r="AI321" i="10"/>
  <c r="AE321" i="10"/>
  <c r="AC321" i="10"/>
  <c r="AA321" i="10"/>
  <c r="W321" i="10"/>
  <c r="U321" i="10"/>
  <c r="S321" i="10"/>
  <c r="AI320" i="10"/>
  <c r="AE320" i="10"/>
  <c r="AC320" i="10"/>
  <c r="AA320" i="10"/>
  <c r="W320" i="10"/>
  <c r="U320" i="10"/>
  <c r="S320" i="10"/>
  <c r="AI319" i="10"/>
  <c r="AE319" i="10"/>
  <c r="AC319" i="10"/>
  <c r="AA319" i="10"/>
  <c r="W319" i="10"/>
  <c r="U319" i="10"/>
  <c r="S319" i="10"/>
  <c r="K319" i="10"/>
  <c r="C319" i="10"/>
  <c r="AI318" i="10"/>
  <c r="AE318" i="10"/>
  <c r="AC318" i="10"/>
  <c r="AA318" i="10"/>
  <c r="W318" i="10"/>
  <c r="U318" i="10"/>
  <c r="S318" i="10"/>
  <c r="AI317" i="10"/>
  <c r="AE317" i="10"/>
  <c r="AC317" i="10"/>
  <c r="AA317" i="10"/>
  <c r="W317" i="10"/>
  <c r="U317" i="10"/>
  <c r="S317" i="10"/>
  <c r="AI316" i="10"/>
  <c r="AE316" i="10"/>
  <c r="AC316" i="10"/>
  <c r="AA316" i="10"/>
  <c r="W316" i="10"/>
  <c r="U316" i="10"/>
  <c r="S316" i="10"/>
  <c r="AI315" i="10"/>
  <c r="AE315" i="10"/>
  <c r="AC315" i="10"/>
  <c r="AA315" i="10"/>
  <c r="W315" i="10"/>
  <c r="U315" i="10"/>
  <c r="S315" i="10"/>
  <c r="AI314" i="10"/>
  <c r="AE314" i="10"/>
  <c r="AC314" i="10"/>
  <c r="AA314" i="10"/>
  <c r="W314" i="10"/>
  <c r="U314" i="10"/>
  <c r="S314" i="10"/>
  <c r="AI313" i="10"/>
  <c r="AE313" i="10"/>
  <c r="AC313" i="10"/>
  <c r="AA313" i="10"/>
  <c r="W313" i="10"/>
  <c r="U313" i="10"/>
  <c r="S313" i="10"/>
  <c r="K313" i="10"/>
  <c r="C313" i="10"/>
  <c r="AI312" i="10"/>
  <c r="AE312" i="10"/>
  <c r="AC312" i="10"/>
  <c r="AA312" i="10"/>
  <c r="W312" i="10"/>
  <c r="U312" i="10"/>
  <c r="S312" i="10"/>
  <c r="AI311" i="10"/>
  <c r="AE311" i="10"/>
  <c r="AC311" i="10"/>
  <c r="AA311" i="10"/>
  <c r="W311" i="10"/>
  <c r="U311" i="10"/>
  <c r="S311" i="10"/>
  <c r="AI310" i="10"/>
  <c r="AE310" i="10"/>
  <c r="AC310" i="10"/>
  <c r="AA310" i="10"/>
  <c r="W310" i="10"/>
  <c r="U310" i="10"/>
  <c r="S310" i="10"/>
  <c r="AI309" i="10"/>
  <c r="AE309" i="10"/>
  <c r="AC309" i="10"/>
  <c r="AA309" i="10"/>
  <c r="W309" i="10"/>
  <c r="U309" i="10"/>
  <c r="S309" i="10"/>
  <c r="AI308" i="10"/>
  <c r="AE308" i="10"/>
  <c r="AC308" i="10"/>
  <c r="AA308" i="10"/>
  <c r="W308" i="10"/>
  <c r="U308" i="10"/>
  <c r="S308" i="10"/>
  <c r="AI307" i="10"/>
  <c r="AE307" i="10"/>
  <c r="AC307" i="10"/>
  <c r="AA307" i="10"/>
  <c r="W307" i="10"/>
  <c r="U307" i="10"/>
  <c r="S307" i="10"/>
  <c r="K307" i="10"/>
  <c r="C307" i="10"/>
  <c r="AI306" i="10"/>
  <c r="AE306" i="10"/>
  <c r="AC306" i="10"/>
  <c r="AA306" i="10"/>
  <c r="W306" i="10"/>
  <c r="U306" i="10"/>
  <c r="S306" i="10"/>
  <c r="AI305" i="10"/>
  <c r="AE305" i="10"/>
  <c r="AC305" i="10"/>
  <c r="AA305" i="10"/>
  <c r="W305" i="10"/>
  <c r="U305" i="10"/>
  <c r="S305" i="10"/>
  <c r="AI304" i="10"/>
  <c r="AE304" i="10"/>
  <c r="AC304" i="10"/>
  <c r="AA304" i="10"/>
  <c r="W304" i="10"/>
  <c r="U304" i="10"/>
  <c r="S304" i="10"/>
  <c r="AI303" i="10"/>
  <c r="AE303" i="10"/>
  <c r="AC303" i="10"/>
  <c r="AA303" i="10"/>
  <c r="W303" i="10"/>
  <c r="U303" i="10"/>
  <c r="S303" i="10"/>
  <c r="AI302" i="10"/>
  <c r="AE302" i="10"/>
  <c r="AC302" i="10"/>
  <c r="AA302" i="10"/>
  <c r="W302" i="10"/>
  <c r="U302" i="10"/>
  <c r="S302" i="10"/>
  <c r="AI301" i="10"/>
  <c r="AE301" i="10"/>
  <c r="AC301" i="10"/>
  <c r="AA301" i="10"/>
  <c r="W301" i="10"/>
  <c r="U301" i="10"/>
  <c r="S301" i="10"/>
  <c r="K301" i="10"/>
  <c r="C301" i="10"/>
  <c r="AI300" i="10"/>
  <c r="AE300" i="10"/>
  <c r="AC300" i="10"/>
  <c r="AA300" i="10"/>
  <c r="W300" i="10"/>
  <c r="U300" i="10"/>
  <c r="S300" i="10"/>
  <c r="AI299" i="10"/>
  <c r="AE299" i="10"/>
  <c r="AC299" i="10"/>
  <c r="AA299" i="10"/>
  <c r="W299" i="10"/>
  <c r="U299" i="10"/>
  <c r="S299" i="10"/>
  <c r="AI298" i="10"/>
  <c r="AE298" i="10"/>
  <c r="AC298" i="10"/>
  <c r="AA298" i="10"/>
  <c r="W298" i="10"/>
  <c r="U298" i="10"/>
  <c r="S298" i="10"/>
  <c r="AI297" i="10"/>
  <c r="AE297" i="10"/>
  <c r="AC297" i="10"/>
  <c r="AA297" i="10"/>
  <c r="W297" i="10"/>
  <c r="U297" i="10"/>
  <c r="S297" i="10"/>
  <c r="AI296" i="10"/>
  <c r="AE296" i="10"/>
  <c r="AC296" i="10"/>
  <c r="AA296" i="10"/>
  <c r="W296" i="10"/>
  <c r="U296" i="10"/>
  <c r="S296" i="10"/>
  <c r="AI295" i="10"/>
  <c r="AE295" i="10"/>
  <c r="AC295" i="10"/>
  <c r="AA295" i="10"/>
  <c r="W295" i="10"/>
  <c r="U295" i="10"/>
  <c r="S295" i="10"/>
  <c r="K295" i="10"/>
  <c r="C295" i="10"/>
  <c r="AI294" i="10"/>
  <c r="AE294" i="10"/>
  <c r="AC294" i="10"/>
  <c r="AA294" i="10"/>
  <c r="W294" i="10"/>
  <c r="U294" i="10"/>
  <c r="S294" i="10"/>
  <c r="AI293" i="10"/>
  <c r="AE293" i="10"/>
  <c r="AC293" i="10"/>
  <c r="AA293" i="10"/>
  <c r="W293" i="10"/>
  <c r="U293" i="10"/>
  <c r="S293" i="10"/>
  <c r="AI292" i="10"/>
  <c r="AE292" i="10"/>
  <c r="AC292" i="10"/>
  <c r="AA292" i="10"/>
  <c r="W292" i="10"/>
  <c r="U292" i="10"/>
  <c r="S292" i="10"/>
  <c r="AI291" i="10"/>
  <c r="AE291" i="10"/>
  <c r="AC291" i="10"/>
  <c r="AA291" i="10"/>
  <c r="W291" i="10"/>
  <c r="U291" i="10"/>
  <c r="S291" i="10"/>
  <c r="AI290" i="10"/>
  <c r="AE290" i="10"/>
  <c r="AC290" i="10"/>
  <c r="AA290" i="10"/>
  <c r="W290" i="10"/>
  <c r="U290" i="10"/>
  <c r="S290" i="10"/>
  <c r="AI289" i="10"/>
  <c r="AE289" i="10"/>
  <c r="AC289" i="10"/>
  <c r="AA289" i="10"/>
  <c r="W289" i="10"/>
  <c r="U289" i="10"/>
  <c r="S289" i="10"/>
  <c r="K289" i="10"/>
  <c r="C289" i="10"/>
  <c r="AI288" i="10"/>
  <c r="AE288" i="10"/>
  <c r="AC288" i="10"/>
  <c r="AA288" i="10"/>
  <c r="W288" i="10"/>
  <c r="U288" i="10"/>
  <c r="S288" i="10"/>
  <c r="AI287" i="10"/>
  <c r="AE287" i="10"/>
  <c r="AC287" i="10"/>
  <c r="AA287" i="10"/>
  <c r="W287" i="10"/>
  <c r="U287" i="10"/>
  <c r="S287" i="10"/>
  <c r="AI286" i="10"/>
  <c r="AE286" i="10"/>
  <c r="AC286" i="10"/>
  <c r="AA286" i="10"/>
  <c r="W286" i="10"/>
  <c r="U286" i="10"/>
  <c r="S286" i="10"/>
  <c r="AI285" i="10"/>
  <c r="AE285" i="10"/>
  <c r="AC285" i="10"/>
  <c r="AA285" i="10"/>
  <c r="W285" i="10"/>
  <c r="U285" i="10"/>
  <c r="S285" i="10"/>
  <c r="AI284" i="10"/>
  <c r="AE284" i="10"/>
  <c r="AC284" i="10"/>
  <c r="AA284" i="10"/>
  <c r="W284" i="10"/>
  <c r="U284" i="10"/>
  <c r="S284" i="10"/>
  <c r="AI283" i="10"/>
  <c r="AE283" i="10"/>
  <c r="AC283" i="10"/>
  <c r="AA283" i="10"/>
  <c r="W283" i="10"/>
  <c r="U283" i="10"/>
  <c r="S283" i="10"/>
  <c r="C283" i="10"/>
  <c r="AI282" i="10"/>
  <c r="AE282" i="10"/>
  <c r="AC282" i="10"/>
  <c r="AA282" i="10"/>
  <c r="W282" i="10"/>
  <c r="U282" i="10"/>
  <c r="S282" i="10"/>
  <c r="AI281" i="10"/>
  <c r="AE281" i="10"/>
  <c r="AC281" i="10"/>
  <c r="AA281" i="10"/>
  <c r="W281" i="10"/>
  <c r="U281" i="10"/>
  <c r="S281" i="10"/>
  <c r="AI280" i="10"/>
  <c r="AE280" i="10"/>
  <c r="AC280" i="10"/>
  <c r="AA280" i="10"/>
  <c r="W280" i="10"/>
  <c r="U280" i="10"/>
  <c r="S280" i="10"/>
  <c r="AI279" i="10"/>
  <c r="AE279" i="10"/>
  <c r="AC279" i="10"/>
  <c r="AA279" i="10"/>
  <c r="W279" i="10"/>
  <c r="U279" i="10"/>
  <c r="S279" i="10"/>
  <c r="AI278" i="10"/>
  <c r="AE278" i="10"/>
  <c r="AC278" i="10"/>
  <c r="AA278" i="10"/>
  <c r="W278" i="10"/>
  <c r="U278" i="10"/>
  <c r="S278" i="10"/>
  <c r="AI277" i="10"/>
  <c r="AE277" i="10"/>
  <c r="AC277" i="10"/>
  <c r="AA277" i="10"/>
  <c r="W277" i="10"/>
  <c r="U277" i="10"/>
  <c r="S277" i="10"/>
  <c r="C277" i="10"/>
  <c r="AI276" i="10"/>
  <c r="AE276" i="10"/>
  <c r="AC276" i="10"/>
  <c r="AA276" i="10"/>
  <c r="W276" i="10"/>
  <c r="U276" i="10"/>
  <c r="S276" i="10"/>
  <c r="AI275" i="10"/>
  <c r="AE275" i="10"/>
  <c r="AC275" i="10"/>
  <c r="AA275" i="10"/>
  <c r="W275" i="10"/>
  <c r="U275" i="10"/>
  <c r="S275" i="10"/>
  <c r="AI274" i="10"/>
  <c r="AE274" i="10"/>
  <c r="AC274" i="10"/>
  <c r="AA274" i="10"/>
  <c r="W274" i="10"/>
  <c r="U274" i="10"/>
  <c r="S274" i="10"/>
  <c r="AI273" i="10"/>
  <c r="AE273" i="10"/>
  <c r="AC273" i="10"/>
  <c r="AA273" i="10"/>
  <c r="W273" i="10"/>
  <c r="U273" i="10"/>
  <c r="S273" i="10"/>
  <c r="AI272" i="10"/>
  <c r="AE272" i="10"/>
  <c r="AC272" i="10"/>
  <c r="AA272" i="10"/>
  <c r="W272" i="10"/>
  <c r="U272" i="10"/>
  <c r="S272" i="10"/>
  <c r="AI271" i="10"/>
  <c r="AE271" i="10"/>
  <c r="AC271" i="10"/>
  <c r="AA271" i="10"/>
  <c r="W271" i="10"/>
  <c r="U271" i="10"/>
  <c r="S271" i="10"/>
  <c r="C271" i="10"/>
  <c r="AI270" i="10"/>
  <c r="AE270" i="10"/>
  <c r="AC270" i="10"/>
  <c r="AA270" i="10"/>
  <c r="W270" i="10"/>
  <c r="U270" i="10"/>
  <c r="S270" i="10"/>
  <c r="AI269" i="10"/>
  <c r="AE269" i="10"/>
  <c r="AC269" i="10"/>
  <c r="AA269" i="10"/>
  <c r="W269" i="10"/>
  <c r="U269" i="10"/>
  <c r="S269" i="10"/>
  <c r="AI268" i="10"/>
  <c r="AE268" i="10"/>
  <c r="AC268" i="10"/>
  <c r="AA268" i="10"/>
  <c r="W268" i="10"/>
  <c r="U268" i="10"/>
  <c r="S268" i="10"/>
  <c r="AI267" i="10"/>
  <c r="AE267" i="10"/>
  <c r="AC267" i="10"/>
  <c r="AA267" i="10"/>
  <c r="W267" i="10"/>
  <c r="U267" i="10"/>
  <c r="S267" i="10"/>
  <c r="AI266" i="10"/>
  <c r="AE266" i="10"/>
  <c r="AC266" i="10"/>
  <c r="AA266" i="10"/>
  <c r="W266" i="10"/>
  <c r="U266" i="10"/>
  <c r="S266" i="10"/>
  <c r="AI265" i="10"/>
  <c r="AE265" i="10"/>
  <c r="AC265" i="10"/>
  <c r="AA265" i="10"/>
  <c r="W265" i="10"/>
  <c r="U265" i="10"/>
  <c r="S265" i="10"/>
  <c r="AI264" i="10"/>
  <c r="AE264" i="10"/>
  <c r="AC264" i="10"/>
  <c r="AA264" i="10"/>
  <c r="W264" i="10"/>
  <c r="U264" i="10"/>
  <c r="S264" i="10"/>
  <c r="AI263" i="10"/>
  <c r="AE263" i="10"/>
  <c r="AC263" i="10"/>
  <c r="AA263" i="10"/>
  <c r="W263" i="10"/>
  <c r="U263" i="10"/>
  <c r="S263" i="10"/>
  <c r="AI262" i="10"/>
  <c r="AE262" i="10"/>
  <c r="AC262" i="10"/>
  <c r="AA262" i="10"/>
  <c r="W262" i="10"/>
  <c r="U262" i="10"/>
  <c r="S262" i="10"/>
  <c r="AI261" i="10"/>
  <c r="AE261" i="10"/>
  <c r="AC261" i="10"/>
  <c r="AA261" i="10"/>
  <c r="W261" i="10"/>
  <c r="U261" i="10"/>
  <c r="S261" i="10"/>
  <c r="AI260" i="10"/>
  <c r="AE260" i="10"/>
  <c r="AC260" i="10"/>
  <c r="AA260" i="10"/>
  <c r="W260" i="10"/>
  <c r="U260" i="10"/>
  <c r="S260" i="10"/>
  <c r="AI259" i="10"/>
  <c r="AE259" i="10"/>
  <c r="AC259" i="10"/>
  <c r="AA259" i="10"/>
  <c r="W259" i="10"/>
  <c r="U259" i="10"/>
  <c r="S259" i="10"/>
  <c r="AI258" i="10"/>
  <c r="AE258" i="10"/>
  <c r="AC258" i="10"/>
  <c r="AA258" i="10"/>
  <c r="W258" i="10"/>
  <c r="U258" i="10"/>
  <c r="S258" i="10"/>
  <c r="AI257" i="10"/>
  <c r="AE257" i="10"/>
  <c r="AC257" i="10"/>
  <c r="AA257" i="10"/>
  <c r="W257" i="10"/>
  <c r="U257" i="10"/>
  <c r="S257" i="10"/>
  <c r="AI256" i="10"/>
  <c r="AE256" i="10"/>
  <c r="AC256" i="10"/>
  <c r="AA256" i="10"/>
  <c r="W256" i="10"/>
  <c r="U256" i="10"/>
  <c r="S256" i="10"/>
  <c r="AI255" i="10"/>
  <c r="AE255" i="10"/>
  <c r="AC255" i="10"/>
  <c r="AA255" i="10"/>
  <c r="W255" i="10"/>
  <c r="U255" i="10"/>
  <c r="S255" i="10"/>
  <c r="AI254" i="10"/>
  <c r="AE254" i="10"/>
  <c r="AC254" i="10"/>
  <c r="AA254" i="10"/>
  <c r="W254" i="10"/>
  <c r="U254" i="10"/>
  <c r="S254" i="10"/>
  <c r="AI253" i="10"/>
  <c r="AE253" i="10"/>
  <c r="AC253" i="10"/>
  <c r="AA253" i="10"/>
  <c r="W253" i="10"/>
  <c r="U253" i="10"/>
  <c r="S253" i="10"/>
  <c r="AI252" i="10"/>
  <c r="AE252" i="10"/>
  <c r="AC252" i="10"/>
  <c r="AA252" i="10"/>
  <c r="W252" i="10"/>
  <c r="U252" i="10"/>
  <c r="S252" i="10"/>
  <c r="AI251" i="10"/>
  <c r="AE251" i="10"/>
  <c r="AC251" i="10"/>
  <c r="AA251" i="10"/>
  <c r="W251" i="10"/>
  <c r="U251" i="10"/>
  <c r="S251" i="10"/>
  <c r="AI250" i="10"/>
  <c r="AE250" i="10"/>
  <c r="AC250" i="10"/>
  <c r="AA250" i="10"/>
  <c r="W250" i="10"/>
  <c r="U250" i="10"/>
  <c r="S250" i="10"/>
  <c r="AI249" i="10"/>
  <c r="AE249" i="10"/>
  <c r="AC249" i="10"/>
  <c r="AA249" i="10"/>
  <c r="W249" i="10"/>
  <c r="U249" i="10"/>
  <c r="S249" i="10"/>
  <c r="AI248" i="10"/>
  <c r="AE248" i="10"/>
  <c r="AC248" i="10"/>
  <c r="AA248" i="10"/>
  <c r="W248" i="10"/>
  <c r="U248" i="10"/>
  <c r="S248" i="10"/>
  <c r="AI247" i="10"/>
  <c r="AE247" i="10"/>
  <c r="AC247" i="10"/>
  <c r="AA247" i="10"/>
  <c r="W247" i="10"/>
  <c r="U247" i="10"/>
  <c r="S247" i="10"/>
  <c r="AI246" i="10"/>
  <c r="AE246" i="10"/>
  <c r="AC246" i="10"/>
  <c r="AA246" i="10"/>
  <c r="W246" i="10"/>
  <c r="U246" i="10"/>
  <c r="S246" i="10"/>
  <c r="AI245" i="10"/>
  <c r="AE245" i="10"/>
  <c r="AC245" i="10"/>
  <c r="AA245" i="10"/>
  <c r="W245" i="10"/>
  <c r="U245" i="10"/>
  <c r="S245" i="10"/>
  <c r="AI244" i="10"/>
  <c r="AE244" i="10"/>
  <c r="AC244" i="10"/>
  <c r="AA244" i="10"/>
  <c r="W244" i="10"/>
  <c r="U244" i="10"/>
  <c r="S244" i="10"/>
  <c r="AI243" i="10"/>
  <c r="AE243" i="10"/>
  <c r="AC243" i="10"/>
  <c r="AA243" i="10"/>
  <c r="W243" i="10"/>
  <c r="U243" i="10"/>
  <c r="S243" i="10"/>
  <c r="AI242" i="10"/>
  <c r="AE242" i="10"/>
  <c r="AC242" i="10"/>
  <c r="AA242" i="10"/>
  <c r="W242" i="10"/>
  <c r="U242" i="10"/>
  <c r="S242" i="10"/>
  <c r="AI241" i="10"/>
  <c r="AE241" i="10"/>
  <c r="AC241" i="10"/>
  <c r="AA241" i="10"/>
  <c r="W241" i="10"/>
  <c r="U241" i="10"/>
  <c r="S241" i="10"/>
  <c r="K241" i="10"/>
  <c r="AI240" i="10"/>
  <c r="AE240" i="10"/>
  <c r="AC240" i="10"/>
  <c r="AA240" i="10"/>
  <c r="W240" i="10"/>
  <c r="U240" i="10"/>
  <c r="S240" i="10"/>
  <c r="AI239" i="10"/>
  <c r="AE239" i="10"/>
  <c r="AC239" i="10"/>
  <c r="AA239" i="10"/>
  <c r="W239" i="10"/>
  <c r="U239" i="10"/>
  <c r="S239" i="10"/>
  <c r="AI238" i="10"/>
  <c r="AE238" i="10"/>
  <c r="AC238" i="10"/>
  <c r="AA238" i="10"/>
  <c r="W238" i="10"/>
  <c r="U238" i="10"/>
  <c r="S238" i="10"/>
  <c r="AI237" i="10"/>
  <c r="AE237" i="10"/>
  <c r="AC237" i="10"/>
  <c r="AA237" i="10"/>
  <c r="W237" i="10"/>
  <c r="U237" i="10"/>
  <c r="S237" i="10"/>
  <c r="AI236" i="10"/>
  <c r="AE236" i="10"/>
  <c r="AC236" i="10"/>
  <c r="AA236" i="10"/>
  <c r="W236" i="10"/>
  <c r="U236" i="10"/>
  <c r="S236" i="10"/>
  <c r="AI235" i="10"/>
  <c r="AE235" i="10"/>
  <c r="AC235" i="10"/>
  <c r="AA235" i="10"/>
  <c r="W235" i="10"/>
  <c r="U235" i="10"/>
  <c r="S235" i="10"/>
  <c r="AI234" i="10"/>
  <c r="AE234" i="10"/>
  <c r="AC234" i="10"/>
  <c r="AA234" i="10"/>
  <c r="W234" i="10"/>
  <c r="U234" i="10"/>
  <c r="S234" i="10"/>
  <c r="AI233" i="10"/>
  <c r="AE233" i="10"/>
  <c r="AC233" i="10"/>
  <c r="AA233" i="10"/>
  <c r="W233" i="10"/>
  <c r="U233" i="10"/>
  <c r="S233" i="10"/>
  <c r="AI232" i="10"/>
  <c r="AE232" i="10"/>
  <c r="AC232" i="10"/>
  <c r="AA232" i="10"/>
  <c r="W232" i="10"/>
  <c r="U232" i="10"/>
  <c r="S232" i="10"/>
  <c r="AI231" i="10"/>
  <c r="AE231" i="10"/>
  <c r="AC231" i="10"/>
  <c r="AA231" i="10"/>
  <c r="W231" i="10"/>
  <c r="U231" i="10"/>
  <c r="S231" i="10"/>
  <c r="AI230" i="10"/>
  <c r="AE230" i="10"/>
  <c r="AC230" i="10"/>
  <c r="AA230" i="10"/>
  <c r="W230" i="10"/>
  <c r="U230" i="10"/>
  <c r="S230" i="10"/>
  <c r="AI229" i="10"/>
  <c r="AE229" i="10"/>
  <c r="AC229" i="10"/>
  <c r="AA229" i="10"/>
  <c r="W229" i="10"/>
  <c r="U229" i="10"/>
  <c r="S229" i="10"/>
  <c r="K229" i="10"/>
  <c r="AI228" i="10"/>
  <c r="AE228" i="10"/>
  <c r="AC228" i="10"/>
  <c r="AA228" i="10"/>
  <c r="W228" i="10"/>
  <c r="U228" i="10"/>
  <c r="S228" i="10"/>
  <c r="AI227" i="10"/>
  <c r="AE227" i="10"/>
  <c r="AC227" i="10"/>
  <c r="AA227" i="10"/>
  <c r="W227" i="10"/>
  <c r="U227" i="10"/>
  <c r="S227" i="10"/>
  <c r="AI226" i="10"/>
  <c r="AE226" i="10"/>
  <c r="AC226" i="10"/>
  <c r="AA226" i="10"/>
  <c r="W226" i="10"/>
  <c r="U226" i="10"/>
  <c r="S226" i="10"/>
  <c r="AI225" i="10"/>
  <c r="AE225" i="10"/>
  <c r="AC225" i="10"/>
  <c r="AA225" i="10"/>
  <c r="W225" i="10"/>
  <c r="U225" i="10"/>
  <c r="S225" i="10"/>
  <c r="AI224" i="10"/>
  <c r="AE224" i="10"/>
  <c r="AC224" i="10"/>
  <c r="AA224" i="10"/>
  <c r="W224" i="10"/>
  <c r="U224" i="10"/>
  <c r="S224" i="10"/>
  <c r="AI223" i="10"/>
  <c r="AE223" i="10"/>
  <c r="AC223" i="10"/>
  <c r="AA223" i="10"/>
  <c r="W223" i="10"/>
  <c r="U223" i="10"/>
  <c r="S223" i="10"/>
  <c r="K223" i="10"/>
  <c r="AI222" i="10"/>
  <c r="AE222" i="10"/>
  <c r="AC222" i="10"/>
  <c r="AA222" i="10"/>
  <c r="W222" i="10"/>
  <c r="U222" i="10"/>
  <c r="S222" i="10"/>
  <c r="AI221" i="10"/>
  <c r="AE221" i="10"/>
  <c r="AC221" i="10"/>
  <c r="AA221" i="10"/>
  <c r="W221" i="10"/>
  <c r="U221" i="10"/>
  <c r="S221" i="10"/>
  <c r="AI220" i="10"/>
  <c r="AE220" i="10"/>
  <c r="AC220" i="10"/>
  <c r="AA220" i="10"/>
  <c r="W220" i="10"/>
  <c r="U220" i="10"/>
  <c r="S220" i="10"/>
  <c r="AI219" i="10"/>
  <c r="AE219" i="10"/>
  <c r="AC219" i="10"/>
  <c r="AA219" i="10"/>
  <c r="W219" i="10"/>
  <c r="U219" i="10"/>
  <c r="S219" i="10"/>
  <c r="AI218" i="10"/>
  <c r="AE218" i="10"/>
  <c r="AC218" i="10"/>
  <c r="AA218" i="10"/>
  <c r="W218" i="10"/>
  <c r="U218" i="10"/>
  <c r="S218" i="10"/>
  <c r="AI217" i="10"/>
  <c r="AE217" i="10"/>
  <c r="AC217" i="10"/>
  <c r="AA217" i="10"/>
  <c r="W217" i="10"/>
  <c r="U217" i="10"/>
  <c r="S217" i="10"/>
  <c r="K217" i="10"/>
  <c r="C217" i="10"/>
  <c r="AI216" i="10"/>
  <c r="AE216" i="10"/>
  <c r="AC216" i="10"/>
  <c r="AA216" i="10"/>
  <c r="W216" i="10"/>
  <c r="U216" i="10"/>
  <c r="S216" i="10"/>
  <c r="AI215" i="10"/>
  <c r="AE215" i="10"/>
  <c r="AC215" i="10"/>
  <c r="AA215" i="10"/>
  <c r="W215" i="10"/>
  <c r="U215" i="10"/>
  <c r="S215" i="10"/>
  <c r="AI214" i="10"/>
  <c r="AE214" i="10"/>
  <c r="AC214" i="10"/>
  <c r="AA214" i="10"/>
  <c r="W214" i="10"/>
  <c r="U214" i="10"/>
  <c r="S214" i="10"/>
  <c r="AI213" i="10"/>
  <c r="AE213" i="10"/>
  <c r="AC213" i="10"/>
  <c r="AA213" i="10"/>
  <c r="W213" i="10"/>
  <c r="U213" i="10"/>
  <c r="S213" i="10"/>
  <c r="AI212" i="10"/>
  <c r="AE212" i="10"/>
  <c r="AC212" i="10"/>
  <c r="AA212" i="10"/>
  <c r="W212" i="10"/>
  <c r="U212" i="10"/>
  <c r="S212" i="10"/>
  <c r="AI211" i="10"/>
  <c r="AE211" i="10"/>
  <c r="AC211" i="10"/>
  <c r="AA211" i="10"/>
  <c r="W211" i="10"/>
  <c r="U211" i="10"/>
  <c r="S211" i="10"/>
  <c r="K211" i="10"/>
  <c r="C211" i="10"/>
  <c r="AI210" i="10"/>
  <c r="AE210" i="10"/>
  <c r="AC210" i="10"/>
  <c r="AA210" i="10"/>
  <c r="W210" i="10"/>
  <c r="U210" i="10"/>
  <c r="S210" i="10"/>
  <c r="AI209" i="10"/>
  <c r="AE209" i="10"/>
  <c r="AC209" i="10"/>
  <c r="AA209" i="10"/>
  <c r="W209" i="10"/>
  <c r="U209" i="10"/>
  <c r="S209" i="10"/>
  <c r="AI208" i="10"/>
  <c r="AE208" i="10"/>
  <c r="AC208" i="10"/>
  <c r="AA208" i="10"/>
  <c r="W208" i="10"/>
  <c r="U208" i="10"/>
  <c r="S208" i="10"/>
  <c r="AI207" i="10"/>
  <c r="AE207" i="10"/>
  <c r="AC207" i="10"/>
  <c r="AA207" i="10"/>
  <c r="W207" i="10"/>
  <c r="U207" i="10"/>
  <c r="S207" i="10"/>
  <c r="AI206" i="10"/>
  <c r="AE206" i="10"/>
  <c r="AC206" i="10"/>
  <c r="AA206" i="10"/>
  <c r="W206" i="10"/>
  <c r="U206" i="10"/>
  <c r="S206" i="10"/>
  <c r="AI205" i="10"/>
  <c r="AE205" i="10"/>
  <c r="AC205" i="10"/>
  <c r="AA205" i="10"/>
  <c r="W205" i="10"/>
  <c r="U205" i="10"/>
  <c r="S205" i="10"/>
  <c r="K205" i="10"/>
  <c r="C205" i="10"/>
  <c r="AI204" i="10"/>
  <c r="AE204" i="10"/>
  <c r="AC204" i="10"/>
  <c r="AA204" i="10"/>
  <c r="W204" i="10"/>
  <c r="U204" i="10"/>
  <c r="S204" i="10"/>
  <c r="AI203" i="10"/>
  <c r="AE203" i="10"/>
  <c r="AC203" i="10"/>
  <c r="AA203" i="10"/>
  <c r="W203" i="10"/>
  <c r="U203" i="10"/>
  <c r="S203" i="10"/>
  <c r="AI202" i="10"/>
  <c r="AE202" i="10"/>
  <c r="AC202" i="10"/>
  <c r="AA202" i="10"/>
  <c r="W202" i="10"/>
  <c r="U202" i="10"/>
  <c r="S202" i="10"/>
  <c r="AI201" i="10"/>
  <c r="AE201" i="10"/>
  <c r="AC201" i="10"/>
  <c r="AA201" i="10"/>
  <c r="W201" i="10"/>
  <c r="U201" i="10"/>
  <c r="S201" i="10"/>
  <c r="AI200" i="10"/>
  <c r="AE200" i="10"/>
  <c r="AC200" i="10"/>
  <c r="AA200" i="10"/>
  <c r="W200" i="10"/>
  <c r="U200" i="10"/>
  <c r="S200" i="10"/>
  <c r="AI199" i="10"/>
  <c r="AE199" i="10"/>
  <c r="AC199" i="10"/>
  <c r="AA199" i="10"/>
  <c r="W199" i="10"/>
  <c r="U199" i="10"/>
  <c r="S199" i="10"/>
  <c r="K199" i="10"/>
  <c r="C199" i="10"/>
  <c r="AI198" i="10"/>
  <c r="AE198" i="10"/>
  <c r="AC198" i="10"/>
  <c r="AA198" i="10"/>
  <c r="W198" i="10"/>
  <c r="U198" i="10"/>
  <c r="S198" i="10"/>
  <c r="AI197" i="10"/>
  <c r="AE197" i="10"/>
  <c r="AC197" i="10"/>
  <c r="AA197" i="10"/>
  <c r="W197" i="10"/>
  <c r="U197" i="10"/>
  <c r="S197" i="10"/>
  <c r="AI196" i="10"/>
  <c r="AE196" i="10"/>
  <c r="AC196" i="10"/>
  <c r="AA196" i="10"/>
  <c r="W196" i="10"/>
  <c r="U196" i="10"/>
  <c r="S196" i="10"/>
  <c r="AI195" i="10"/>
  <c r="AE195" i="10"/>
  <c r="AC195" i="10"/>
  <c r="AA195" i="10"/>
  <c r="W195" i="10"/>
  <c r="U195" i="10"/>
  <c r="S195" i="10"/>
  <c r="AI194" i="10"/>
  <c r="AE194" i="10"/>
  <c r="AC194" i="10"/>
  <c r="AA194" i="10"/>
  <c r="W194" i="10"/>
  <c r="U194" i="10"/>
  <c r="S194" i="10"/>
  <c r="AI193" i="10"/>
  <c r="AE193" i="10"/>
  <c r="AC193" i="10"/>
  <c r="AA193" i="10"/>
  <c r="W193" i="10"/>
  <c r="U193" i="10"/>
  <c r="S193" i="10"/>
  <c r="K193" i="10"/>
  <c r="AI192" i="10"/>
  <c r="AE192" i="10"/>
  <c r="AC192" i="10"/>
  <c r="AA192" i="10"/>
  <c r="W192" i="10"/>
  <c r="U192" i="10"/>
  <c r="S192" i="10"/>
  <c r="AI191" i="10"/>
  <c r="AE191" i="10"/>
  <c r="AC191" i="10"/>
  <c r="AA191" i="10"/>
  <c r="W191" i="10"/>
  <c r="U191" i="10"/>
  <c r="S191" i="10"/>
  <c r="AI190" i="10"/>
  <c r="AE190" i="10"/>
  <c r="AC190" i="10"/>
  <c r="AA190" i="10"/>
  <c r="W190" i="10"/>
  <c r="U190" i="10"/>
  <c r="S190" i="10"/>
  <c r="AI189" i="10"/>
  <c r="AE189" i="10"/>
  <c r="AC189" i="10"/>
  <c r="AA189" i="10"/>
  <c r="W189" i="10"/>
  <c r="U189" i="10"/>
  <c r="S189" i="10"/>
  <c r="AI188" i="10"/>
  <c r="AE188" i="10"/>
  <c r="AC188" i="10"/>
  <c r="AA188" i="10"/>
  <c r="W188" i="10"/>
  <c r="U188" i="10"/>
  <c r="S188" i="10"/>
  <c r="AI187" i="10"/>
  <c r="AE187" i="10"/>
  <c r="AC187" i="10"/>
  <c r="AA187" i="10"/>
  <c r="W187" i="10"/>
  <c r="U187" i="10"/>
  <c r="S187" i="10"/>
  <c r="K187" i="10"/>
  <c r="AI186" i="10"/>
  <c r="AE186" i="10"/>
  <c r="AC186" i="10"/>
  <c r="AA186" i="10"/>
  <c r="W186" i="10"/>
  <c r="U186" i="10"/>
  <c r="S186" i="10"/>
  <c r="AI185" i="10"/>
  <c r="AE185" i="10"/>
  <c r="AC185" i="10"/>
  <c r="AA185" i="10"/>
  <c r="W185" i="10"/>
  <c r="U185" i="10"/>
  <c r="S185" i="10"/>
  <c r="AI184" i="10"/>
  <c r="AE184" i="10"/>
  <c r="AC184" i="10"/>
  <c r="AA184" i="10"/>
  <c r="W184" i="10"/>
  <c r="U184" i="10"/>
  <c r="S184" i="10"/>
  <c r="AI183" i="10"/>
  <c r="AE183" i="10"/>
  <c r="AC183" i="10"/>
  <c r="AA183" i="10"/>
  <c r="W183" i="10"/>
  <c r="U183" i="10"/>
  <c r="S183" i="10"/>
  <c r="AI182" i="10"/>
  <c r="AE182" i="10"/>
  <c r="AC182" i="10"/>
  <c r="AA182" i="10"/>
  <c r="W182" i="10"/>
  <c r="U182" i="10"/>
  <c r="S182" i="10"/>
  <c r="AI181" i="10"/>
  <c r="AE181" i="10"/>
  <c r="AC181" i="10"/>
  <c r="AA181" i="10"/>
  <c r="W181" i="10"/>
  <c r="U181" i="10"/>
  <c r="S181" i="10"/>
  <c r="K181" i="10"/>
  <c r="AI180" i="10"/>
  <c r="AE180" i="10"/>
  <c r="AC180" i="10"/>
  <c r="AA180" i="10"/>
  <c r="W180" i="10"/>
  <c r="U180" i="10"/>
  <c r="S180" i="10"/>
  <c r="AI179" i="10"/>
  <c r="AE179" i="10"/>
  <c r="AC179" i="10"/>
  <c r="AA179" i="10"/>
  <c r="W179" i="10"/>
  <c r="U179" i="10"/>
  <c r="S179" i="10"/>
  <c r="AI178" i="10"/>
  <c r="AE178" i="10"/>
  <c r="AC178" i="10"/>
  <c r="AA178" i="10"/>
  <c r="W178" i="10"/>
  <c r="U178" i="10"/>
  <c r="S178" i="10"/>
  <c r="AI177" i="10"/>
  <c r="AE177" i="10"/>
  <c r="AC177" i="10"/>
  <c r="AA177" i="10"/>
  <c r="W177" i="10"/>
  <c r="U177" i="10"/>
  <c r="S177" i="10"/>
  <c r="AI176" i="10"/>
  <c r="AE176" i="10"/>
  <c r="AC176" i="10"/>
  <c r="AA176" i="10"/>
  <c r="W176" i="10"/>
  <c r="U176" i="10"/>
  <c r="S176" i="10"/>
  <c r="AI175" i="10"/>
  <c r="AE175" i="10"/>
  <c r="AC175" i="10"/>
  <c r="AA175" i="10"/>
  <c r="W175" i="10"/>
  <c r="U175" i="10"/>
  <c r="S175" i="10"/>
  <c r="K175" i="10"/>
  <c r="AI174" i="10"/>
  <c r="AE174" i="10"/>
  <c r="AC174" i="10"/>
  <c r="AA174" i="10"/>
  <c r="W174" i="10"/>
  <c r="U174" i="10"/>
  <c r="S174" i="10"/>
  <c r="AI173" i="10"/>
  <c r="AE173" i="10"/>
  <c r="AC173" i="10"/>
  <c r="AA173" i="10"/>
  <c r="W173" i="10"/>
  <c r="U173" i="10"/>
  <c r="S173" i="10"/>
  <c r="AI172" i="10"/>
  <c r="AE172" i="10"/>
  <c r="AC172" i="10"/>
  <c r="AA172" i="10"/>
  <c r="W172" i="10"/>
  <c r="U172" i="10"/>
  <c r="S172" i="10"/>
  <c r="AI171" i="10"/>
  <c r="AE171" i="10"/>
  <c r="AC171" i="10"/>
  <c r="AA171" i="10"/>
  <c r="W171" i="10"/>
  <c r="U171" i="10"/>
  <c r="S171" i="10"/>
  <c r="AI170" i="10"/>
  <c r="AE170" i="10"/>
  <c r="AC170" i="10"/>
  <c r="AA170" i="10"/>
  <c r="W170" i="10"/>
  <c r="U170" i="10"/>
  <c r="S170" i="10"/>
  <c r="AI169" i="10"/>
  <c r="AE169" i="10"/>
  <c r="AC169" i="10"/>
  <c r="AA169" i="10"/>
  <c r="W169" i="10"/>
  <c r="U169" i="10"/>
  <c r="S169" i="10"/>
  <c r="K169" i="10"/>
  <c r="AI168" i="10"/>
  <c r="AE168" i="10"/>
  <c r="AC168" i="10"/>
  <c r="AA168" i="10"/>
  <c r="W168" i="10"/>
  <c r="U168" i="10"/>
  <c r="S168" i="10"/>
  <c r="AI167" i="10"/>
  <c r="AE167" i="10"/>
  <c r="AC167" i="10"/>
  <c r="AA167" i="10"/>
  <c r="W167" i="10"/>
  <c r="U167" i="10"/>
  <c r="S167" i="10"/>
  <c r="AI166" i="10"/>
  <c r="AE166" i="10"/>
  <c r="AC166" i="10"/>
  <c r="AA166" i="10"/>
  <c r="W166" i="10"/>
  <c r="U166" i="10"/>
  <c r="S166" i="10"/>
  <c r="AI165" i="10"/>
  <c r="AE165" i="10"/>
  <c r="AC165" i="10"/>
  <c r="AA165" i="10"/>
  <c r="W165" i="10"/>
  <c r="U165" i="10"/>
  <c r="S165" i="10"/>
  <c r="AI164" i="10"/>
  <c r="AE164" i="10"/>
  <c r="AC164" i="10"/>
  <c r="AA164" i="10"/>
  <c r="W164" i="10"/>
  <c r="U164" i="10"/>
  <c r="S164" i="10"/>
  <c r="AI163" i="10"/>
  <c r="AE163" i="10"/>
  <c r="AC163" i="10"/>
  <c r="AA163" i="10"/>
  <c r="W163" i="10"/>
  <c r="U163" i="10"/>
  <c r="S163" i="10"/>
  <c r="K163" i="10"/>
  <c r="C163" i="10"/>
  <c r="AI162" i="10"/>
  <c r="AE162" i="10"/>
  <c r="AC162" i="10"/>
  <c r="AA162" i="10"/>
  <c r="W162" i="10"/>
  <c r="U162" i="10"/>
  <c r="S162" i="10"/>
  <c r="AI161" i="10"/>
  <c r="AE161" i="10"/>
  <c r="AC161" i="10"/>
  <c r="AA161" i="10"/>
  <c r="W161" i="10"/>
  <c r="U161" i="10"/>
  <c r="S161" i="10"/>
  <c r="AI160" i="10"/>
  <c r="AE160" i="10"/>
  <c r="AC160" i="10"/>
  <c r="AA160" i="10"/>
  <c r="W160" i="10"/>
  <c r="U160" i="10"/>
  <c r="S160" i="10"/>
  <c r="AI159" i="10"/>
  <c r="AE159" i="10"/>
  <c r="AC159" i="10"/>
  <c r="AA159" i="10"/>
  <c r="W159" i="10"/>
  <c r="U159" i="10"/>
  <c r="S159" i="10"/>
  <c r="AI158" i="10"/>
  <c r="AE158" i="10"/>
  <c r="AC158" i="10"/>
  <c r="AA158" i="10"/>
  <c r="W158" i="10"/>
  <c r="U158" i="10"/>
  <c r="S158" i="10"/>
  <c r="AI157" i="10"/>
  <c r="AE157" i="10"/>
  <c r="AC157" i="10"/>
  <c r="AA157" i="10"/>
  <c r="W157" i="10"/>
  <c r="U157" i="10"/>
  <c r="S157" i="10"/>
  <c r="K157" i="10"/>
  <c r="C157" i="10"/>
  <c r="AI156" i="10"/>
  <c r="AE156" i="10"/>
  <c r="AC156" i="10"/>
  <c r="AA156" i="10"/>
  <c r="W156" i="10"/>
  <c r="U156" i="10"/>
  <c r="S156" i="10"/>
  <c r="AI155" i="10"/>
  <c r="AE155" i="10"/>
  <c r="AC155" i="10"/>
  <c r="AA155" i="10"/>
  <c r="W155" i="10"/>
  <c r="U155" i="10"/>
  <c r="S155" i="10"/>
  <c r="AI154" i="10"/>
  <c r="AE154" i="10"/>
  <c r="AC154" i="10"/>
  <c r="AA154" i="10"/>
  <c r="W154" i="10"/>
  <c r="U154" i="10"/>
  <c r="S154" i="10"/>
  <c r="AI153" i="10"/>
  <c r="AE153" i="10"/>
  <c r="AC153" i="10"/>
  <c r="AA153" i="10"/>
  <c r="W153" i="10"/>
  <c r="U153" i="10"/>
  <c r="S153" i="10"/>
  <c r="AI152" i="10"/>
  <c r="AE152" i="10"/>
  <c r="AC152" i="10"/>
  <c r="AA152" i="10"/>
  <c r="W152" i="10"/>
  <c r="U152" i="10"/>
  <c r="S152" i="10"/>
  <c r="AI151" i="10"/>
  <c r="AE151" i="10"/>
  <c r="AC151" i="10"/>
  <c r="AA151" i="10"/>
  <c r="W151" i="10"/>
  <c r="U151" i="10"/>
  <c r="S151" i="10"/>
  <c r="K151" i="10"/>
  <c r="C151" i="10"/>
  <c r="AI150" i="10"/>
  <c r="AE150" i="10"/>
  <c r="AC150" i="10"/>
  <c r="AA150" i="10"/>
  <c r="W150" i="10"/>
  <c r="U150" i="10"/>
  <c r="S150" i="10"/>
  <c r="AI149" i="10"/>
  <c r="AE149" i="10"/>
  <c r="AC149" i="10"/>
  <c r="AA149" i="10"/>
  <c r="W149" i="10"/>
  <c r="U149" i="10"/>
  <c r="S149" i="10"/>
  <c r="AI148" i="10"/>
  <c r="AE148" i="10"/>
  <c r="AC148" i="10"/>
  <c r="AA148" i="10"/>
  <c r="W148" i="10"/>
  <c r="U148" i="10"/>
  <c r="S148" i="10"/>
  <c r="AI147" i="10"/>
  <c r="AE147" i="10"/>
  <c r="AC147" i="10"/>
  <c r="AA147" i="10"/>
  <c r="W147" i="10"/>
  <c r="U147" i="10"/>
  <c r="S147" i="10"/>
  <c r="AI146" i="10"/>
  <c r="AE146" i="10"/>
  <c r="AC146" i="10"/>
  <c r="AA146" i="10"/>
  <c r="W146" i="10"/>
  <c r="U146" i="10"/>
  <c r="S146" i="10"/>
  <c r="AI145" i="10"/>
  <c r="AE145" i="10"/>
  <c r="AC145" i="10"/>
  <c r="AA145" i="10"/>
  <c r="W145" i="10"/>
  <c r="U145" i="10"/>
  <c r="S145" i="10"/>
  <c r="K145" i="10"/>
  <c r="C145" i="10"/>
  <c r="AI144" i="10"/>
  <c r="AE144" i="10"/>
  <c r="AC144" i="10"/>
  <c r="AA144" i="10"/>
  <c r="W144" i="10"/>
  <c r="U144" i="10"/>
  <c r="S144" i="10"/>
  <c r="AI143" i="10"/>
  <c r="AE143" i="10"/>
  <c r="AC143" i="10"/>
  <c r="AA143" i="10"/>
  <c r="W143" i="10"/>
  <c r="U143" i="10"/>
  <c r="S143" i="10"/>
  <c r="AI142" i="10"/>
  <c r="AE142" i="10"/>
  <c r="AC142" i="10"/>
  <c r="AA142" i="10"/>
  <c r="W142" i="10"/>
  <c r="U142" i="10"/>
  <c r="S142" i="10"/>
  <c r="AI141" i="10"/>
  <c r="AE141" i="10"/>
  <c r="AC141" i="10"/>
  <c r="AA141" i="10"/>
  <c r="W141" i="10"/>
  <c r="U141" i="10"/>
  <c r="S141" i="10"/>
  <c r="AI140" i="10"/>
  <c r="AE140" i="10"/>
  <c r="AC140" i="10"/>
  <c r="AA140" i="10"/>
  <c r="W140" i="10"/>
  <c r="U140" i="10"/>
  <c r="S140" i="10"/>
  <c r="AI139" i="10"/>
  <c r="AE139" i="10"/>
  <c r="AC139" i="10"/>
  <c r="AA139" i="10"/>
  <c r="W139" i="10"/>
  <c r="U139" i="10"/>
  <c r="S139" i="10"/>
  <c r="K139" i="10"/>
  <c r="C139" i="10"/>
  <c r="AI138" i="10"/>
  <c r="AE138" i="10"/>
  <c r="AC138" i="10"/>
  <c r="AA138" i="10"/>
  <c r="W138" i="10"/>
  <c r="U138" i="10"/>
  <c r="S138" i="10"/>
  <c r="AI137" i="10"/>
  <c r="AE137" i="10"/>
  <c r="AC137" i="10"/>
  <c r="AA137" i="10"/>
  <c r="W137" i="10"/>
  <c r="U137" i="10"/>
  <c r="S137" i="10"/>
  <c r="AI136" i="10"/>
  <c r="AE136" i="10"/>
  <c r="AC136" i="10"/>
  <c r="AA136" i="10"/>
  <c r="W136" i="10"/>
  <c r="U136" i="10"/>
  <c r="S136" i="10"/>
  <c r="AI135" i="10"/>
  <c r="AE135" i="10"/>
  <c r="AC135" i="10"/>
  <c r="AA135" i="10"/>
  <c r="W135" i="10"/>
  <c r="U135" i="10"/>
  <c r="S135" i="10"/>
  <c r="AI134" i="10"/>
  <c r="AE134" i="10"/>
  <c r="AC134" i="10"/>
  <c r="AA134" i="10"/>
  <c r="W134" i="10"/>
  <c r="U134" i="10"/>
  <c r="S134" i="10"/>
  <c r="AI133" i="10"/>
  <c r="AE133" i="10"/>
  <c r="AC133" i="10"/>
  <c r="AA133" i="10"/>
  <c r="W133" i="10"/>
  <c r="U133" i="10"/>
  <c r="S133" i="10"/>
  <c r="K133" i="10"/>
  <c r="C133" i="10"/>
  <c r="AI132" i="10"/>
  <c r="AE132" i="10"/>
  <c r="AC132" i="10"/>
  <c r="AA132" i="10"/>
  <c r="W132" i="10"/>
  <c r="U132" i="10"/>
  <c r="S132" i="10"/>
  <c r="AI131" i="10"/>
  <c r="AE131" i="10"/>
  <c r="AC131" i="10"/>
  <c r="AA131" i="10"/>
  <c r="W131" i="10"/>
  <c r="U131" i="10"/>
  <c r="S131" i="10"/>
  <c r="AI130" i="10"/>
  <c r="AE130" i="10"/>
  <c r="AC130" i="10"/>
  <c r="AA130" i="10"/>
  <c r="W130" i="10"/>
  <c r="U130" i="10"/>
  <c r="S130" i="10"/>
  <c r="AI129" i="10"/>
  <c r="AE129" i="10"/>
  <c r="AC129" i="10"/>
  <c r="AA129" i="10"/>
  <c r="W129" i="10"/>
  <c r="U129" i="10"/>
  <c r="S129" i="10"/>
  <c r="AI128" i="10"/>
  <c r="AE128" i="10"/>
  <c r="AC128" i="10"/>
  <c r="AA128" i="10"/>
  <c r="W128" i="10"/>
  <c r="U128" i="10"/>
  <c r="S128" i="10"/>
  <c r="AI127" i="10"/>
  <c r="AE127" i="10"/>
  <c r="AC127" i="10"/>
  <c r="AA127" i="10"/>
  <c r="W127" i="10"/>
  <c r="U127" i="10"/>
  <c r="S127" i="10"/>
  <c r="K127" i="10"/>
  <c r="AI126" i="10"/>
  <c r="AE126" i="10"/>
  <c r="AC126" i="10"/>
  <c r="AA126" i="10"/>
  <c r="W126" i="10"/>
  <c r="U126" i="10"/>
  <c r="S126" i="10"/>
  <c r="AI125" i="10"/>
  <c r="AE125" i="10"/>
  <c r="AC125" i="10"/>
  <c r="AA125" i="10"/>
  <c r="W125" i="10"/>
  <c r="U125" i="10"/>
  <c r="S125" i="10"/>
  <c r="AI124" i="10"/>
  <c r="AE124" i="10"/>
  <c r="AC124" i="10"/>
  <c r="AA124" i="10"/>
  <c r="W124" i="10"/>
  <c r="U124" i="10"/>
  <c r="S124" i="10"/>
  <c r="AI123" i="10"/>
  <c r="AE123" i="10"/>
  <c r="AC123" i="10"/>
  <c r="AA123" i="10"/>
  <c r="W123" i="10"/>
  <c r="U123" i="10"/>
  <c r="S123" i="10"/>
  <c r="AI122" i="10"/>
  <c r="AE122" i="10"/>
  <c r="AC122" i="10"/>
  <c r="AA122" i="10"/>
  <c r="W122" i="10"/>
  <c r="U122" i="10"/>
  <c r="S122" i="10"/>
  <c r="AI121" i="10"/>
  <c r="AE121" i="10"/>
  <c r="AC121" i="10"/>
  <c r="AA121" i="10"/>
  <c r="W121" i="10"/>
  <c r="U121" i="10"/>
  <c r="S121" i="10"/>
  <c r="K121" i="10"/>
  <c r="C121" i="10"/>
  <c r="AI120" i="10"/>
  <c r="AE120" i="10"/>
  <c r="AC120" i="10"/>
  <c r="AA120" i="10"/>
  <c r="W120" i="10"/>
  <c r="U120" i="10"/>
  <c r="S120" i="10"/>
  <c r="AI119" i="10"/>
  <c r="AE119" i="10"/>
  <c r="AC119" i="10"/>
  <c r="AA119" i="10"/>
  <c r="W119" i="10"/>
  <c r="U119" i="10"/>
  <c r="S119" i="10"/>
  <c r="AI118" i="10"/>
  <c r="AE118" i="10"/>
  <c r="AC118" i="10"/>
  <c r="AA118" i="10"/>
  <c r="W118" i="10"/>
  <c r="U118" i="10"/>
  <c r="S118" i="10"/>
  <c r="AI117" i="10"/>
  <c r="AE117" i="10"/>
  <c r="AC117" i="10"/>
  <c r="AA117" i="10"/>
  <c r="W117" i="10"/>
  <c r="U117" i="10"/>
  <c r="S117" i="10"/>
  <c r="AI116" i="10"/>
  <c r="AE116" i="10"/>
  <c r="AC116" i="10"/>
  <c r="AA116" i="10"/>
  <c r="W116" i="10"/>
  <c r="U116" i="10"/>
  <c r="S116" i="10"/>
  <c r="AI115" i="10"/>
  <c r="AE115" i="10"/>
  <c r="AC115" i="10"/>
  <c r="AA115" i="10"/>
  <c r="W115" i="10"/>
  <c r="U115" i="10"/>
  <c r="S115" i="10"/>
  <c r="K115" i="10"/>
  <c r="C115" i="10"/>
  <c r="AI114" i="10"/>
  <c r="AE114" i="10"/>
  <c r="AC114" i="10"/>
  <c r="AA114" i="10"/>
  <c r="W114" i="10"/>
  <c r="U114" i="10"/>
  <c r="S114" i="10"/>
  <c r="AI113" i="10"/>
  <c r="AE113" i="10"/>
  <c r="AC113" i="10"/>
  <c r="AA113" i="10"/>
  <c r="W113" i="10"/>
  <c r="U113" i="10"/>
  <c r="S113" i="10"/>
  <c r="AI112" i="10"/>
  <c r="AE112" i="10"/>
  <c r="AC112" i="10"/>
  <c r="AA112" i="10"/>
  <c r="W112" i="10"/>
  <c r="U112" i="10"/>
  <c r="S112" i="10"/>
  <c r="AI111" i="10"/>
  <c r="AE111" i="10"/>
  <c r="AC111" i="10"/>
  <c r="AA111" i="10"/>
  <c r="W111" i="10"/>
  <c r="U111" i="10"/>
  <c r="S111" i="10"/>
  <c r="AI110" i="10"/>
  <c r="AE110" i="10"/>
  <c r="AC110" i="10"/>
  <c r="AA110" i="10"/>
  <c r="W110" i="10"/>
  <c r="U110" i="10"/>
  <c r="S110" i="10"/>
  <c r="AI109" i="10"/>
  <c r="AE109" i="10"/>
  <c r="AC109" i="10"/>
  <c r="AA109" i="10"/>
  <c r="W109" i="10"/>
  <c r="U109" i="10"/>
  <c r="S109" i="10"/>
  <c r="C109" i="10"/>
  <c r="AI108" i="10"/>
  <c r="AE108" i="10"/>
  <c r="AC108" i="10"/>
  <c r="AA108" i="10"/>
  <c r="W108" i="10"/>
  <c r="U108" i="10"/>
  <c r="S108" i="10"/>
  <c r="AI107" i="10"/>
  <c r="AE107" i="10"/>
  <c r="AC107" i="10"/>
  <c r="AA107" i="10"/>
  <c r="W107" i="10"/>
  <c r="U107" i="10"/>
  <c r="S107" i="10"/>
  <c r="AI106" i="10"/>
  <c r="AE106" i="10"/>
  <c r="AC106" i="10"/>
  <c r="AA106" i="10"/>
  <c r="W106" i="10"/>
  <c r="U106" i="10"/>
  <c r="S106" i="10"/>
  <c r="AI105" i="10"/>
  <c r="AE105" i="10"/>
  <c r="AC105" i="10"/>
  <c r="AA105" i="10"/>
  <c r="W105" i="10"/>
  <c r="U105" i="10"/>
  <c r="S105" i="10"/>
  <c r="AI104" i="10"/>
  <c r="AE104" i="10"/>
  <c r="AC104" i="10"/>
  <c r="AA104" i="10"/>
  <c r="W104" i="10"/>
  <c r="U104" i="10"/>
  <c r="S104" i="10"/>
  <c r="AI103" i="10"/>
  <c r="AE103" i="10"/>
  <c r="AC103" i="10"/>
  <c r="AA103" i="10"/>
  <c r="W103" i="10"/>
  <c r="U103" i="10"/>
  <c r="S103" i="10"/>
  <c r="K103" i="10"/>
  <c r="C103" i="10"/>
  <c r="AI102" i="10"/>
  <c r="AE102" i="10"/>
  <c r="AC102" i="10"/>
  <c r="AA102" i="10"/>
  <c r="W102" i="10"/>
  <c r="U102" i="10"/>
  <c r="S102" i="10"/>
  <c r="AI101" i="10"/>
  <c r="AE101" i="10"/>
  <c r="AC101" i="10"/>
  <c r="AA101" i="10"/>
  <c r="W101" i="10"/>
  <c r="U101" i="10"/>
  <c r="S101" i="10"/>
  <c r="AI100" i="10"/>
  <c r="AE100" i="10"/>
  <c r="AC100" i="10"/>
  <c r="AI99" i="10"/>
  <c r="AE99" i="10"/>
  <c r="AC99" i="10"/>
  <c r="AA99" i="10"/>
  <c r="W99" i="10"/>
  <c r="U99" i="10"/>
  <c r="S99" i="10"/>
  <c r="AI98" i="10"/>
  <c r="AE98" i="10"/>
  <c r="AC98" i="10"/>
  <c r="AI97" i="10"/>
  <c r="AE97" i="10"/>
  <c r="AC97" i="10"/>
  <c r="K97" i="10"/>
  <c r="C97" i="10"/>
  <c r="AI96" i="10"/>
  <c r="AE96" i="10"/>
  <c r="AC96" i="10"/>
  <c r="AA96" i="10"/>
  <c r="W96" i="10"/>
  <c r="U96" i="10"/>
  <c r="S96" i="10"/>
  <c r="AI95" i="10"/>
  <c r="AE95" i="10"/>
  <c r="AC95" i="10"/>
  <c r="AA95" i="10"/>
  <c r="W95" i="10"/>
  <c r="U95" i="10"/>
  <c r="S95" i="10"/>
  <c r="AI94" i="10"/>
  <c r="AE94" i="10"/>
  <c r="AC94" i="10"/>
  <c r="AA94" i="10"/>
  <c r="W94" i="10"/>
  <c r="U94" i="10"/>
  <c r="S94" i="10"/>
  <c r="AI93" i="10"/>
  <c r="AE93" i="10"/>
  <c r="AI92" i="10"/>
  <c r="AE92" i="10"/>
  <c r="AI91" i="10"/>
  <c r="AE91" i="10"/>
  <c r="C91" i="10"/>
  <c r="AI90" i="10"/>
  <c r="AE90" i="10"/>
  <c r="AC90" i="10"/>
  <c r="AA90" i="10"/>
  <c r="W90" i="10"/>
  <c r="U90" i="10"/>
  <c r="S90" i="10"/>
  <c r="AI89" i="10"/>
  <c r="AE89" i="10"/>
  <c r="AC89" i="10"/>
  <c r="AA89" i="10"/>
  <c r="W89" i="10"/>
  <c r="U89" i="10"/>
  <c r="S89" i="10"/>
  <c r="AI88" i="10"/>
  <c r="AE88" i="10"/>
  <c r="AC88" i="10"/>
  <c r="AA88" i="10"/>
  <c r="W88" i="10"/>
  <c r="U88" i="10"/>
  <c r="S88" i="10"/>
  <c r="AI87" i="10"/>
  <c r="AE87" i="10"/>
  <c r="AC87" i="10"/>
  <c r="AA87" i="10"/>
  <c r="W87" i="10"/>
  <c r="U87" i="10"/>
  <c r="S87" i="10"/>
  <c r="AI86" i="10"/>
  <c r="AE86" i="10"/>
  <c r="AC86" i="10"/>
  <c r="AA86" i="10"/>
  <c r="W86" i="10"/>
  <c r="U86" i="10"/>
  <c r="S86" i="10"/>
  <c r="AI85" i="10"/>
  <c r="AE85" i="10"/>
  <c r="AC85" i="10"/>
  <c r="AA85" i="10"/>
  <c r="W85" i="10"/>
  <c r="U85" i="10"/>
  <c r="S85" i="10"/>
  <c r="K85" i="10"/>
  <c r="C85" i="10"/>
  <c r="AI84" i="10"/>
  <c r="AE84" i="10"/>
  <c r="AC84" i="10"/>
  <c r="AA84" i="10"/>
  <c r="W84" i="10"/>
  <c r="U84" i="10"/>
  <c r="S84" i="10"/>
  <c r="AI83" i="10"/>
  <c r="AE83" i="10"/>
  <c r="AC83" i="10"/>
  <c r="AA83" i="10"/>
  <c r="W83" i="10"/>
  <c r="U83" i="10"/>
  <c r="S83" i="10"/>
  <c r="AI82" i="10"/>
  <c r="AE82" i="10"/>
  <c r="AC82" i="10"/>
  <c r="AA82" i="10"/>
  <c r="W82" i="10"/>
  <c r="U82" i="10"/>
  <c r="S82" i="10"/>
  <c r="AI81" i="10"/>
  <c r="AE81" i="10"/>
  <c r="AC81" i="10"/>
  <c r="AA81" i="10"/>
  <c r="W81" i="10"/>
  <c r="U81" i="10"/>
  <c r="S81" i="10"/>
  <c r="AI80" i="10"/>
  <c r="AE80" i="10"/>
  <c r="AC80" i="10"/>
  <c r="AA80" i="10"/>
  <c r="W80" i="10"/>
  <c r="U80" i="10"/>
  <c r="S80" i="10"/>
  <c r="AI79" i="10"/>
  <c r="AE79" i="10"/>
  <c r="AC79" i="10"/>
  <c r="AA79" i="10"/>
  <c r="W79" i="10"/>
  <c r="U79" i="10"/>
  <c r="S79" i="10"/>
  <c r="K79" i="10"/>
  <c r="C79" i="10"/>
  <c r="AI78" i="10"/>
  <c r="AE78" i="10"/>
  <c r="AC78" i="10"/>
  <c r="AA78" i="10"/>
  <c r="W78" i="10"/>
  <c r="U78" i="10"/>
  <c r="S78" i="10"/>
  <c r="AI77" i="10"/>
  <c r="AE77" i="10"/>
  <c r="AC77" i="10"/>
  <c r="AA77" i="10"/>
  <c r="W77" i="10"/>
  <c r="U77" i="10"/>
  <c r="S77" i="10"/>
  <c r="AI76" i="10"/>
  <c r="AE76" i="10"/>
  <c r="AC76" i="10"/>
  <c r="AA76" i="10"/>
  <c r="W76" i="10"/>
  <c r="U76" i="10"/>
  <c r="S76" i="10"/>
  <c r="AI75" i="10"/>
  <c r="AE75" i="10"/>
  <c r="AC75" i="10"/>
  <c r="AA75" i="10"/>
  <c r="W75" i="10"/>
  <c r="U75" i="10"/>
  <c r="S75" i="10"/>
  <c r="AI74" i="10"/>
  <c r="AE74" i="10"/>
  <c r="AC74" i="10"/>
  <c r="AA74" i="10"/>
  <c r="W74" i="10"/>
  <c r="U74" i="10"/>
  <c r="S74" i="10"/>
  <c r="AI73" i="10"/>
  <c r="AE73" i="10"/>
  <c r="AC73" i="10"/>
  <c r="AA73" i="10"/>
  <c r="W73" i="10"/>
  <c r="U73" i="10"/>
  <c r="S73" i="10"/>
  <c r="K73" i="10"/>
  <c r="C73" i="10"/>
  <c r="AI72" i="10"/>
  <c r="AE72" i="10"/>
  <c r="AC72" i="10"/>
  <c r="AA72" i="10"/>
  <c r="W72" i="10"/>
  <c r="U72" i="10"/>
  <c r="S72" i="10"/>
  <c r="AI71" i="10"/>
  <c r="AE71" i="10"/>
  <c r="AC71" i="10"/>
  <c r="AA71" i="10"/>
  <c r="W71" i="10"/>
  <c r="U71" i="10"/>
  <c r="S71" i="10"/>
  <c r="AI70" i="10"/>
  <c r="AE70" i="10"/>
  <c r="AC70" i="10"/>
  <c r="AA70" i="10"/>
  <c r="W70" i="10"/>
  <c r="U70" i="10"/>
  <c r="S70" i="10"/>
  <c r="AI69" i="10"/>
  <c r="AE69" i="10"/>
  <c r="AC69" i="10"/>
  <c r="AA69" i="10"/>
  <c r="W69" i="10"/>
  <c r="U69" i="10"/>
  <c r="S69" i="10"/>
  <c r="AI68" i="10"/>
  <c r="AE68" i="10"/>
  <c r="AC68" i="10"/>
  <c r="AA68" i="10"/>
  <c r="W68" i="10"/>
  <c r="U68" i="10"/>
  <c r="S68" i="10"/>
  <c r="AI67" i="10"/>
  <c r="AE67" i="10"/>
  <c r="AC67" i="10"/>
  <c r="AA67" i="10"/>
  <c r="W67" i="10"/>
  <c r="U67" i="10"/>
  <c r="S67" i="10"/>
  <c r="K67" i="10"/>
  <c r="C67" i="10"/>
  <c r="AI66" i="10"/>
  <c r="AE66" i="10"/>
  <c r="AC66" i="10"/>
  <c r="AA66" i="10"/>
  <c r="W66" i="10"/>
  <c r="U66" i="10"/>
  <c r="S66" i="10"/>
  <c r="AI65" i="10"/>
  <c r="AE65" i="10"/>
  <c r="AC65" i="10"/>
  <c r="AA65" i="10"/>
  <c r="W65" i="10"/>
  <c r="U65" i="10"/>
  <c r="S65" i="10"/>
  <c r="AI64" i="10"/>
  <c r="AE64" i="10"/>
  <c r="AC64" i="10"/>
  <c r="AA64" i="10"/>
  <c r="W64" i="10"/>
  <c r="U64" i="10"/>
  <c r="S64" i="10"/>
  <c r="AI63" i="10"/>
  <c r="AE63" i="10"/>
  <c r="AC63" i="10"/>
  <c r="AA63" i="10"/>
  <c r="W63" i="10"/>
  <c r="U63" i="10"/>
  <c r="S63" i="10"/>
  <c r="AI62" i="10"/>
  <c r="AE62" i="10"/>
  <c r="AC62" i="10"/>
  <c r="AA62" i="10"/>
  <c r="W62" i="10"/>
  <c r="U62" i="10"/>
  <c r="S62" i="10"/>
  <c r="AI61" i="10"/>
  <c r="AE61" i="10"/>
  <c r="AC61" i="10"/>
  <c r="AA61" i="10"/>
  <c r="W61" i="10"/>
  <c r="U61" i="10"/>
  <c r="S61" i="10"/>
  <c r="K61" i="10"/>
  <c r="C61" i="10"/>
  <c r="AI60" i="10"/>
  <c r="AE60" i="10"/>
  <c r="AC60" i="10"/>
  <c r="AA60" i="10"/>
  <c r="W60" i="10"/>
  <c r="U60" i="10"/>
  <c r="S60" i="10"/>
  <c r="AI59" i="10"/>
  <c r="AE59" i="10"/>
  <c r="AC59" i="10"/>
  <c r="AA59" i="10"/>
  <c r="W59" i="10"/>
  <c r="U59" i="10"/>
  <c r="S59" i="10"/>
  <c r="AI58" i="10"/>
  <c r="AE58" i="10"/>
  <c r="AC58" i="10"/>
  <c r="AA58" i="10"/>
  <c r="W58" i="10"/>
  <c r="U58" i="10"/>
  <c r="S58" i="10"/>
  <c r="AI57" i="10"/>
  <c r="AE57" i="10"/>
  <c r="AC57" i="10"/>
  <c r="AA57" i="10"/>
  <c r="W57" i="10"/>
  <c r="U57" i="10"/>
  <c r="S57" i="10"/>
  <c r="AI56" i="10"/>
  <c r="AE56" i="10"/>
  <c r="AC56" i="10"/>
  <c r="AA56" i="10"/>
  <c r="W56" i="10"/>
  <c r="U56" i="10"/>
  <c r="S56" i="10"/>
  <c r="AI55" i="10"/>
  <c r="AE55" i="10"/>
  <c r="AC55" i="10"/>
  <c r="AA55" i="10"/>
  <c r="W55" i="10"/>
  <c r="U55" i="10"/>
  <c r="S55" i="10"/>
  <c r="K55" i="10"/>
  <c r="C55" i="10"/>
  <c r="AI54" i="10"/>
  <c r="AE54" i="10"/>
  <c r="AC54" i="10"/>
  <c r="AA54" i="10"/>
  <c r="W54" i="10"/>
  <c r="U54" i="10"/>
  <c r="S54" i="10"/>
  <c r="AI53" i="10"/>
  <c r="AE53" i="10"/>
  <c r="AC53" i="10"/>
  <c r="AA53" i="10"/>
  <c r="W53" i="10"/>
  <c r="U53" i="10"/>
  <c r="S53" i="10"/>
  <c r="AI52" i="10"/>
  <c r="AE52" i="10"/>
  <c r="AC52" i="10"/>
  <c r="AA52" i="10"/>
  <c r="W52" i="10"/>
  <c r="U52" i="10"/>
  <c r="S52" i="10"/>
  <c r="AI51" i="10"/>
  <c r="AE51" i="10"/>
  <c r="AC51" i="10"/>
  <c r="AA51" i="10"/>
  <c r="W51" i="10"/>
  <c r="U51" i="10"/>
  <c r="S51" i="10"/>
  <c r="AI50" i="10"/>
  <c r="AE50" i="10"/>
  <c r="AC50" i="10"/>
  <c r="AA50" i="10"/>
  <c r="W50" i="10"/>
  <c r="U50" i="10"/>
  <c r="S50" i="10"/>
  <c r="AI49" i="10"/>
  <c r="AE49" i="10"/>
  <c r="AC49" i="10"/>
  <c r="AA49" i="10"/>
  <c r="W49" i="10"/>
  <c r="U49" i="10"/>
  <c r="S49" i="10"/>
  <c r="K49" i="10"/>
  <c r="C49" i="10"/>
  <c r="AI48" i="10"/>
  <c r="AE48" i="10"/>
  <c r="AC48" i="10"/>
  <c r="AA48" i="10"/>
  <c r="W48" i="10"/>
  <c r="U48" i="10"/>
  <c r="S48" i="10"/>
  <c r="AI47" i="10"/>
  <c r="AE47" i="10"/>
  <c r="AC47" i="10"/>
  <c r="AA47" i="10"/>
  <c r="W47" i="10"/>
  <c r="U47" i="10"/>
  <c r="S47" i="10"/>
  <c r="AI46" i="10"/>
  <c r="AE46" i="10"/>
  <c r="AC46" i="10"/>
  <c r="AA46" i="10"/>
  <c r="W46" i="10"/>
  <c r="U46" i="10"/>
  <c r="S46" i="10"/>
  <c r="AI45" i="10"/>
  <c r="AE45" i="10"/>
  <c r="AC45" i="10"/>
  <c r="AA45" i="10"/>
  <c r="W45" i="10"/>
  <c r="U45" i="10"/>
  <c r="S45" i="10"/>
  <c r="AI44" i="10"/>
  <c r="AE44" i="10"/>
  <c r="AC44" i="10"/>
  <c r="AA44" i="10"/>
  <c r="W44" i="10"/>
  <c r="U44" i="10"/>
  <c r="S44" i="10"/>
  <c r="AI43" i="10"/>
  <c r="AE43" i="10"/>
  <c r="AC43" i="10"/>
  <c r="AA43" i="10"/>
  <c r="W43" i="10"/>
  <c r="U43" i="10"/>
  <c r="S43" i="10"/>
  <c r="K43" i="10"/>
  <c r="C43" i="10"/>
  <c r="AI42" i="10"/>
  <c r="AE42" i="10"/>
  <c r="AC42" i="10"/>
  <c r="AA42" i="10"/>
  <c r="W42" i="10"/>
  <c r="U42" i="10"/>
  <c r="S42" i="10"/>
  <c r="AI41" i="10"/>
  <c r="AE41" i="10"/>
  <c r="AC41" i="10"/>
  <c r="AA41" i="10"/>
  <c r="W41" i="10"/>
  <c r="U41" i="10"/>
  <c r="S41" i="10"/>
  <c r="AI40" i="10"/>
  <c r="AE40" i="10"/>
  <c r="AC40" i="10"/>
  <c r="AA40" i="10"/>
  <c r="W40" i="10"/>
  <c r="U40" i="10"/>
  <c r="S40" i="10"/>
  <c r="AI39" i="10"/>
  <c r="AE39" i="10"/>
  <c r="AC39" i="10"/>
  <c r="AA39" i="10"/>
  <c r="W39" i="10"/>
  <c r="U39" i="10"/>
  <c r="S39" i="10"/>
  <c r="AI38" i="10"/>
  <c r="AE38" i="10"/>
  <c r="AC38" i="10"/>
  <c r="AA38" i="10"/>
  <c r="W38" i="10"/>
  <c r="U38" i="10"/>
  <c r="S38" i="10"/>
  <c r="AI37" i="10"/>
  <c r="AE37" i="10"/>
  <c r="AC37" i="10"/>
  <c r="AA37" i="10"/>
  <c r="W37" i="10"/>
  <c r="U37" i="10"/>
  <c r="S37" i="10"/>
  <c r="K37" i="10"/>
  <c r="C37" i="10"/>
  <c r="AI36" i="10"/>
  <c r="AE36" i="10"/>
  <c r="AC36" i="10"/>
  <c r="AA36" i="10"/>
  <c r="W36" i="10"/>
  <c r="U36" i="10"/>
  <c r="S36" i="10"/>
  <c r="AI35" i="10"/>
  <c r="AE35" i="10"/>
  <c r="AC35" i="10"/>
  <c r="AA35" i="10"/>
  <c r="W35" i="10"/>
  <c r="U35" i="10"/>
  <c r="S35" i="10"/>
  <c r="AI34" i="10"/>
  <c r="AE34" i="10"/>
  <c r="AC34" i="10"/>
  <c r="AA34" i="10"/>
  <c r="W34" i="10"/>
  <c r="U34" i="10"/>
  <c r="S34" i="10"/>
  <c r="AI33" i="10"/>
  <c r="AE33" i="10"/>
  <c r="AC33" i="10"/>
  <c r="AA33" i="10"/>
  <c r="W33" i="10"/>
  <c r="U33" i="10"/>
  <c r="S33" i="10"/>
  <c r="AI32" i="10"/>
  <c r="AE32" i="10"/>
  <c r="AC32" i="10"/>
  <c r="AA32" i="10"/>
  <c r="W32" i="10"/>
  <c r="U32" i="10"/>
  <c r="S32" i="10"/>
  <c r="AI31" i="10"/>
  <c r="AE31" i="10"/>
  <c r="AC31" i="10"/>
  <c r="AA31" i="10"/>
  <c r="W31" i="10"/>
  <c r="U31" i="10"/>
  <c r="S31" i="10"/>
  <c r="K31" i="10"/>
  <c r="C31" i="10"/>
  <c r="AI30" i="10"/>
  <c r="AE30" i="10"/>
  <c r="AC30" i="10"/>
  <c r="AA30" i="10"/>
  <c r="W30" i="10"/>
  <c r="U30" i="10"/>
  <c r="S30" i="10"/>
  <c r="AI29" i="10"/>
  <c r="AE29" i="10"/>
  <c r="AC29" i="10"/>
  <c r="AA29" i="10"/>
  <c r="W29" i="10"/>
  <c r="U29" i="10"/>
  <c r="S29" i="10"/>
  <c r="AI28" i="10"/>
  <c r="AE28" i="10"/>
  <c r="AC28" i="10"/>
  <c r="AA28" i="10"/>
  <c r="W28" i="10"/>
  <c r="U28" i="10"/>
  <c r="S28" i="10"/>
  <c r="AI27" i="10"/>
  <c r="AE27" i="10"/>
  <c r="AC27" i="10"/>
  <c r="AA27" i="10"/>
  <c r="W27" i="10"/>
  <c r="U27" i="10"/>
  <c r="S27" i="10"/>
  <c r="AI26" i="10"/>
  <c r="AE26" i="10"/>
  <c r="AC26" i="10"/>
  <c r="AA26" i="10"/>
  <c r="W26" i="10"/>
  <c r="U26" i="10"/>
  <c r="S26" i="10"/>
  <c r="AI25" i="10"/>
  <c r="AE25" i="10"/>
  <c r="AC25" i="10"/>
  <c r="AA25" i="10"/>
  <c r="W25" i="10"/>
  <c r="U25" i="10"/>
  <c r="S25" i="10"/>
  <c r="K25" i="10"/>
  <c r="C25" i="10"/>
  <c r="AI24" i="10"/>
  <c r="AE24" i="10"/>
  <c r="AC24" i="10"/>
  <c r="AA24" i="10"/>
  <c r="W24" i="10"/>
  <c r="U24" i="10"/>
  <c r="S24" i="10"/>
  <c r="AI23" i="10"/>
  <c r="AE23" i="10"/>
  <c r="AC23" i="10"/>
  <c r="AA23" i="10"/>
  <c r="W23" i="10"/>
  <c r="U23" i="10"/>
  <c r="S23" i="10"/>
  <c r="AI22" i="10"/>
  <c r="AE22" i="10"/>
  <c r="AC22" i="10"/>
  <c r="AA22" i="10"/>
  <c r="W22" i="10"/>
  <c r="U22" i="10"/>
  <c r="S22" i="10"/>
  <c r="AI21" i="10"/>
  <c r="AE21" i="10"/>
  <c r="AC21" i="10"/>
  <c r="AA21" i="10"/>
  <c r="W21" i="10"/>
  <c r="U21" i="10"/>
  <c r="S21" i="10"/>
  <c r="AI20" i="10"/>
  <c r="AE20" i="10"/>
  <c r="AC20" i="10"/>
  <c r="AA20" i="10"/>
  <c r="W20" i="10"/>
  <c r="U20" i="10"/>
  <c r="S20" i="10"/>
  <c r="AI19" i="10"/>
  <c r="AE19" i="10"/>
  <c r="AC19" i="10"/>
  <c r="AA19" i="10"/>
  <c r="W19" i="10"/>
  <c r="U19" i="10"/>
  <c r="S19" i="10"/>
  <c r="C19" i="10"/>
  <c r="AI18" i="10"/>
  <c r="AE18" i="10"/>
  <c r="AC18" i="10"/>
  <c r="AA18" i="10"/>
  <c r="W18" i="10"/>
  <c r="U18" i="10"/>
  <c r="S18" i="10"/>
  <c r="AI17" i="10"/>
  <c r="AE17" i="10"/>
  <c r="AC17" i="10"/>
  <c r="AA17" i="10"/>
  <c r="W17" i="10"/>
  <c r="U17" i="10"/>
  <c r="S17" i="10"/>
  <c r="AI16" i="10"/>
  <c r="AE16" i="10"/>
  <c r="AC16" i="10"/>
  <c r="AA16" i="10"/>
  <c r="W16" i="10"/>
  <c r="U16" i="10"/>
  <c r="S16" i="10"/>
  <c r="AI15" i="10"/>
  <c r="AE15" i="10"/>
  <c r="AC15" i="10"/>
  <c r="AA15" i="10"/>
  <c r="W15" i="10"/>
  <c r="U15" i="10"/>
  <c r="S15" i="10"/>
  <c r="AI14" i="10"/>
  <c r="AE14" i="10"/>
  <c r="AC14" i="10"/>
  <c r="AA14" i="10"/>
  <c r="W14" i="10"/>
  <c r="U14" i="10"/>
  <c r="S14" i="10"/>
  <c r="AI13" i="10"/>
  <c r="AE13" i="10"/>
  <c r="AC13" i="10"/>
  <c r="AA13" i="10"/>
  <c r="W13" i="10"/>
  <c r="U13" i="10"/>
  <c r="S13" i="10"/>
  <c r="AI12" i="10"/>
  <c r="AE12" i="10"/>
  <c r="AC12" i="10"/>
  <c r="AA12" i="10"/>
  <c r="W12" i="10"/>
  <c r="U12" i="10"/>
  <c r="S12" i="10"/>
  <c r="AI11" i="10"/>
  <c r="AE11" i="10"/>
  <c r="AC11" i="10"/>
  <c r="AA11" i="10"/>
  <c r="W11" i="10"/>
  <c r="U11" i="10"/>
  <c r="S11" i="10"/>
  <c r="AI10" i="10"/>
  <c r="AE10" i="10"/>
  <c r="AC10" i="10"/>
  <c r="AA10" i="10"/>
  <c r="W10" i="10"/>
  <c r="U10" i="10"/>
  <c r="S10" i="10"/>
  <c r="AI9" i="10"/>
  <c r="AE9" i="10"/>
  <c r="AC9" i="10"/>
  <c r="AA9" i="10"/>
  <c r="W9" i="10"/>
  <c r="U9" i="10"/>
  <c r="S9" i="10"/>
  <c r="AI8" i="10"/>
  <c r="AE8" i="10"/>
  <c r="AC8" i="10"/>
  <c r="AA8" i="10"/>
  <c r="W8" i="10"/>
  <c r="U8" i="10"/>
  <c r="S8" i="10"/>
  <c r="AI7" i="10"/>
  <c r="AE7" i="10"/>
  <c r="AC7" i="10"/>
  <c r="AA7" i="10"/>
  <c r="W7" i="10"/>
  <c r="U7" i="10"/>
  <c r="S7" i="10"/>
  <c r="K7" i="10"/>
  <c r="C7" i="10"/>
  <c r="AD9" i="6"/>
  <c r="AC10" i="6"/>
  <c r="AC12" i="6"/>
  <c r="AC14" i="6"/>
  <c r="AC16" i="6"/>
  <c r="AC19" i="6"/>
  <c r="AC23" i="6"/>
  <c r="AC27" i="6"/>
  <c r="AC30" i="6"/>
  <c r="AC43" i="6"/>
  <c r="AC46" i="6"/>
  <c r="AC49" i="6"/>
  <c r="BG49" i="6" s="1"/>
  <c r="BH49" i="6" s="1"/>
  <c r="AC59" i="6"/>
  <c r="AC7" i="6"/>
  <c r="AF98" i="10" l="1"/>
  <c r="AG98" i="10" s="1"/>
  <c r="AF102" i="10"/>
  <c r="AG102" i="10" s="1"/>
  <c r="AF106" i="10"/>
  <c r="AG106" i="10" s="1"/>
  <c r="AF121" i="10"/>
  <c r="AG121" i="10" s="1"/>
  <c r="AF148" i="10"/>
  <c r="AG148" i="10" s="1"/>
  <c r="AF164" i="10"/>
  <c r="AG164" i="10" s="1"/>
  <c r="AF168" i="10"/>
  <c r="AG168" i="10" s="1"/>
  <c r="AF195" i="10"/>
  <c r="AG195" i="10" s="1"/>
  <c r="AF206" i="10"/>
  <c r="AG206" i="10" s="1"/>
  <c r="AF210" i="10"/>
  <c r="AG210" i="10" s="1"/>
  <c r="AF219" i="10"/>
  <c r="AG219" i="10" s="1"/>
  <c r="AF24" i="10"/>
  <c r="AG24" i="10" s="1"/>
  <c r="AF34" i="10"/>
  <c r="AG34" i="10" s="1"/>
  <c r="AF73" i="10"/>
  <c r="AG73" i="10" s="1"/>
  <c r="AF77" i="10"/>
  <c r="AG77" i="10" s="1"/>
  <c r="AF253" i="10"/>
  <c r="AG253" i="10" s="1"/>
  <c r="AF257" i="10"/>
  <c r="AG257" i="10" s="1"/>
  <c r="AF277" i="10"/>
  <c r="AG277" i="10" s="1"/>
  <c r="AF301" i="10"/>
  <c r="AG301" i="10" s="1"/>
  <c r="AF305" i="10"/>
  <c r="AG305" i="10" s="1"/>
  <c r="AF313" i="10"/>
  <c r="AG313" i="10" s="1"/>
  <c r="AF317" i="10"/>
  <c r="AG317" i="10" s="1"/>
  <c r="AF331" i="10"/>
  <c r="AG331" i="10" s="1"/>
  <c r="AF356" i="10"/>
  <c r="AG356" i="10" s="1"/>
  <c r="AF256" i="10"/>
  <c r="AG256" i="10" s="1"/>
  <c r="AF266" i="10"/>
  <c r="AG266" i="10" s="1"/>
  <c r="AF270" i="10"/>
  <c r="AG270" i="10" s="1"/>
  <c r="AF272" i="10"/>
  <c r="AG272" i="10" s="1"/>
  <c r="AF276" i="10"/>
  <c r="AG276" i="10" s="1"/>
  <c r="AF282" i="10"/>
  <c r="AG282" i="10" s="1"/>
  <c r="AF294" i="10"/>
  <c r="AG294" i="10" s="1"/>
  <c r="AF320" i="10"/>
  <c r="AG320" i="10" s="1"/>
  <c r="AF325" i="10"/>
  <c r="AG325" i="10" s="1"/>
  <c r="AF76" i="10"/>
  <c r="AG76" i="10" s="1"/>
  <c r="AF32" i="10"/>
  <c r="AG32" i="10" s="1"/>
  <c r="AF75" i="10"/>
  <c r="AG75" i="10" s="1"/>
  <c r="AF116" i="10"/>
  <c r="AG116" i="10" s="1"/>
  <c r="AF120" i="10"/>
  <c r="AG120" i="10" s="1"/>
  <c r="AF167" i="10"/>
  <c r="AG167" i="10" s="1"/>
  <c r="AF179" i="10"/>
  <c r="AG179" i="10" s="1"/>
  <c r="AF222" i="10"/>
  <c r="AG222" i="10" s="1"/>
  <c r="AF238" i="10"/>
  <c r="AG238" i="10" s="1"/>
  <c r="AF265" i="10"/>
  <c r="AG265" i="10" s="1"/>
  <c r="AF269" i="10"/>
  <c r="AG269" i="10" s="1"/>
  <c r="AF275" i="10"/>
  <c r="AG275" i="10" s="1"/>
  <c r="AF296" i="10"/>
  <c r="AG296" i="10" s="1"/>
  <c r="AF303" i="10"/>
  <c r="AG303" i="10" s="1"/>
  <c r="AF342" i="10"/>
  <c r="AG342" i="10" s="1"/>
  <c r="AF358" i="10"/>
  <c r="AG358" i="10" s="1"/>
  <c r="AF30" i="10"/>
  <c r="AG30" i="10" s="1"/>
  <c r="AF64" i="10"/>
  <c r="AG64" i="10" s="1"/>
  <c r="AF36" i="10"/>
  <c r="AG36" i="10" s="1"/>
  <c r="AF163" i="10"/>
  <c r="AG163" i="10" s="1"/>
  <c r="AF218" i="10"/>
  <c r="AG218" i="10" s="1"/>
  <c r="AF31" i="10"/>
  <c r="AG31" i="10" s="1"/>
  <c r="AF35" i="10"/>
  <c r="AG35" i="10" s="1"/>
  <c r="AF43" i="10"/>
  <c r="AG43" i="10" s="1"/>
  <c r="AF47" i="10"/>
  <c r="AG47" i="10" s="1"/>
  <c r="AF81" i="10"/>
  <c r="AG81" i="10" s="1"/>
  <c r="AF89" i="10"/>
  <c r="AG89" i="10" s="1"/>
  <c r="AF104" i="10"/>
  <c r="AG104" i="10" s="1"/>
  <c r="AF108" i="10"/>
  <c r="AG108" i="10" s="1"/>
  <c r="AF132" i="10"/>
  <c r="AG132" i="10" s="1"/>
  <c r="AF141" i="10"/>
  <c r="AG141" i="10" s="1"/>
  <c r="AF166" i="10"/>
  <c r="AG166" i="10" s="1"/>
  <c r="AF193" i="10"/>
  <c r="AG193" i="10" s="1"/>
  <c r="AF197" i="10"/>
  <c r="AG197" i="10" s="1"/>
  <c r="AF237" i="10"/>
  <c r="AG237" i="10" s="1"/>
  <c r="AF254" i="10"/>
  <c r="AG254" i="10" s="1"/>
  <c r="AF258" i="10"/>
  <c r="AG258" i="10" s="1"/>
  <c r="AF268" i="10"/>
  <c r="AG268" i="10" s="1"/>
  <c r="AF357" i="10"/>
  <c r="AG357" i="10" s="1"/>
  <c r="AF196" i="10"/>
  <c r="AG196" i="10" s="1"/>
  <c r="AF207" i="10"/>
  <c r="AG207" i="10" s="1"/>
  <c r="AF360" i="10"/>
  <c r="AG360" i="10" s="1"/>
  <c r="AF26" i="10"/>
  <c r="AG26" i="10" s="1"/>
  <c r="AF25" i="10"/>
  <c r="AG25" i="10" s="1"/>
  <c r="AF19" i="10"/>
  <c r="AG19" i="10" s="1"/>
  <c r="AF14" i="10"/>
  <c r="AG14" i="10" s="1"/>
  <c r="AF13" i="10"/>
  <c r="AG13" i="10" s="1"/>
  <c r="AF9" i="10"/>
  <c r="AG9" i="10" s="1"/>
  <c r="AF37" i="10"/>
  <c r="AG37" i="10" s="1"/>
  <c r="AF38" i="10"/>
  <c r="AG38" i="10" s="1"/>
  <c r="AF39" i="10"/>
  <c r="AG39" i="10" s="1"/>
  <c r="AF41" i="10"/>
  <c r="AG41" i="10" s="1"/>
  <c r="AF42" i="10"/>
  <c r="AG42" i="10" s="1"/>
  <c r="AF50" i="10"/>
  <c r="AG50" i="10" s="1"/>
  <c r="AF54" i="10"/>
  <c r="AG54" i="10" s="1"/>
  <c r="AF55" i="10"/>
  <c r="AG55" i="10" s="1"/>
  <c r="AF56" i="10"/>
  <c r="AG56" i="10" s="1"/>
  <c r="AF58" i="10"/>
  <c r="AG58" i="10" s="1"/>
  <c r="AF59" i="10"/>
  <c r="AG59" i="10" s="1"/>
  <c r="AF60" i="10"/>
  <c r="AG60" i="10" s="1"/>
  <c r="AF67" i="10"/>
  <c r="AG67" i="10" s="1"/>
  <c r="AF71" i="10"/>
  <c r="AG71" i="10" s="1"/>
  <c r="AF88" i="10"/>
  <c r="AG88" i="10" s="1"/>
  <c r="AF145" i="10"/>
  <c r="AG145" i="10" s="1"/>
  <c r="AF146" i="10"/>
  <c r="AG146" i="10" s="1"/>
  <c r="AF147" i="10"/>
  <c r="AG147" i="10" s="1"/>
  <c r="AF149" i="10"/>
  <c r="AG149" i="10" s="1"/>
  <c r="AF150" i="10"/>
  <c r="AG150" i="10" s="1"/>
  <c r="AF151" i="10"/>
  <c r="AG151" i="10" s="1"/>
  <c r="AF155" i="10"/>
  <c r="AG155" i="10" s="1"/>
  <c r="AF169" i="10"/>
  <c r="AG169" i="10" s="1"/>
  <c r="AF170" i="10"/>
  <c r="AG170" i="10" s="1"/>
  <c r="AF171" i="10"/>
  <c r="AG171" i="10" s="1"/>
  <c r="AF172" i="10"/>
  <c r="AG172" i="10" s="1"/>
  <c r="AF173" i="10"/>
  <c r="AG173" i="10" s="1"/>
  <c r="AF174" i="10"/>
  <c r="AG174" i="10" s="1"/>
  <c r="AF180" i="10"/>
  <c r="AG180" i="10" s="1"/>
  <c r="AF184" i="10"/>
  <c r="AG184" i="10" s="1"/>
  <c r="AF185" i="10"/>
  <c r="AG185" i="10" s="1"/>
  <c r="AF7" i="10"/>
  <c r="AG7" i="10" s="1"/>
  <c r="AF16" i="10"/>
  <c r="AG16" i="10" s="1"/>
  <c r="AF22" i="10"/>
  <c r="AG22" i="10" s="1"/>
  <c r="AF135" i="10"/>
  <c r="AG135" i="10" s="1"/>
  <c r="AF136" i="10"/>
  <c r="AG136" i="10" s="1"/>
  <c r="AF137" i="10"/>
  <c r="AG137" i="10" s="1"/>
  <c r="AF8" i="10"/>
  <c r="AG8" i="10" s="1"/>
  <c r="AF10" i="10"/>
  <c r="AG10" i="10" s="1"/>
  <c r="AF11" i="10"/>
  <c r="AG11" i="10" s="1"/>
  <c r="AF12" i="10"/>
  <c r="AG12" i="10" s="1"/>
  <c r="AF99" i="10"/>
  <c r="AG99" i="10" s="1"/>
  <c r="AF101" i="10"/>
  <c r="AG101" i="10" s="1"/>
  <c r="AF112" i="10"/>
  <c r="AG112" i="10" s="1"/>
  <c r="AF115" i="10"/>
  <c r="AG115" i="10" s="1"/>
  <c r="AF119" i="10"/>
  <c r="AG119" i="10" s="1"/>
  <c r="AF128" i="10"/>
  <c r="AG128" i="10" s="1"/>
  <c r="AF129" i="10"/>
  <c r="AG129" i="10" s="1"/>
  <c r="AF130" i="10"/>
  <c r="AG130" i="10" s="1"/>
  <c r="AF204" i="10"/>
  <c r="AG204" i="10" s="1"/>
  <c r="AF205" i="10"/>
  <c r="AG205" i="10" s="1"/>
  <c r="AF230" i="10"/>
  <c r="AG230" i="10" s="1"/>
  <c r="AF231" i="10"/>
  <c r="AG231" i="10" s="1"/>
  <c r="AF234" i="10"/>
  <c r="AG234" i="10" s="1"/>
  <c r="AF235" i="10"/>
  <c r="AG235" i="10" s="1"/>
  <c r="AF236" i="10"/>
  <c r="AG236" i="10" s="1"/>
  <c r="AF239" i="10"/>
  <c r="AG239" i="10" s="1"/>
  <c r="AF240" i="10"/>
  <c r="AG240" i="10" s="1"/>
  <c r="AF243" i="10"/>
  <c r="AG243" i="10" s="1"/>
  <c r="AF244" i="10"/>
  <c r="AG244" i="10" s="1"/>
  <c r="AF245" i="10"/>
  <c r="AG245" i="10" s="1"/>
  <c r="AF251" i="10"/>
  <c r="AG251" i="10" s="1"/>
  <c r="AF260" i="10"/>
  <c r="AG260" i="10" s="1"/>
  <c r="AF264" i="10"/>
  <c r="AG264" i="10" s="1"/>
  <c r="AF271" i="10"/>
  <c r="AG271" i="10" s="1"/>
  <c r="AF274" i="10"/>
  <c r="AG274" i="10" s="1"/>
  <c r="AF279" i="10"/>
  <c r="AG279" i="10" s="1"/>
  <c r="AF281" i="10"/>
  <c r="AG281" i="10" s="1"/>
  <c r="AF289" i="10"/>
  <c r="AG289" i="10" s="1"/>
  <c r="AF290" i="10"/>
  <c r="AG290" i="10" s="1"/>
  <c r="AF314" i="10"/>
  <c r="AG314" i="10" s="1"/>
  <c r="AF316" i="10"/>
  <c r="AG316" i="10" s="1"/>
  <c r="AF318" i="10"/>
  <c r="AG318" i="10" s="1"/>
  <c r="AF330" i="10"/>
  <c r="AG330" i="10" s="1"/>
  <c r="AF337" i="10"/>
  <c r="AG337" i="10" s="1"/>
  <c r="AF338" i="10"/>
  <c r="AG338" i="10" s="1"/>
  <c r="AF339" i="10"/>
  <c r="AG339" i="10" s="1"/>
  <c r="AF340" i="10"/>
  <c r="AG340" i="10" s="1"/>
  <c r="AF341" i="10"/>
  <c r="AG341" i="10" s="1"/>
  <c r="AF349" i="10"/>
  <c r="AG349" i="10" s="1"/>
  <c r="AF350" i="10"/>
  <c r="AG350" i="10" s="1"/>
  <c r="AF351" i="10"/>
  <c r="AG351" i="10" s="1"/>
  <c r="AF352" i="10"/>
  <c r="AG352" i="10" s="1"/>
  <c r="AF353" i="10"/>
  <c r="AG353" i="10" s="1"/>
  <c r="AF354" i="10"/>
  <c r="AG354" i="10" s="1"/>
  <c r="AF362" i="10"/>
  <c r="AG362" i="10" s="1"/>
  <c r="AF363" i="10"/>
  <c r="AG363" i="10" s="1"/>
  <c r="AF366" i="10"/>
  <c r="AG366" i="10" s="1"/>
  <c r="AF15" i="10"/>
  <c r="AG15" i="10" s="1"/>
  <c r="AF17" i="10"/>
  <c r="AG17" i="10" s="1"/>
  <c r="AF18" i="10"/>
  <c r="AG18" i="10" s="1"/>
  <c r="AF23" i="10"/>
  <c r="AG23" i="10" s="1"/>
  <c r="AF27" i="10"/>
  <c r="AG27" i="10" s="1"/>
  <c r="AF28" i="10"/>
  <c r="AG28" i="10" s="1"/>
  <c r="AF29" i="10"/>
  <c r="AG29" i="10" s="1"/>
  <c r="AF33" i="10"/>
  <c r="AG33" i="10" s="1"/>
  <c r="AF44" i="10"/>
  <c r="AG44" i="10" s="1"/>
  <c r="AF45" i="10"/>
  <c r="AG45" i="10" s="1"/>
  <c r="AF46" i="10"/>
  <c r="AG46" i="10" s="1"/>
  <c r="AF48" i="10"/>
  <c r="AG48" i="10" s="1"/>
  <c r="AF61" i="10"/>
  <c r="AG61" i="10" s="1"/>
  <c r="AF62" i="10"/>
  <c r="AG62" i="10" s="1"/>
  <c r="AF63" i="10"/>
  <c r="AG63" i="10" s="1"/>
  <c r="AF65" i="10"/>
  <c r="AG65" i="10" s="1"/>
  <c r="AF66" i="10"/>
  <c r="AG66" i="10" s="1"/>
  <c r="AF74" i="10"/>
  <c r="AG74" i="10" s="1"/>
  <c r="AF78" i="10"/>
  <c r="AG78" i="10" s="1"/>
  <c r="AF79" i="10"/>
  <c r="AG79" i="10" s="1"/>
  <c r="AF80" i="10"/>
  <c r="AG80" i="10" s="1"/>
  <c r="AF82" i="10"/>
  <c r="AG82" i="10" s="1"/>
  <c r="AF83" i="10"/>
  <c r="AG83" i="10" s="1"/>
  <c r="AF84" i="10"/>
  <c r="AG84" i="10" s="1"/>
  <c r="AF91" i="10"/>
  <c r="AG91" i="10" s="1"/>
  <c r="AF95" i="10"/>
  <c r="AG95" i="10" s="1"/>
  <c r="AF105" i="10"/>
  <c r="AG105" i="10" s="1"/>
  <c r="AF123" i="10"/>
  <c r="AG123" i="10" s="1"/>
  <c r="AF125" i="10"/>
  <c r="AG125" i="10" s="1"/>
  <c r="AF139" i="10"/>
  <c r="AG139" i="10" s="1"/>
  <c r="AF140" i="10"/>
  <c r="AG140" i="10" s="1"/>
  <c r="AF142" i="10"/>
  <c r="AG142" i="10" s="1"/>
  <c r="AF152" i="10"/>
  <c r="AG152" i="10" s="1"/>
  <c r="AF153" i="10"/>
  <c r="AG153" i="10" s="1"/>
  <c r="AF154" i="10"/>
  <c r="AG154" i="10" s="1"/>
  <c r="AF156" i="10"/>
  <c r="AG156" i="10" s="1"/>
  <c r="AF158" i="10"/>
  <c r="AG158" i="10" s="1"/>
  <c r="AF162" i="10"/>
  <c r="AG162" i="10" s="1"/>
  <c r="AF175" i="10"/>
  <c r="AG175" i="10" s="1"/>
  <c r="AF176" i="10"/>
  <c r="AG176" i="10" s="1"/>
  <c r="AF177" i="10"/>
  <c r="AG177" i="10" s="1"/>
  <c r="AF182" i="10"/>
  <c r="AG182" i="10" s="1"/>
  <c r="AF186" i="10"/>
  <c r="AG186" i="10" s="1"/>
  <c r="AF187" i="10"/>
  <c r="AG187" i="10" s="1"/>
  <c r="AF189" i="10"/>
  <c r="AG189" i="10" s="1"/>
  <c r="AF192" i="10"/>
  <c r="AG192" i="10" s="1"/>
  <c r="AF200" i="10"/>
  <c r="AG200" i="10" s="1"/>
  <c r="AF202" i="10"/>
  <c r="AG202" i="10" s="1"/>
  <c r="AF215" i="10"/>
  <c r="AG215" i="10" s="1"/>
  <c r="AF217" i="10"/>
  <c r="AG217" i="10" s="1"/>
  <c r="AF220" i="10"/>
  <c r="AG220" i="10" s="1"/>
  <c r="AF221" i="10"/>
  <c r="AG221" i="10" s="1"/>
  <c r="AF225" i="10"/>
  <c r="AG225" i="10" s="1"/>
  <c r="AF226" i="10"/>
  <c r="AG226" i="10" s="1"/>
  <c r="AF241" i="10"/>
  <c r="AG241" i="10" s="1"/>
  <c r="AF259" i="10"/>
  <c r="AG259" i="10" s="1"/>
  <c r="AF280" i="10"/>
  <c r="AG280" i="10" s="1"/>
  <c r="AF283" i="10"/>
  <c r="AG283" i="10" s="1"/>
  <c r="AF291" i="10"/>
  <c r="AG291" i="10" s="1"/>
  <c r="AF298" i="10"/>
  <c r="AG298" i="10" s="1"/>
  <c r="AF300" i="10"/>
  <c r="AG300" i="10" s="1"/>
  <c r="AF310" i="10"/>
  <c r="AG310" i="10" s="1"/>
  <c r="AF319" i="10"/>
  <c r="AG319" i="10" s="1"/>
  <c r="AF321" i="10"/>
  <c r="AG321" i="10" s="1"/>
  <c r="AF322" i="10"/>
  <c r="AG322" i="10" s="1"/>
  <c r="AF326" i="10"/>
  <c r="AG326" i="10" s="1"/>
  <c r="AF327" i="10"/>
  <c r="AG327" i="10" s="1"/>
  <c r="AF332" i="10"/>
  <c r="AG332" i="10" s="1"/>
  <c r="AF333" i="10"/>
  <c r="AG333" i="10" s="1"/>
  <c r="AF334" i="10"/>
  <c r="AG334" i="10" s="1"/>
  <c r="AF335" i="10"/>
  <c r="AG335" i="10" s="1"/>
  <c r="AF336" i="10"/>
  <c r="AG336" i="10" s="1"/>
  <c r="AF364" i="10"/>
  <c r="AG364" i="10" s="1"/>
  <c r="AF20" i="10"/>
  <c r="AG20" i="10" s="1"/>
  <c r="AF21" i="10"/>
  <c r="AG21" i="10" s="1"/>
  <c r="AF40" i="10"/>
  <c r="AG40" i="10" s="1"/>
  <c r="AF49" i="10"/>
  <c r="AG49" i="10" s="1"/>
  <c r="AF51" i="10"/>
  <c r="AG51" i="10" s="1"/>
  <c r="AF52" i="10"/>
  <c r="AG52" i="10" s="1"/>
  <c r="AF53" i="10"/>
  <c r="AG53" i="10" s="1"/>
  <c r="AF57" i="10"/>
  <c r="AG57" i="10" s="1"/>
  <c r="AF68" i="10"/>
  <c r="AG68" i="10" s="1"/>
  <c r="AF69" i="10"/>
  <c r="AG69" i="10" s="1"/>
  <c r="AF70" i="10"/>
  <c r="AG70" i="10" s="1"/>
  <c r="AF72" i="10"/>
  <c r="AG72" i="10" s="1"/>
  <c r="AF85" i="10"/>
  <c r="AG85" i="10" s="1"/>
  <c r="AF86" i="10"/>
  <c r="AG86" i="10" s="1"/>
  <c r="AF87" i="10"/>
  <c r="AG87" i="10" s="1"/>
  <c r="AF90" i="10"/>
  <c r="AG90" i="10" s="1"/>
  <c r="AF92" i="10"/>
  <c r="AG92" i="10" s="1"/>
  <c r="AF96" i="10"/>
  <c r="AG96" i="10" s="1"/>
  <c r="AF97" i="10"/>
  <c r="AG97" i="10" s="1"/>
  <c r="AF109" i="10"/>
  <c r="AG109" i="10" s="1"/>
  <c r="AF111" i="10"/>
  <c r="AG111" i="10" s="1"/>
  <c r="AF113" i="10"/>
  <c r="AG113" i="10" s="1"/>
  <c r="AF122" i="10"/>
  <c r="AG122" i="10" s="1"/>
  <c r="AF126" i="10"/>
  <c r="AG126" i="10" s="1"/>
  <c r="AF133" i="10"/>
  <c r="AG133" i="10" s="1"/>
  <c r="AF143" i="10"/>
  <c r="AG143" i="10" s="1"/>
  <c r="AF144" i="10"/>
  <c r="AG144" i="10" s="1"/>
  <c r="AF157" i="10"/>
  <c r="AG157" i="10" s="1"/>
  <c r="AF159" i="10"/>
  <c r="AG159" i="10" s="1"/>
  <c r="AF160" i="10"/>
  <c r="AG160" i="10" s="1"/>
  <c r="AF161" i="10"/>
  <c r="AG161" i="10" s="1"/>
  <c r="AF165" i="10"/>
  <c r="AG165" i="10" s="1"/>
  <c r="AF183" i="10"/>
  <c r="AG183" i="10" s="1"/>
  <c r="AF190" i="10"/>
  <c r="AG190" i="10" s="1"/>
  <c r="AF199" i="10"/>
  <c r="AG199" i="10" s="1"/>
  <c r="AF203" i="10"/>
  <c r="AG203" i="10" s="1"/>
  <c r="AF213" i="10"/>
  <c r="AG213" i="10" s="1"/>
  <c r="AF214" i="10"/>
  <c r="AG214" i="10" s="1"/>
  <c r="AF223" i="10"/>
  <c r="AG223" i="10" s="1"/>
  <c r="AF224" i="10"/>
  <c r="AG224" i="10" s="1"/>
  <c r="AF227" i="10"/>
  <c r="AG227" i="10" s="1"/>
  <c r="AF228" i="10"/>
  <c r="AG228" i="10" s="1"/>
  <c r="AF229" i="10"/>
  <c r="AG229" i="10" s="1"/>
  <c r="AF232" i="10"/>
  <c r="AG232" i="10" s="1"/>
  <c r="AF233" i="10"/>
  <c r="AG233" i="10" s="1"/>
  <c r="AF247" i="10"/>
  <c r="AG247" i="10" s="1"/>
  <c r="AF250" i="10"/>
  <c r="AG250" i="10" s="1"/>
  <c r="AF261" i="10"/>
  <c r="AG261" i="10" s="1"/>
  <c r="AF262" i="10"/>
  <c r="AG262" i="10" s="1"/>
  <c r="AF263" i="10"/>
  <c r="AG263" i="10" s="1"/>
  <c r="AF267" i="10"/>
  <c r="AG267" i="10" s="1"/>
  <c r="AF278" i="10"/>
  <c r="AG278" i="10" s="1"/>
  <c r="AF284" i="10"/>
  <c r="AG284" i="10" s="1"/>
  <c r="AF285" i="10"/>
  <c r="AG285" i="10" s="1"/>
  <c r="AF286" i="10"/>
  <c r="AG286" i="10" s="1"/>
  <c r="AF288" i="10"/>
  <c r="AG288" i="10" s="1"/>
  <c r="AF292" i="10"/>
  <c r="AG292" i="10" s="1"/>
  <c r="AF293" i="10"/>
  <c r="AG293" i="10" s="1"/>
  <c r="AF297" i="10"/>
  <c r="AG297" i="10" s="1"/>
  <c r="AF302" i="10"/>
  <c r="AG302" i="10" s="1"/>
  <c r="AF306" i="10"/>
  <c r="AG306" i="10" s="1"/>
  <c r="AF309" i="10"/>
  <c r="AG309" i="10" s="1"/>
  <c r="AF323" i="10"/>
  <c r="AG323" i="10" s="1"/>
  <c r="AF324" i="10"/>
  <c r="AG324" i="10" s="1"/>
  <c r="AF328" i="10"/>
  <c r="AG328" i="10" s="1"/>
  <c r="AF329" i="10"/>
  <c r="AG329" i="10" s="1"/>
  <c r="AF343" i="10"/>
  <c r="AG343" i="10" s="1"/>
  <c r="AF344" i="10"/>
  <c r="AG344" i="10" s="1"/>
  <c r="AF345" i="10"/>
  <c r="AG345" i="10" s="1"/>
  <c r="AF346" i="10"/>
  <c r="AG346" i="10" s="1"/>
  <c r="AF347" i="10"/>
  <c r="AG347" i="10" s="1"/>
  <c r="AF348" i="10"/>
  <c r="AG348" i="10" s="1"/>
  <c r="AF355" i="10"/>
  <c r="AG355" i="10" s="1"/>
  <c r="AF359" i="10"/>
  <c r="AG359" i="10" s="1"/>
  <c r="AF361" i="10"/>
  <c r="AG361" i="10" s="1"/>
  <c r="AF365" i="10"/>
  <c r="AG365" i="10" s="1"/>
  <c r="AF94" i="10"/>
  <c r="AG94" i="10" s="1"/>
  <c r="AF100" i="10"/>
  <c r="AG100" i="10" s="1"/>
  <c r="AF117" i="10"/>
  <c r="AG117" i="10" s="1"/>
  <c r="AF131" i="10"/>
  <c r="AG131" i="10" s="1"/>
  <c r="AF93" i="10"/>
  <c r="AG93" i="10" s="1"/>
  <c r="AF118" i="10"/>
  <c r="AG118" i="10" s="1"/>
  <c r="AF124" i="10"/>
  <c r="AG124" i="10" s="1"/>
  <c r="AF127" i="10"/>
  <c r="AG127" i="10" s="1"/>
  <c r="AF134" i="10"/>
  <c r="AG134" i="10" s="1"/>
  <c r="AF138" i="10"/>
  <c r="AG138" i="10" s="1"/>
  <c r="AF103" i="10"/>
  <c r="AG103" i="10" s="1"/>
  <c r="AF107" i="10"/>
  <c r="AG107" i="10" s="1"/>
  <c r="AF110" i="10"/>
  <c r="AG110" i="10" s="1"/>
  <c r="AF114" i="10"/>
  <c r="AG114" i="10" s="1"/>
  <c r="AF178" i="10"/>
  <c r="AG178" i="10" s="1"/>
  <c r="AF181" i="10"/>
  <c r="AG181" i="10" s="1"/>
  <c r="AF188" i="10"/>
  <c r="AG188" i="10" s="1"/>
  <c r="AF208" i="10"/>
  <c r="AG208" i="10" s="1"/>
  <c r="AF212" i="10"/>
  <c r="AG212" i="10" s="1"/>
  <c r="AF216" i="10"/>
  <c r="AG216" i="10" s="1"/>
  <c r="AF191" i="10"/>
  <c r="AG191" i="10" s="1"/>
  <c r="AF194" i="10"/>
  <c r="AG194" i="10" s="1"/>
  <c r="AF198" i="10"/>
  <c r="AG198" i="10" s="1"/>
  <c r="AF201" i="10"/>
  <c r="AG201" i="10" s="1"/>
  <c r="AF209" i="10"/>
  <c r="AG209" i="10" s="1"/>
  <c r="AF211" i="10"/>
  <c r="AG211" i="10" s="1"/>
  <c r="AF248" i="10"/>
  <c r="AG248" i="10" s="1"/>
  <c r="AF252" i="10"/>
  <c r="AG252" i="10" s="1"/>
  <c r="AF242" i="10"/>
  <c r="AG242" i="10" s="1"/>
  <c r="AF246" i="10"/>
  <c r="AG246" i="10" s="1"/>
  <c r="AF249" i="10"/>
  <c r="AG249" i="10" s="1"/>
  <c r="AF255" i="10"/>
  <c r="AG255" i="10" s="1"/>
  <c r="AF311" i="10"/>
  <c r="AG311" i="10" s="1"/>
  <c r="AF273" i="10"/>
  <c r="AG273" i="10" s="1"/>
  <c r="AF304" i="10"/>
  <c r="AG304" i="10" s="1"/>
  <c r="AF308" i="10"/>
  <c r="AG308" i="10" s="1"/>
  <c r="AF312" i="10"/>
  <c r="AG312" i="10" s="1"/>
  <c r="AF287" i="10"/>
  <c r="AG287" i="10" s="1"/>
  <c r="AF295" i="10"/>
  <c r="AG295" i="10" s="1"/>
  <c r="AF299" i="10"/>
  <c r="AG299" i="10" s="1"/>
  <c r="AF307" i="10"/>
  <c r="AG307" i="10" s="1"/>
  <c r="AF315" i="10"/>
  <c r="AG315" i="10" s="1"/>
  <c r="BA7" i="6"/>
  <c r="BA11" i="6"/>
  <c r="BA12" i="6"/>
  <c r="BA13" i="6"/>
  <c r="BA16" i="6"/>
  <c r="BA17" i="6"/>
  <c r="BA18" i="6"/>
  <c r="BA19" i="6"/>
  <c r="BA20" i="6"/>
  <c r="BA21" i="6"/>
  <c r="BA22" i="6"/>
  <c r="BA23" i="6"/>
  <c r="BA24" i="6"/>
  <c r="BA25" i="6"/>
  <c r="BA26" i="6"/>
  <c r="BA27" i="6"/>
  <c r="BA28" i="6"/>
  <c r="BA29" i="6"/>
  <c r="BA30" i="6"/>
  <c r="BA31" i="6"/>
  <c r="BA43" i="6"/>
  <c r="BA44" i="6"/>
  <c r="BA45" i="6"/>
  <c r="BA46" i="6"/>
  <c r="BA47" i="6"/>
  <c r="BA59" i="6"/>
  <c r="BA60" i="6"/>
  <c r="BA61" i="6"/>
  <c r="U4" i="7"/>
  <c r="U5" i="7"/>
  <c r="U6" i="7"/>
  <c r="U7" i="7"/>
  <c r="U8" i="7"/>
  <c r="U9" i="7"/>
  <c r="U10" i="7"/>
  <c r="U11" i="7"/>
  <c r="U3" i="7"/>
  <c r="AW9" i="6"/>
  <c r="AW11" i="6"/>
  <c r="AW12" i="6"/>
  <c r="AW13" i="6"/>
  <c r="AW14" i="6"/>
  <c r="AW15" i="6"/>
  <c r="AW16" i="6"/>
  <c r="AX16" i="6" s="1"/>
  <c r="AY16" i="6" s="1"/>
  <c r="AW17" i="6"/>
  <c r="AW18" i="6"/>
  <c r="AX18" i="6" s="1"/>
  <c r="AW19" i="6"/>
  <c r="AW20" i="6"/>
  <c r="AW21" i="6"/>
  <c r="AX21" i="6" s="1"/>
  <c r="AY21" i="6" s="1"/>
  <c r="AW22" i="6"/>
  <c r="AW23" i="6"/>
  <c r="AW24" i="6"/>
  <c r="AW25" i="6"/>
  <c r="AW26" i="6"/>
  <c r="AW27" i="6"/>
  <c r="AW28" i="6"/>
  <c r="AW29" i="6"/>
  <c r="AW30" i="6"/>
  <c r="AW31" i="6"/>
  <c r="AW43" i="6"/>
  <c r="AW44" i="6"/>
  <c r="AW45" i="6"/>
  <c r="AW46" i="6"/>
  <c r="AW47" i="6"/>
  <c r="AW59" i="6"/>
  <c r="AW60" i="6"/>
  <c r="AW61" i="6"/>
  <c r="AW7" i="6"/>
  <c r="AU11" i="6"/>
  <c r="AU12" i="6"/>
  <c r="AU13" i="6"/>
  <c r="AU15" i="6"/>
  <c r="AS11" i="6"/>
  <c r="AS12" i="6"/>
  <c r="AS13" i="6"/>
  <c r="AS15" i="6"/>
  <c r="AO11" i="6"/>
  <c r="AO12" i="6"/>
  <c r="AO13" i="6"/>
  <c r="AO15" i="6"/>
  <c r="AM11" i="6"/>
  <c r="AM12" i="6"/>
  <c r="AM13" i="6"/>
  <c r="AM15" i="6"/>
  <c r="AK11" i="6"/>
  <c r="AK12" i="6"/>
  <c r="AK13" i="6"/>
  <c r="AK15" i="6"/>
  <c r="AA10" i="6"/>
  <c r="AD10" i="6" s="1"/>
  <c r="AF10" i="6" s="1"/>
  <c r="AD11" i="6"/>
  <c r="AA12" i="6"/>
  <c r="AA14" i="6"/>
  <c r="AD14" i="6" s="1"/>
  <c r="AD15" i="6"/>
  <c r="AA16" i="6"/>
  <c r="AD16" i="6" s="1"/>
  <c r="AF16" i="6" s="1"/>
  <c r="AD17" i="6"/>
  <c r="AD18" i="6"/>
  <c r="AA19" i="6"/>
  <c r="AD19" i="6" s="1"/>
  <c r="AF19" i="6" s="1"/>
  <c r="AD20" i="6"/>
  <c r="AD21" i="6"/>
  <c r="AD22" i="6"/>
  <c r="AA23" i="6"/>
  <c r="AD23" i="6" s="1"/>
  <c r="AF23" i="6" s="1"/>
  <c r="AD24" i="6"/>
  <c r="AD25" i="6"/>
  <c r="AD26" i="6"/>
  <c r="AA27" i="6"/>
  <c r="AD27" i="6" s="1"/>
  <c r="AF27" i="6" s="1"/>
  <c r="AD28" i="6"/>
  <c r="AD29" i="6"/>
  <c r="AA30" i="6"/>
  <c r="AD30" i="6" s="1"/>
  <c r="AF30" i="6" s="1"/>
  <c r="AD31" i="6"/>
  <c r="AA43" i="6"/>
  <c r="AD43" i="6" s="1"/>
  <c r="AF43" i="6" s="1"/>
  <c r="AD44" i="6"/>
  <c r="AD45" i="6"/>
  <c r="AA46" i="6"/>
  <c r="AD46" i="6" s="1"/>
  <c r="AF46" i="6" s="1"/>
  <c r="AD47" i="6"/>
  <c r="AD48" i="6"/>
  <c r="AA49" i="6"/>
  <c r="AD49" i="6" s="1"/>
  <c r="AD50" i="6"/>
  <c r="AA59" i="6"/>
  <c r="AD59" i="6" s="1"/>
  <c r="AF59" i="6" s="1"/>
  <c r="AD60" i="6"/>
  <c r="AD61" i="6"/>
  <c r="AA7" i="6"/>
  <c r="AD7" i="6" s="1"/>
  <c r="AF7" i="6" s="1"/>
  <c r="C12" i="6"/>
  <c r="C14" i="6"/>
  <c r="C46" i="6"/>
  <c r="C51" i="6"/>
  <c r="C59" i="6"/>
  <c r="C10" i="6"/>
  <c r="C7" i="6"/>
  <c r="AF49" i="6" l="1"/>
  <c r="BI49" i="6"/>
  <c r="BJ49" i="6" s="1"/>
  <c r="BK49" i="6" s="1"/>
  <c r="AX7" i="6"/>
  <c r="AY7" i="6" s="1"/>
  <c r="BB7" i="6" s="1"/>
  <c r="BC7" i="6" s="1"/>
  <c r="AX61" i="6"/>
  <c r="AY61" i="6" s="1"/>
  <c r="BB61" i="6" s="1"/>
  <c r="BC61" i="6" s="1"/>
  <c r="AX43" i="6"/>
  <c r="AY43" i="6" s="1"/>
  <c r="BB43" i="6" s="1"/>
  <c r="BC43" i="6" s="1"/>
  <c r="AX27" i="6"/>
  <c r="AY27" i="6" s="1"/>
  <c r="BB27" i="6" s="1"/>
  <c r="BC27" i="6" s="1"/>
  <c r="AX25" i="6"/>
  <c r="AY25" i="6" s="1"/>
  <c r="BB25" i="6" s="1"/>
  <c r="BC25" i="6" s="1"/>
  <c r="AX12" i="6"/>
  <c r="AY12" i="6" s="1"/>
  <c r="BB12" i="6" s="1"/>
  <c r="BC12" i="6" s="1"/>
  <c r="AX11" i="6"/>
  <c r="AY11" i="6" s="1"/>
  <c r="BB11" i="6" s="1"/>
  <c r="BC11" i="6" s="1"/>
  <c r="AD12" i="6"/>
  <c r="AF12" i="6" s="1"/>
  <c r="AF14" i="6"/>
  <c r="BI14" i="6"/>
  <c r="AJ267" i="10"/>
  <c r="AK267" i="10" s="1"/>
  <c r="AY261" i="12"/>
  <c r="AZ261" i="12" s="1"/>
  <c r="AY52" i="12"/>
  <c r="AZ52" i="12" s="1"/>
  <c r="AY352" i="12"/>
  <c r="AZ352" i="12" s="1"/>
  <c r="AY8" i="12"/>
  <c r="AZ8" i="12" s="1"/>
  <c r="AY85" i="12"/>
  <c r="AZ85" i="12" s="1"/>
  <c r="AY228" i="12"/>
  <c r="AZ228" i="12" s="1"/>
  <c r="AY191" i="12"/>
  <c r="AZ191" i="12" s="1"/>
  <c r="AY285" i="12"/>
  <c r="AZ285" i="12" s="1"/>
  <c r="AY125" i="12"/>
  <c r="AZ125" i="12" s="1"/>
  <c r="AY185" i="12"/>
  <c r="AZ185" i="12" s="1"/>
  <c r="AY130" i="12"/>
  <c r="AZ130" i="12" s="1"/>
  <c r="AY276" i="12"/>
  <c r="AZ276" i="12" s="1"/>
  <c r="AY208" i="12"/>
  <c r="AZ208" i="12" s="1"/>
  <c r="AY121" i="12"/>
  <c r="AZ121" i="12" s="1"/>
  <c r="AY114" i="12"/>
  <c r="AZ114" i="12" s="1"/>
  <c r="AY359" i="12"/>
  <c r="AZ359" i="12" s="1"/>
  <c r="AY328" i="12"/>
  <c r="AZ328" i="12" s="1"/>
  <c r="AY253" i="12"/>
  <c r="AZ253" i="12" s="1"/>
  <c r="AY131" i="12"/>
  <c r="AZ131" i="12" s="1"/>
  <c r="AY257" i="12"/>
  <c r="AZ257" i="12" s="1"/>
  <c r="AY200" i="12"/>
  <c r="AZ200" i="12" s="1"/>
  <c r="AY166" i="12"/>
  <c r="AZ166" i="12" s="1"/>
  <c r="AY343" i="12"/>
  <c r="AZ343" i="12" s="1"/>
  <c r="AY280" i="12"/>
  <c r="AZ280" i="12" s="1"/>
  <c r="AY159" i="12"/>
  <c r="AZ159" i="12" s="1"/>
  <c r="AY293" i="12"/>
  <c r="AZ293" i="12" s="1"/>
  <c r="AY317" i="12"/>
  <c r="AZ317" i="12" s="1"/>
  <c r="AY111" i="12"/>
  <c r="AZ111" i="12" s="1"/>
  <c r="AY198" i="12"/>
  <c r="AZ198" i="12" s="1"/>
  <c r="AY170" i="12"/>
  <c r="AZ170" i="12" s="1"/>
  <c r="AY136" i="12"/>
  <c r="AZ136" i="12" s="1"/>
  <c r="AY347" i="12"/>
  <c r="AZ347" i="12" s="1"/>
  <c r="AY266" i="12"/>
  <c r="AZ266" i="12" s="1"/>
  <c r="AY259" i="12"/>
  <c r="AZ259" i="12" s="1"/>
  <c r="AY312" i="12"/>
  <c r="AZ312" i="12" s="1"/>
  <c r="AY235" i="12"/>
  <c r="AZ235" i="12" s="1"/>
  <c r="AY122" i="12"/>
  <c r="AZ122" i="12" s="1"/>
  <c r="AY77" i="12"/>
  <c r="AZ77" i="12" s="1"/>
  <c r="AY358" i="12"/>
  <c r="AZ358" i="12" s="1"/>
  <c r="AY331" i="12"/>
  <c r="AZ331" i="12" s="1"/>
  <c r="AY264" i="12"/>
  <c r="AZ264" i="12" s="1"/>
  <c r="AY221" i="12"/>
  <c r="AZ221" i="12" s="1"/>
  <c r="AY303" i="12"/>
  <c r="AZ303" i="12" s="1"/>
  <c r="AY189" i="12"/>
  <c r="AZ189" i="12" s="1"/>
  <c r="AY363" i="12"/>
  <c r="AZ363" i="12" s="1"/>
  <c r="AY336" i="12"/>
  <c r="AZ336" i="12" s="1"/>
  <c r="AY246" i="12"/>
  <c r="AZ246" i="12" s="1"/>
  <c r="AY145" i="12"/>
  <c r="AZ145" i="12" s="1"/>
  <c r="AY86" i="12"/>
  <c r="AZ86" i="12" s="1"/>
  <c r="AY119" i="12"/>
  <c r="AZ119" i="12" s="1"/>
  <c r="AY197" i="12"/>
  <c r="AZ197" i="12" s="1"/>
  <c r="AY163" i="12"/>
  <c r="AZ163" i="12" s="1"/>
  <c r="AY138" i="12"/>
  <c r="AZ138" i="12" s="1"/>
  <c r="AY339" i="12"/>
  <c r="AZ339" i="12" s="1"/>
  <c r="AY310" i="12"/>
  <c r="AZ310" i="12" s="1"/>
  <c r="AY147" i="12"/>
  <c r="AZ147" i="12" s="1"/>
  <c r="AY152" i="12"/>
  <c r="AZ152" i="12" s="1"/>
  <c r="AY91" i="12"/>
  <c r="AZ91" i="12" s="1"/>
  <c r="AY262" i="12"/>
  <c r="AZ262" i="12" s="1"/>
  <c r="AY113" i="12"/>
  <c r="AZ113" i="12" s="1"/>
  <c r="AY76" i="12"/>
  <c r="AZ76" i="12" s="1"/>
  <c r="AY361" i="12"/>
  <c r="AZ361" i="12" s="1"/>
  <c r="AY330" i="12"/>
  <c r="AZ330" i="12" s="1"/>
  <c r="AY229" i="12"/>
  <c r="AZ229" i="12" s="1"/>
  <c r="AY321" i="12"/>
  <c r="AZ321" i="12" s="1"/>
  <c r="AY238" i="12"/>
  <c r="AZ238" i="12" s="1"/>
  <c r="AY188" i="12"/>
  <c r="AZ188" i="12" s="1"/>
  <c r="AY335" i="12"/>
  <c r="AZ335" i="12" s="1"/>
  <c r="AY244" i="12"/>
  <c r="AZ244" i="12" s="1"/>
  <c r="AY144" i="12"/>
  <c r="AZ144" i="12" s="1"/>
  <c r="AY96" i="12"/>
  <c r="AZ96" i="12" s="1"/>
  <c r="AY128" i="12"/>
  <c r="AZ128" i="12" s="1"/>
  <c r="AY204" i="12"/>
  <c r="AZ204" i="12" s="1"/>
  <c r="AY172" i="12"/>
  <c r="AZ172" i="12" s="1"/>
  <c r="AY57" i="12"/>
  <c r="AZ57" i="12" s="1"/>
  <c r="AY25" i="12"/>
  <c r="AZ25" i="12" s="1"/>
  <c r="AY19" i="12"/>
  <c r="AZ19" i="12" s="1"/>
  <c r="AY67" i="12"/>
  <c r="AZ67" i="12" s="1"/>
  <c r="AY56" i="12"/>
  <c r="AZ56" i="12" s="1"/>
  <c r="AY20" i="12"/>
  <c r="AZ20" i="12" s="1"/>
  <c r="AY14" i="12"/>
  <c r="AZ14" i="12" s="1"/>
  <c r="AY43" i="12"/>
  <c r="AZ43" i="12" s="1"/>
  <c r="AY35" i="12"/>
  <c r="AZ35" i="12" s="1"/>
  <c r="AY178" i="12"/>
  <c r="AZ178" i="12" s="1"/>
  <c r="AY355" i="12"/>
  <c r="AZ355" i="12" s="1"/>
  <c r="AY323" i="12"/>
  <c r="AZ323" i="12" s="1"/>
  <c r="AY314" i="12"/>
  <c r="AZ314" i="12" s="1"/>
  <c r="AY356" i="12"/>
  <c r="AZ356" i="12" s="1"/>
  <c r="AY118" i="12"/>
  <c r="AZ118" i="12" s="1"/>
  <c r="AY167" i="12"/>
  <c r="AZ167" i="12" s="1"/>
  <c r="AY214" i="12"/>
  <c r="AZ214" i="12" s="1"/>
  <c r="AY112" i="12"/>
  <c r="AZ112" i="12" s="1"/>
  <c r="AY175" i="12"/>
  <c r="AZ175" i="12" s="1"/>
  <c r="AY366" i="12"/>
  <c r="AZ366" i="12" s="1"/>
  <c r="AY297" i="12"/>
  <c r="AZ297" i="12" s="1"/>
  <c r="AY156" i="12"/>
  <c r="AZ156" i="12" s="1"/>
  <c r="AY100" i="12"/>
  <c r="AZ100" i="12" s="1"/>
  <c r="AY106" i="12"/>
  <c r="AZ106" i="12" s="1"/>
  <c r="AY350" i="12"/>
  <c r="AZ350" i="12" s="1"/>
  <c r="AY311" i="12"/>
  <c r="AZ311" i="12" s="1"/>
  <c r="AY239" i="12"/>
  <c r="AZ239" i="12" s="1"/>
  <c r="AY116" i="12"/>
  <c r="AZ116" i="12" s="1"/>
  <c r="AY248" i="12"/>
  <c r="AZ248" i="12" s="1"/>
  <c r="AY190" i="12"/>
  <c r="AZ190" i="12" s="1"/>
  <c r="AY97" i="12"/>
  <c r="AZ97" i="12" s="1"/>
  <c r="AY337" i="12"/>
  <c r="AZ337" i="12" s="1"/>
  <c r="AY258" i="12"/>
  <c r="AZ258" i="12" s="1"/>
  <c r="AY150" i="12"/>
  <c r="AZ150" i="12" s="1"/>
  <c r="AY256" i="12"/>
  <c r="AZ256" i="12" s="1"/>
  <c r="AY309" i="12"/>
  <c r="AZ309" i="12" s="1"/>
  <c r="AY87" i="12"/>
  <c r="AZ87" i="12" s="1"/>
  <c r="AY194" i="12"/>
  <c r="AZ194" i="12" s="1"/>
  <c r="AY158" i="12"/>
  <c r="AZ158" i="12" s="1"/>
  <c r="AY79" i="12"/>
  <c r="AZ79" i="12" s="1"/>
  <c r="AY322" i="12"/>
  <c r="AZ322" i="12" s="1"/>
  <c r="AY226" i="12"/>
  <c r="AZ226" i="12" s="1"/>
  <c r="AY160" i="12"/>
  <c r="AZ160" i="12" s="1"/>
  <c r="AY195" i="12"/>
  <c r="AZ195" i="12" s="1"/>
  <c r="AY272" i="12"/>
  <c r="AZ272" i="12" s="1"/>
  <c r="AY220" i="12"/>
  <c r="AZ220" i="12" s="1"/>
  <c r="AY109" i="12"/>
  <c r="AZ109" i="12" s="1"/>
  <c r="AY349" i="12"/>
  <c r="AZ349" i="12" s="1"/>
  <c r="AY327" i="12"/>
  <c r="AZ327" i="12" s="1"/>
  <c r="AY251" i="12"/>
  <c r="AZ251" i="12" s="1"/>
  <c r="AY146" i="12"/>
  <c r="AZ146" i="12" s="1"/>
  <c r="AY278" i="12"/>
  <c r="AZ278" i="12" s="1"/>
  <c r="AY231" i="12"/>
  <c r="AZ231" i="12" s="1"/>
  <c r="AY179" i="12"/>
  <c r="AZ179" i="12" s="1"/>
  <c r="AY332" i="12"/>
  <c r="AZ332" i="12" s="1"/>
  <c r="AY224" i="12"/>
  <c r="AZ224" i="12" s="1"/>
  <c r="AY290" i="12"/>
  <c r="AZ290" i="12" s="1"/>
  <c r="AY316" i="12"/>
  <c r="AZ316" i="12" s="1"/>
  <c r="AY110" i="12"/>
  <c r="AZ110" i="12" s="1"/>
  <c r="AY187" i="12"/>
  <c r="AZ187" i="12" s="1"/>
  <c r="AY140" i="12"/>
  <c r="AZ140" i="12" s="1"/>
  <c r="AY101" i="12"/>
  <c r="AZ101" i="12" s="1"/>
  <c r="AY298" i="12"/>
  <c r="AZ298" i="12" s="1"/>
  <c r="AY250" i="12"/>
  <c r="AZ250" i="12" s="1"/>
  <c r="AY351" i="12"/>
  <c r="AZ351" i="12" s="1"/>
  <c r="AY90" i="12"/>
  <c r="AZ90" i="12" s="1"/>
  <c r="AY365" i="12"/>
  <c r="AZ365" i="12" s="1"/>
  <c r="AY277" i="12"/>
  <c r="AZ277" i="12" s="1"/>
  <c r="AY115" i="12"/>
  <c r="AZ115" i="12" s="1"/>
  <c r="AY108" i="12"/>
  <c r="AZ108" i="12" s="1"/>
  <c r="AY357" i="12"/>
  <c r="AZ357" i="12" s="1"/>
  <c r="AY326" i="12"/>
  <c r="AZ326" i="12" s="1"/>
  <c r="AY153" i="12"/>
  <c r="AZ153" i="12" s="1"/>
  <c r="AY295" i="12"/>
  <c r="AZ295" i="12" s="1"/>
  <c r="AY227" i="12"/>
  <c r="AZ227" i="12" s="1"/>
  <c r="AY93" i="12"/>
  <c r="AZ93" i="12" s="1"/>
  <c r="AY324" i="12"/>
  <c r="AZ324" i="12" s="1"/>
  <c r="AY215" i="12"/>
  <c r="AZ215" i="12" s="1"/>
  <c r="AY137" i="12"/>
  <c r="AZ137" i="12" s="1"/>
  <c r="AY72" i="12"/>
  <c r="AZ72" i="12" s="1"/>
  <c r="AY117" i="12"/>
  <c r="AZ117" i="12" s="1"/>
  <c r="AY196" i="12"/>
  <c r="AZ196" i="12" s="1"/>
  <c r="AY162" i="12"/>
  <c r="AZ162" i="12" s="1"/>
  <c r="AY47" i="12"/>
  <c r="AZ47" i="12" s="1"/>
  <c r="AY21" i="12"/>
  <c r="AZ21" i="12" s="1"/>
  <c r="AY15" i="12"/>
  <c r="AZ15" i="12" s="1"/>
  <c r="AY61" i="12"/>
  <c r="AZ61" i="12" s="1"/>
  <c r="AY46" i="12"/>
  <c r="AZ46" i="12" s="1"/>
  <c r="AY10" i="12"/>
  <c r="AZ10" i="12" s="1"/>
  <c r="AY53" i="12"/>
  <c r="AZ53" i="12" s="1"/>
  <c r="AY55" i="12"/>
  <c r="AZ55" i="12" s="1"/>
  <c r="AY42" i="12"/>
  <c r="AZ42" i="12" s="1"/>
  <c r="AY164" i="12"/>
  <c r="AZ164" i="12" s="1"/>
  <c r="AY275" i="12"/>
  <c r="AZ275" i="12" s="1"/>
  <c r="AY165" i="12"/>
  <c r="AZ165" i="12" s="1"/>
  <c r="AY273" i="12"/>
  <c r="AZ273" i="12" s="1"/>
  <c r="AY329" i="12"/>
  <c r="AZ329" i="12" s="1"/>
  <c r="AY289" i="12"/>
  <c r="AZ289" i="12" s="1"/>
  <c r="AY73" i="12"/>
  <c r="AZ73" i="12" s="1"/>
  <c r="AY143" i="12"/>
  <c r="AZ143" i="12" s="1"/>
  <c r="AY217" i="12"/>
  <c r="AZ217" i="12" s="1"/>
  <c r="AY171" i="12"/>
  <c r="AZ171" i="12" s="1"/>
  <c r="AY315" i="12"/>
  <c r="AZ315" i="12" s="1"/>
  <c r="AY263" i="12"/>
  <c r="AZ263" i="12" s="1"/>
  <c r="AY134" i="12"/>
  <c r="AZ134" i="12" s="1"/>
  <c r="AY78" i="12"/>
  <c r="AZ78" i="12" s="1"/>
  <c r="AY84" i="12"/>
  <c r="AZ84" i="12" s="1"/>
  <c r="AY346" i="12"/>
  <c r="AZ346" i="12" s="1"/>
  <c r="AY282" i="12"/>
  <c r="AZ282" i="12" s="1"/>
  <c r="AY223" i="12"/>
  <c r="AZ223" i="12" s="1"/>
  <c r="AY304" i="12"/>
  <c r="AZ304" i="12" s="1"/>
  <c r="AY233" i="12"/>
  <c r="AZ233" i="12" s="1"/>
  <c r="AY180" i="12"/>
  <c r="AZ180" i="12" s="1"/>
  <c r="AY364" i="12"/>
  <c r="AZ364" i="12" s="1"/>
  <c r="AY333" i="12"/>
  <c r="AZ333" i="12" s="1"/>
  <c r="AY225" i="12"/>
  <c r="AZ225" i="12" s="1"/>
  <c r="AY142" i="12"/>
  <c r="AZ142" i="12" s="1"/>
  <c r="AY243" i="12"/>
  <c r="AZ243" i="12" s="1"/>
  <c r="AY284" i="12"/>
  <c r="AZ284" i="12" s="1"/>
  <c r="AY269" i="12"/>
  <c r="AZ269" i="12" s="1"/>
  <c r="AY184" i="12"/>
  <c r="AZ184" i="12" s="1"/>
  <c r="AY301" i="12"/>
  <c r="AZ301" i="12" s="1"/>
  <c r="AY107" i="12"/>
  <c r="AZ107" i="12" s="1"/>
  <c r="AY241" i="12"/>
  <c r="AZ241" i="12" s="1"/>
  <c r="AY181" i="12"/>
  <c r="AZ181" i="12" s="1"/>
  <c r="AY135" i="12"/>
  <c r="AZ135" i="12" s="1"/>
  <c r="AY319" i="12"/>
  <c r="AZ319" i="12" s="1"/>
  <c r="AY287" i="12"/>
  <c r="AZ287" i="12" s="1"/>
  <c r="AY155" i="12"/>
  <c r="AZ155" i="12" s="1"/>
  <c r="AY103" i="12"/>
  <c r="AZ103" i="12" s="1"/>
  <c r="AY105" i="12"/>
  <c r="AZ105" i="12" s="1"/>
  <c r="AY305" i="12"/>
  <c r="AZ305" i="12" s="1"/>
  <c r="AY237" i="12"/>
  <c r="AZ237" i="12" s="1"/>
  <c r="AY129" i="12"/>
  <c r="AZ129" i="12" s="1"/>
  <c r="AY255" i="12"/>
  <c r="AZ255" i="12" s="1"/>
  <c r="AY203" i="12"/>
  <c r="AZ203" i="12" s="1"/>
  <c r="AY169" i="12"/>
  <c r="AZ169" i="12" s="1"/>
  <c r="AY353" i="12"/>
  <c r="AZ353" i="12" s="1"/>
  <c r="AY291" i="12"/>
  <c r="AZ291" i="12" s="1"/>
  <c r="AY209" i="12"/>
  <c r="AZ209" i="12" s="1"/>
  <c r="AY254" i="12"/>
  <c r="AZ254" i="12" s="1"/>
  <c r="AY308" i="12"/>
  <c r="AZ308" i="12" s="1"/>
  <c r="AY268" i="12"/>
  <c r="AZ268" i="12" s="1"/>
  <c r="AY183" i="12"/>
  <c r="AZ183" i="12" s="1"/>
  <c r="AY286" i="12"/>
  <c r="AZ286" i="12" s="1"/>
  <c r="AY127" i="12"/>
  <c r="AZ127" i="12" s="1"/>
  <c r="AY260" i="12"/>
  <c r="AZ260" i="12" s="1"/>
  <c r="AY201" i="12"/>
  <c r="AZ201" i="12" s="1"/>
  <c r="AY320" i="12"/>
  <c r="AZ320" i="12" s="1"/>
  <c r="AY245" i="12"/>
  <c r="AZ245" i="12" s="1"/>
  <c r="AY318" i="12"/>
  <c r="AZ318" i="12" s="1"/>
  <c r="AY211" i="12"/>
  <c r="AZ211" i="12" s="1"/>
  <c r="AY102" i="12"/>
  <c r="AZ102" i="12" s="1"/>
  <c r="AY104" i="12"/>
  <c r="AZ104" i="12" s="1"/>
  <c r="AY348" i="12"/>
  <c r="AZ348" i="12" s="1"/>
  <c r="AY302" i="12"/>
  <c r="AZ302" i="12" s="1"/>
  <c r="AY141" i="12"/>
  <c r="AZ141" i="12" s="1"/>
  <c r="AY274" i="12"/>
  <c r="AZ274" i="12" s="1"/>
  <c r="AY202" i="12"/>
  <c r="AZ202" i="12" s="1"/>
  <c r="AY362" i="12"/>
  <c r="AZ362" i="12" s="1"/>
  <c r="AY288" i="12"/>
  <c r="AZ288" i="12" s="1"/>
  <c r="AY205" i="12"/>
  <c r="AZ205" i="12" s="1"/>
  <c r="AY247" i="12"/>
  <c r="AZ247" i="12" s="1"/>
  <c r="AY313" i="12"/>
  <c r="AZ313" i="12" s="1"/>
  <c r="AY94" i="12"/>
  <c r="AZ94" i="12" s="1"/>
  <c r="AY186" i="12"/>
  <c r="AZ186" i="12" s="1"/>
  <c r="AY132" i="12"/>
  <c r="AZ132" i="12" s="1"/>
  <c r="AY37" i="12"/>
  <c r="AZ37" i="12" s="1"/>
  <c r="AY11" i="12"/>
  <c r="AZ11" i="12" s="1"/>
  <c r="AY40" i="12"/>
  <c r="AZ40" i="12" s="1"/>
  <c r="AY60" i="12"/>
  <c r="AZ60" i="12" s="1"/>
  <c r="AY36" i="12"/>
  <c r="AZ36" i="12" s="1"/>
  <c r="AY28" i="12"/>
  <c r="AZ28" i="12" s="1"/>
  <c r="AY68" i="12"/>
  <c r="AZ68" i="12" s="1"/>
  <c r="AY49" i="12"/>
  <c r="AZ49" i="12" s="1"/>
  <c r="AY23" i="12"/>
  <c r="AZ23" i="12" s="1"/>
  <c r="AY299" i="12"/>
  <c r="AZ299" i="12" s="1"/>
  <c r="AY270" i="12"/>
  <c r="AZ270" i="12" s="1"/>
  <c r="AY199" i="12"/>
  <c r="AZ199" i="12" s="1"/>
  <c r="AY126" i="12"/>
  <c r="AZ126" i="12" s="1"/>
  <c r="AY267" i="12"/>
  <c r="AZ267" i="12" s="1"/>
  <c r="AY176" i="12"/>
  <c r="AZ176" i="12" s="1"/>
  <c r="AY89" i="12"/>
  <c r="AZ89" i="12" s="1"/>
  <c r="AY174" i="12"/>
  <c r="AZ174" i="12" s="1"/>
  <c r="AY334" i="12"/>
  <c r="AZ334" i="12" s="1"/>
  <c r="AY124" i="12"/>
  <c r="AZ124" i="12" s="1"/>
  <c r="AY281" i="12"/>
  <c r="AZ281" i="12" s="1"/>
  <c r="AY193" i="12"/>
  <c r="AZ193" i="12" s="1"/>
  <c r="AY157" i="12"/>
  <c r="AZ157" i="12" s="1"/>
  <c r="AY173" i="12"/>
  <c r="AZ173" i="12" s="1"/>
  <c r="AY177" i="12"/>
  <c r="AZ177" i="12" s="1"/>
  <c r="AY210" i="12"/>
  <c r="AZ210" i="12" s="1"/>
  <c r="AY249" i="12"/>
  <c r="AZ249" i="12" s="1"/>
  <c r="AY341" i="12"/>
  <c r="AZ341" i="12" s="1"/>
  <c r="AY306" i="12"/>
  <c r="AZ306" i="12" s="1"/>
  <c r="AY33" i="12"/>
  <c r="AZ33" i="12" s="1"/>
  <c r="AY24" i="12"/>
  <c r="AZ24" i="12" s="1"/>
  <c r="AY13" i="12"/>
  <c r="AZ13" i="12" s="1"/>
  <c r="AY17" i="12"/>
  <c r="AZ17" i="12" s="1"/>
  <c r="AY64" i="12"/>
  <c r="AZ64" i="12" s="1"/>
  <c r="AY48" i="12"/>
  <c r="AZ48" i="12" s="1"/>
  <c r="AY22" i="12"/>
  <c r="AZ22" i="12" s="1"/>
  <c r="AY16" i="12"/>
  <c r="AZ16" i="12" s="1"/>
  <c r="AY69" i="12"/>
  <c r="AZ69" i="12" s="1"/>
  <c r="AY30" i="12"/>
  <c r="AZ30" i="12" s="1"/>
  <c r="AY41" i="12"/>
  <c r="AZ41" i="12" s="1"/>
  <c r="AY294" i="12"/>
  <c r="AZ294" i="12" s="1"/>
  <c r="AY338" i="12"/>
  <c r="AZ338" i="12" s="1"/>
  <c r="AY212" i="12"/>
  <c r="AZ212" i="12" s="1"/>
  <c r="AY149" i="12"/>
  <c r="AZ149" i="12" s="1"/>
  <c r="AY265" i="12"/>
  <c r="AZ265" i="12" s="1"/>
  <c r="AY240" i="12"/>
  <c r="AZ240" i="12" s="1"/>
  <c r="AY213" i="12"/>
  <c r="AZ213" i="12" s="1"/>
  <c r="AY296" i="12"/>
  <c r="AZ296" i="12" s="1"/>
  <c r="AY344" i="12"/>
  <c r="AZ344" i="12" s="1"/>
  <c r="AY38" i="12"/>
  <c r="AZ38" i="12" s="1"/>
  <c r="AY27" i="12"/>
  <c r="AZ27" i="12" s="1"/>
  <c r="AY54" i="12"/>
  <c r="AZ54" i="12" s="1"/>
  <c r="AY59" i="12"/>
  <c r="AZ59" i="12" s="1"/>
  <c r="AY168" i="12"/>
  <c r="AZ168" i="12" s="1"/>
  <c r="AY236" i="12"/>
  <c r="AZ236" i="12" s="1"/>
  <c r="AY161" i="12"/>
  <c r="AZ161" i="12" s="1"/>
  <c r="AY74" i="12"/>
  <c r="AZ74" i="12" s="1"/>
  <c r="AY148" i="12"/>
  <c r="AZ148" i="12" s="1"/>
  <c r="AY354" i="12"/>
  <c r="AZ354" i="12" s="1"/>
  <c r="AY88" i="12"/>
  <c r="AZ88" i="12" s="1"/>
  <c r="AY206" i="12"/>
  <c r="AZ206" i="12" s="1"/>
  <c r="AY230" i="12"/>
  <c r="AZ230" i="12" s="1"/>
  <c r="AY99" i="12"/>
  <c r="AZ99" i="12" s="1"/>
  <c r="AY95" i="12"/>
  <c r="AZ95" i="12" s="1"/>
  <c r="AY234" i="12"/>
  <c r="AZ234" i="12" s="1"/>
  <c r="AY207" i="12"/>
  <c r="AZ207" i="12" s="1"/>
  <c r="AY242" i="12"/>
  <c r="AZ242" i="12" s="1"/>
  <c r="AY98" i="12"/>
  <c r="AZ98" i="12" s="1"/>
  <c r="AY120" i="12"/>
  <c r="AZ120" i="12" s="1"/>
  <c r="AY271" i="12"/>
  <c r="AZ271" i="12" s="1"/>
  <c r="AY219" i="12"/>
  <c r="AZ219" i="12" s="1"/>
  <c r="AY29" i="12"/>
  <c r="AZ29" i="12" s="1"/>
  <c r="AY18" i="12"/>
  <c r="AZ18" i="12" s="1"/>
  <c r="AY9" i="12"/>
  <c r="AZ9" i="12" s="1"/>
  <c r="AY51" i="12"/>
  <c r="AZ51" i="12" s="1"/>
  <c r="AY39" i="12"/>
  <c r="AZ39" i="12" s="1"/>
  <c r="AY44" i="12"/>
  <c r="AZ44" i="12" s="1"/>
  <c r="AY12" i="12"/>
  <c r="AZ12" i="12" s="1"/>
  <c r="AY50" i="12"/>
  <c r="AZ50" i="12" s="1"/>
  <c r="AY62" i="12"/>
  <c r="AZ62" i="12" s="1"/>
  <c r="AY34" i="12"/>
  <c r="AZ34" i="12" s="1"/>
  <c r="AY192" i="12"/>
  <c r="AZ192" i="12" s="1"/>
  <c r="AY63" i="12"/>
  <c r="AZ63" i="12" s="1"/>
  <c r="AY71" i="12"/>
  <c r="AZ71" i="12" s="1"/>
  <c r="AY26" i="12"/>
  <c r="AZ26" i="12" s="1"/>
  <c r="AY139" i="12"/>
  <c r="AZ139" i="12" s="1"/>
  <c r="AY340" i="12"/>
  <c r="AZ340" i="12" s="1"/>
  <c r="AY307" i="12"/>
  <c r="AZ307" i="12" s="1"/>
  <c r="AY80" i="12"/>
  <c r="AZ80" i="12" s="1"/>
  <c r="AY283" i="12"/>
  <c r="AZ283" i="12" s="1"/>
  <c r="AY292" i="12"/>
  <c r="AZ292" i="12" s="1"/>
  <c r="AY123" i="12"/>
  <c r="AZ123" i="12" s="1"/>
  <c r="AY81" i="12"/>
  <c r="AZ81" i="12" s="1"/>
  <c r="AY300" i="12"/>
  <c r="AZ300" i="12" s="1"/>
  <c r="AY83" i="12"/>
  <c r="AZ83" i="12" s="1"/>
  <c r="AY325" i="12"/>
  <c r="AZ325" i="12" s="1"/>
  <c r="AY342" i="12"/>
  <c r="AZ342" i="12" s="1"/>
  <c r="AY151" i="12"/>
  <c r="AZ151" i="12" s="1"/>
  <c r="AY360" i="12"/>
  <c r="AZ360" i="12" s="1"/>
  <c r="AY92" i="12"/>
  <c r="AZ92" i="12" s="1"/>
  <c r="AY82" i="12"/>
  <c r="AZ82" i="12" s="1"/>
  <c r="AY252" i="12"/>
  <c r="AZ252" i="12" s="1"/>
  <c r="AY154" i="12"/>
  <c r="AZ154" i="12" s="1"/>
  <c r="AY182" i="12"/>
  <c r="AZ182" i="12" s="1"/>
  <c r="AY70" i="12"/>
  <c r="AZ70" i="12" s="1"/>
  <c r="AY65" i="12"/>
  <c r="AZ65" i="12" s="1"/>
  <c r="AY31" i="12"/>
  <c r="AZ31" i="12" s="1"/>
  <c r="AY66" i="12"/>
  <c r="AZ66" i="12" s="1"/>
  <c r="AY58" i="12"/>
  <c r="AZ58" i="12" s="1"/>
  <c r="AY222" i="12"/>
  <c r="AZ222" i="12" s="1"/>
  <c r="AY218" i="12"/>
  <c r="AZ218" i="12" s="1"/>
  <c r="AY216" i="12"/>
  <c r="AZ216" i="12" s="1"/>
  <c r="AY345" i="12"/>
  <c r="AZ345" i="12" s="1"/>
  <c r="AY279" i="12"/>
  <c r="AZ279" i="12" s="1"/>
  <c r="AY133" i="12"/>
  <c r="AZ133" i="12" s="1"/>
  <c r="AY232" i="12"/>
  <c r="AZ232" i="12" s="1"/>
  <c r="AY45" i="12"/>
  <c r="AZ45" i="12" s="1"/>
  <c r="AY32" i="12"/>
  <c r="AZ32" i="12" s="1"/>
  <c r="AY75" i="12"/>
  <c r="AZ75" i="12" s="1"/>
  <c r="AY7" i="12"/>
  <c r="AZ7" i="12" s="1"/>
  <c r="AJ98" i="10"/>
  <c r="AK98" i="10" s="1"/>
  <c r="AJ102" i="10"/>
  <c r="AK102" i="10" s="1"/>
  <c r="AJ299" i="10"/>
  <c r="AK299" i="10" s="1"/>
  <c r="AJ308" i="10"/>
  <c r="AK308" i="10" s="1"/>
  <c r="AJ311" i="10"/>
  <c r="AK311" i="10" s="1"/>
  <c r="AJ255" i="10"/>
  <c r="AK255" i="10" s="1"/>
  <c r="AJ252" i="10"/>
  <c r="AK252" i="10" s="1"/>
  <c r="AJ201" i="10"/>
  <c r="AK201" i="10" s="1"/>
  <c r="AJ216" i="10"/>
  <c r="AK216" i="10" s="1"/>
  <c r="AJ181" i="10"/>
  <c r="AK181" i="10" s="1"/>
  <c r="AJ107" i="10"/>
  <c r="AK107" i="10" s="1"/>
  <c r="AJ127" i="10"/>
  <c r="AK127" i="10" s="1"/>
  <c r="AJ131" i="10"/>
  <c r="AK131" i="10" s="1"/>
  <c r="AJ365" i="10"/>
  <c r="AK365" i="10" s="1"/>
  <c r="AJ348" i="10"/>
  <c r="AK348" i="10" s="1"/>
  <c r="AJ344" i="10"/>
  <c r="AK344" i="10" s="1"/>
  <c r="AJ324" i="10"/>
  <c r="AK324" i="10" s="1"/>
  <c r="AJ302" i="10"/>
  <c r="AK302" i="10" s="1"/>
  <c r="AJ288" i="10"/>
  <c r="AK288" i="10" s="1"/>
  <c r="AJ278" i="10"/>
  <c r="AK278" i="10" s="1"/>
  <c r="AJ261" i="10"/>
  <c r="AK261" i="10" s="1"/>
  <c r="AJ232" i="10"/>
  <c r="AK232" i="10" s="1"/>
  <c r="AJ224" i="10"/>
  <c r="AK224" i="10" s="1"/>
  <c r="AJ203" i="10"/>
  <c r="AK203" i="10" s="1"/>
  <c r="AJ165" i="10"/>
  <c r="AK165" i="10" s="1"/>
  <c r="AJ157" i="10"/>
  <c r="AK157" i="10" s="1"/>
  <c r="AJ126" i="10"/>
  <c r="AK126" i="10" s="1"/>
  <c r="AJ109" i="10"/>
  <c r="AK109" i="10" s="1"/>
  <c r="AJ90" i="10"/>
  <c r="AK90" i="10" s="1"/>
  <c r="AJ72" i="10"/>
  <c r="AK72" i="10" s="1"/>
  <c r="AJ57" i="10"/>
  <c r="AK57" i="10" s="1"/>
  <c r="AJ49" i="10"/>
  <c r="AK49" i="10" s="1"/>
  <c r="AJ364" i="10"/>
  <c r="AK364" i="10" s="1"/>
  <c r="AJ333" i="10"/>
  <c r="AK333" i="10" s="1"/>
  <c r="AJ322" i="10"/>
  <c r="AK322" i="10" s="1"/>
  <c r="AJ300" i="10"/>
  <c r="AK300" i="10" s="1"/>
  <c r="AJ280" i="10"/>
  <c r="AK280" i="10" s="1"/>
  <c r="AJ225" i="10"/>
  <c r="AK225" i="10" s="1"/>
  <c r="AJ215" i="10"/>
  <c r="AK215" i="10" s="1"/>
  <c r="AJ189" i="10"/>
  <c r="AK189" i="10" s="1"/>
  <c r="AJ177" i="10"/>
  <c r="AK177" i="10" s="1"/>
  <c r="AJ158" i="10"/>
  <c r="AK158" i="10" s="1"/>
  <c r="AJ152" i="10"/>
  <c r="AK152" i="10" s="1"/>
  <c r="AJ125" i="10"/>
  <c r="AK125" i="10" s="1"/>
  <c r="AJ91" i="10"/>
  <c r="AK91" i="10" s="1"/>
  <c r="AJ80" i="10"/>
  <c r="AK80" i="10" s="1"/>
  <c r="AJ66" i="10"/>
  <c r="AK66" i="10" s="1"/>
  <c r="AX60" i="6"/>
  <c r="AY60" i="6" s="1"/>
  <c r="BB60" i="6" s="1"/>
  <c r="BC60" i="6" s="1"/>
  <c r="AX47" i="6"/>
  <c r="AY47" i="6" s="1"/>
  <c r="BB47" i="6" s="1"/>
  <c r="BC47" i="6" s="1"/>
  <c r="AX31" i="6"/>
  <c r="AY31" i="6" s="1"/>
  <c r="BB31" i="6" s="1"/>
  <c r="BC31" i="6" s="1"/>
  <c r="AX24" i="6"/>
  <c r="AY24" i="6" s="1"/>
  <c r="BB24" i="6" s="1"/>
  <c r="BC24" i="6" s="1"/>
  <c r="AX20" i="6"/>
  <c r="AY20" i="6" s="1"/>
  <c r="BB20" i="6" s="1"/>
  <c r="BC20" i="6" s="1"/>
  <c r="AJ321" i="10"/>
  <c r="AK321" i="10" s="1"/>
  <c r="AJ295" i="10"/>
  <c r="AK295" i="10" s="1"/>
  <c r="AJ304" i="10"/>
  <c r="AK304" i="10" s="1"/>
  <c r="AJ266" i="10"/>
  <c r="AK266" i="10" s="1"/>
  <c r="AJ249" i="10"/>
  <c r="AK249" i="10" s="1"/>
  <c r="AJ248" i="10"/>
  <c r="AK248" i="10" s="1"/>
  <c r="AJ198" i="10"/>
  <c r="AK198" i="10" s="1"/>
  <c r="AJ212" i="10"/>
  <c r="AK212" i="10" s="1"/>
  <c r="AJ178" i="10"/>
  <c r="AK178" i="10" s="1"/>
  <c r="AJ103" i="10"/>
  <c r="AK103" i="10" s="1"/>
  <c r="AJ124" i="10"/>
  <c r="AK124" i="10" s="1"/>
  <c r="AJ117" i="10"/>
  <c r="AK117" i="10" s="1"/>
  <c r="AJ361" i="10"/>
  <c r="AK361" i="10" s="1"/>
  <c r="AJ347" i="10"/>
  <c r="AK347" i="10" s="1"/>
  <c r="AJ343" i="10"/>
  <c r="AK343" i="10" s="1"/>
  <c r="AJ323" i="10"/>
  <c r="AK323" i="10" s="1"/>
  <c r="AJ297" i="10"/>
  <c r="AK297" i="10" s="1"/>
  <c r="AJ286" i="10"/>
  <c r="AK286" i="10" s="1"/>
  <c r="AJ250" i="10"/>
  <c r="AK250" i="10" s="1"/>
  <c r="AJ229" i="10"/>
  <c r="AK229" i="10" s="1"/>
  <c r="AJ223" i="10"/>
  <c r="AK223" i="10" s="1"/>
  <c r="AJ199" i="10"/>
  <c r="AK199" i="10" s="1"/>
  <c r="AJ161" i="10"/>
  <c r="AK161" i="10" s="1"/>
  <c r="AJ144" i="10"/>
  <c r="AK144" i="10" s="1"/>
  <c r="AJ122" i="10"/>
  <c r="AK122" i="10" s="1"/>
  <c r="AJ97" i="10"/>
  <c r="AK97" i="10" s="1"/>
  <c r="AJ87" i="10"/>
  <c r="AK87" i="10" s="1"/>
  <c r="AJ70" i="10"/>
  <c r="AK70" i="10" s="1"/>
  <c r="AJ53" i="10"/>
  <c r="AK53" i="10" s="1"/>
  <c r="AJ40" i="10"/>
  <c r="AK40" i="10" s="1"/>
  <c r="AJ336" i="10"/>
  <c r="AK336" i="10" s="1"/>
  <c r="AJ332" i="10"/>
  <c r="AK332" i="10" s="1"/>
  <c r="AJ298" i="10"/>
  <c r="AK298" i="10" s="1"/>
  <c r="AJ259" i="10"/>
  <c r="AK259" i="10" s="1"/>
  <c r="AJ221" i="10"/>
  <c r="AK221" i="10" s="1"/>
  <c r="AJ202" i="10"/>
  <c r="AK202" i="10" s="1"/>
  <c r="AJ187" i="10"/>
  <c r="AK187" i="10" s="1"/>
  <c r="AJ176" i="10"/>
  <c r="AK176" i="10" s="1"/>
  <c r="AJ156" i="10"/>
  <c r="AK156" i="10" s="1"/>
  <c r="AJ142" i="10"/>
  <c r="AK142" i="10" s="1"/>
  <c r="AJ123" i="10"/>
  <c r="AK123" i="10" s="1"/>
  <c r="AJ84" i="10"/>
  <c r="AK84" i="10" s="1"/>
  <c r="AJ79" i="10"/>
  <c r="AK79" i="10" s="1"/>
  <c r="AJ65" i="10"/>
  <c r="AK65" i="10" s="1"/>
  <c r="AJ48" i="10"/>
  <c r="AK48" i="10" s="1"/>
  <c r="AJ33" i="10"/>
  <c r="AK33" i="10" s="1"/>
  <c r="AJ23" i="10"/>
  <c r="AK23" i="10" s="1"/>
  <c r="AJ366" i="10"/>
  <c r="AK366" i="10" s="1"/>
  <c r="AJ353" i="10"/>
  <c r="AK353" i="10" s="1"/>
  <c r="AJ349" i="10"/>
  <c r="AK349" i="10" s="1"/>
  <c r="AJ338" i="10"/>
  <c r="AK338" i="10" s="1"/>
  <c r="AJ316" i="10"/>
  <c r="AK316" i="10" s="1"/>
  <c r="AJ281" i="10"/>
  <c r="AK281" i="10" s="1"/>
  <c r="AJ315" i="10"/>
  <c r="AK315" i="10" s="1"/>
  <c r="AJ287" i="10"/>
  <c r="AK287" i="10" s="1"/>
  <c r="AJ273" i="10"/>
  <c r="AK273" i="10" s="1"/>
  <c r="AJ246" i="10"/>
  <c r="AK246" i="10" s="1"/>
  <c r="AJ211" i="10"/>
  <c r="AK211" i="10" s="1"/>
  <c r="AJ194" i="10"/>
  <c r="AK194" i="10" s="1"/>
  <c r="AJ208" i="10"/>
  <c r="AK208" i="10" s="1"/>
  <c r="AJ114" i="10"/>
  <c r="AK114" i="10" s="1"/>
  <c r="AJ138" i="10"/>
  <c r="AK138" i="10" s="1"/>
  <c r="AJ118" i="10"/>
  <c r="AK118" i="10" s="1"/>
  <c r="AJ100" i="10"/>
  <c r="AK100" i="10" s="1"/>
  <c r="AJ359" i="10"/>
  <c r="AK359" i="10" s="1"/>
  <c r="AJ346" i="10"/>
  <c r="AK346" i="10" s="1"/>
  <c r="AJ329" i="10"/>
  <c r="AK329" i="10" s="1"/>
  <c r="AJ309" i="10"/>
  <c r="AK309" i="10" s="1"/>
  <c r="AJ293" i="10"/>
  <c r="AK293" i="10" s="1"/>
  <c r="AJ285" i="10"/>
  <c r="AK285" i="10" s="1"/>
  <c r="AJ263" i="10"/>
  <c r="AK263" i="10" s="1"/>
  <c r="AJ247" i="10"/>
  <c r="AK247" i="10" s="1"/>
  <c r="AJ228" i="10"/>
  <c r="AK228" i="10" s="1"/>
  <c r="AJ214" i="10"/>
  <c r="AK214" i="10" s="1"/>
  <c r="AJ190" i="10"/>
  <c r="AK190" i="10" s="1"/>
  <c r="AJ160" i="10"/>
  <c r="AK160" i="10" s="1"/>
  <c r="AJ143" i="10"/>
  <c r="AK143" i="10" s="1"/>
  <c r="AJ113" i="10"/>
  <c r="AK113" i="10" s="1"/>
  <c r="AJ96" i="10"/>
  <c r="AK96" i="10" s="1"/>
  <c r="AJ86" i="10"/>
  <c r="AK86" i="10" s="1"/>
  <c r="AJ69" i="10"/>
  <c r="AK69" i="10" s="1"/>
  <c r="AJ52" i="10"/>
  <c r="AK52" i="10" s="1"/>
  <c r="AJ21" i="10"/>
  <c r="AK21" i="10" s="1"/>
  <c r="AJ335" i="10"/>
  <c r="AK335" i="10" s="1"/>
  <c r="AJ327" i="10"/>
  <c r="AK327" i="10" s="1"/>
  <c r="AJ319" i="10"/>
  <c r="AK319" i="10" s="1"/>
  <c r="AJ291" i="10"/>
  <c r="AK291" i="10" s="1"/>
  <c r="AJ241" i="10"/>
  <c r="AK241" i="10" s="1"/>
  <c r="AJ220" i="10"/>
  <c r="AK220" i="10" s="1"/>
  <c r="AJ200" i="10"/>
  <c r="AK200" i="10" s="1"/>
  <c r="AJ186" i="10"/>
  <c r="AK186" i="10" s="1"/>
  <c r="AJ175" i="10"/>
  <c r="AK175" i="10" s="1"/>
  <c r="AJ154" i="10"/>
  <c r="AK154" i="10" s="1"/>
  <c r="AJ140" i="10"/>
  <c r="AK140" i="10" s="1"/>
  <c r="AJ105" i="10"/>
  <c r="AK105" i="10" s="1"/>
  <c r="AJ83" i="10"/>
  <c r="AK83" i="10" s="1"/>
  <c r="AJ78" i="10"/>
  <c r="AK78" i="10" s="1"/>
  <c r="AJ63" i="10"/>
  <c r="AK63" i="10" s="1"/>
  <c r="AJ46" i="10"/>
  <c r="AK46" i="10" s="1"/>
  <c r="AJ29" i="10"/>
  <c r="AK29" i="10" s="1"/>
  <c r="AJ18" i="10"/>
  <c r="AK18" i="10" s="1"/>
  <c r="AJ363" i="10"/>
  <c r="AK363" i="10" s="1"/>
  <c r="AJ352" i="10"/>
  <c r="AK352" i="10" s="1"/>
  <c r="AJ341" i="10"/>
  <c r="AK341" i="10" s="1"/>
  <c r="AJ337" i="10"/>
  <c r="AK337" i="10" s="1"/>
  <c r="AJ314" i="10"/>
  <c r="AK314" i="10" s="1"/>
  <c r="AJ279" i="10"/>
  <c r="AK279" i="10" s="1"/>
  <c r="AJ307" i="10"/>
  <c r="AK307" i="10" s="1"/>
  <c r="AJ312" i="10"/>
  <c r="AK312" i="10" s="1"/>
  <c r="AJ318" i="10"/>
  <c r="AK318" i="10" s="1"/>
  <c r="AJ265" i="10"/>
  <c r="AK265" i="10" s="1"/>
  <c r="AJ242" i="10"/>
  <c r="AK242" i="10" s="1"/>
  <c r="AJ209" i="10"/>
  <c r="AK209" i="10" s="1"/>
  <c r="AJ191" i="10"/>
  <c r="AK191" i="10" s="1"/>
  <c r="AJ188" i="10"/>
  <c r="AK188" i="10" s="1"/>
  <c r="AJ110" i="10"/>
  <c r="AK110" i="10" s="1"/>
  <c r="AJ134" i="10"/>
  <c r="AK134" i="10" s="1"/>
  <c r="AJ93" i="10"/>
  <c r="AK93" i="10" s="1"/>
  <c r="AJ94" i="10"/>
  <c r="AK94" i="10" s="1"/>
  <c r="AJ355" i="10"/>
  <c r="AK355" i="10" s="1"/>
  <c r="AJ345" i="10"/>
  <c r="AK345" i="10" s="1"/>
  <c r="AJ328" i="10"/>
  <c r="AK328" i="10" s="1"/>
  <c r="AJ306" i="10"/>
  <c r="AK306" i="10" s="1"/>
  <c r="AJ292" i="10"/>
  <c r="AK292" i="10" s="1"/>
  <c r="AJ284" i="10"/>
  <c r="AK284" i="10" s="1"/>
  <c r="AJ262" i="10"/>
  <c r="AK262" i="10" s="1"/>
  <c r="AJ233" i="10"/>
  <c r="AK233" i="10" s="1"/>
  <c r="AJ227" i="10"/>
  <c r="AK227" i="10" s="1"/>
  <c r="AJ213" i="10"/>
  <c r="AK213" i="10" s="1"/>
  <c r="AJ183" i="10"/>
  <c r="AK183" i="10" s="1"/>
  <c r="AJ159" i="10"/>
  <c r="AK159" i="10" s="1"/>
  <c r="AJ133" i="10"/>
  <c r="AK133" i="10" s="1"/>
  <c r="AJ111" i="10"/>
  <c r="AK111" i="10" s="1"/>
  <c r="AJ92" i="10"/>
  <c r="AK92" i="10" s="1"/>
  <c r="AJ85" i="10"/>
  <c r="AK85" i="10" s="1"/>
  <c r="AJ68" i="10"/>
  <c r="AK68" i="10" s="1"/>
  <c r="AJ51" i="10"/>
  <c r="AK51" i="10" s="1"/>
  <c r="AJ20" i="10"/>
  <c r="AK20" i="10" s="1"/>
  <c r="AJ334" i="10"/>
  <c r="AK334" i="10" s="1"/>
  <c r="AJ326" i="10"/>
  <c r="AK326" i="10" s="1"/>
  <c r="AJ310" i="10"/>
  <c r="AK310" i="10" s="1"/>
  <c r="AL307" i="10" s="1"/>
  <c r="AM307" i="10" s="1"/>
  <c r="AJ283" i="10"/>
  <c r="AK283" i="10" s="1"/>
  <c r="AJ226" i="10"/>
  <c r="AK226" i="10" s="1"/>
  <c r="AJ217" i="10"/>
  <c r="AK217" i="10" s="1"/>
  <c r="AJ192" i="10"/>
  <c r="AK192" i="10" s="1"/>
  <c r="AJ182" i="10"/>
  <c r="AK182" i="10" s="1"/>
  <c r="AJ162" i="10"/>
  <c r="AK162" i="10" s="1"/>
  <c r="AJ153" i="10"/>
  <c r="AK153" i="10" s="1"/>
  <c r="AJ139" i="10"/>
  <c r="AK139" i="10" s="1"/>
  <c r="AJ95" i="10"/>
  <c r="AK95" i="10" s="1"/>
  <c r="AJ82" i="10"/>
  <c r="AK82" i="10" s="1"/>
  <c r="AJ74" i="10"/>
  <c r="AK74" i="10" s="1"/>
  <c r="AJ62" i="10"/>
  <c r="AK62" i="10" s="1"/>
  <c r="AJ61" i="10"/>
  <c r="AK61" i="10" s="1"/>
  <c r="AJ44" i="10"/>
  <c r="AK44" i="10" s="1"/>
  <c r="AJ27" i="10"/>
  <c r="AK27" i="10" s="1"/>
  <c r="AJ15" i="10"/>
  <c r="AK15" i="10" s="1"/>
  <c r="AJ354" i="10"/>
  <c r="AK354" i="10" s="1"/>
  <c r="AJ350" i="10"/>
  <c r="AK350" i="10" s="1"/>
  <c r="AJ339" i="10"/>
  <c r="AK339" i="10" s="1"/>
  <c r="AJ289" i="10"/>
  <c r="AK289" i="10" s="1"/>
  <c r="AJ271" i="10"/>
  <c r="AK271" i="10" s="1"/>
  <c r="AJ245" i="10"/>
  <c r="AK245" i="10" s="1"/>
  <c r="AJ239" i="10"/>
  <c r="AK239" i="10" s="1"/>
  <c r="AJ231" i="10"/>
  <c r="AK231" i="10" s="1"/>
  <c r="AJ130" i="10"/>
  <c r="AK130" i="10" s="1"/>
  <c r="AJ115" i="10"/>
  <c r="AK115" i="10" s="1"/>
  <c r="AJ12" i="10"/>
  <c r="AK12" i="10" s="1"/>
  <c r="AJ137" i="10"/>
  <c r="AK137" i="10" s="1"/>
  <c r="AJ16" i="10"/>
  <c r="AK16" i="10" s="1"/>
  <c r="AJ180" i="10"/>
  <c r="AK180" i="10" s="1"/>
  <c r="AJ171" i="10"/>
  <c r="AK171" i="10" s="1"/>
  <c r="AJ151" i="10"/>
  <c r="AK151" i="10" s="1"/>
  <c r="AJ146" i="10"/>
  <c r="AK146" i="10" s="1"/>
  <c r="AJ67" i="10"/>
  <c r="AK67" i="10" s="1"/>
  <c r="AJ56" i="10"/>
  <c r="AK56" i="10" s="1"/>
  <c r="AJ42" i="10"/>
  <c r="AK42" i="10" s="1"/>
  <c r="AJ37" i="10"/>
  <c r="AK37" i="10" s="1"/>
  <c r="AJ19" i="10"/>
  <c r="AK19" i="10" s="1"/>
  <c r="AJ360" i="10"/>
  <c r="AK360" i="10" s="1"/>
  <c r="AJ268" i="10"/>
  <c r="AK268" i="10" s="1"/>
  <c r="AJ197" i="10"/>
  <c r="AK197" i="10" s="1"/>
  <c r="AJ132" i="10"/>
  <c r="AK132" i="10" s="1"/>
  <c r="AJ81" i="10"/>
  <c r="AK81" i="10" s="1"/>
  <c r="AJ31" i="10"/>
  <c r="AK31" i="10" s="1"/>
  <c r="AJ64" i="10"/>
  <c r="AK64" i="10" s="1"/>
  <c r="AJ303" i="10"/>
  <c r="AK303" i="10" s="1"/>
  <c r="AJ167" i="10"/>
  <c r="AK167" i="10" s="1"/>
  <c r="AJ32" i="10"/>
  <c r="AK32" i="10" s="1"/>
  <c r="AJ294" i="10"/>
  <c r="AK294" i="10" s="1"/>
  <c r="AJ270" i="10"/>
  <c r="AK270" i="10" s="1"/>
  <c r="AJ331" i="10"/>
  <c r="AK331" i="10" s="1"/>
  <c r="AJ301" i="10"/>
  <c r="AK301" i="10" s="1"/>
  <c r="AJ77" i="10"/>
  <c r="AK77" i="10" s="1"/>
  <c r="AJ195" i="10"/>
  <c r="AK195" i="10" s="1"/>
  <c r="AJ121" i="10"/>
  <c r="AK121" i="10" s="1"/>
  <c r="AJ264" i="10"/>
  <c r="AK264" i="10" s="1"/>
  <c r="AJ244" i="10"/>
  <c r="AK244" i="10" s="1"/>
  <c r="AJ236" i="10"/>
  <c r="AK236" i="10" s="1"/>
  <c r="AJ230" i="10"/>
  <c r="AK230" i="10" s="1"/>
  <c r="AJ129" i="10"/>
  <c r="AK129" i="10" s="1"/>
  <c r="AJ112" i="10"/>
  <c r="AK112" i="10" s="1"/>
  <c r="AJ11" i="10"/>
  <c r="AK11" i="10" s="1"/>
  <c r="AJ136" i="10"/>
  <c r="AK136" i="10" s="1"/>
  <c r="AJ7" i="10"/>
  <c r="AK7" i="10" s="1"/>
  <c r="AJ174" i="10"/>
  <c r="AK174" i="10" s="1"/>
  <c r="AJ170" i="10"/>
  <c r="AK170" i="10" s="1"/>
  <c r="AJ150" i="10"/>
  <c r="AK150" i="10" s="1"/>
  <c r="AJ145" i="10"/>
  <c r="AK145" i="10" s="1"/>
  <c r="AJ60" i="10"/>
  <c r="AK60" i="10" s="1"/>
  <c r="AJ55" i="10"/>
  <c r="AK55" i="10" s="1"/>
  <c r="AJ41" i="10"/>
  <c r="AK41" i="10" s="1"/>
  <c r="AJ9" i="10"/>
  <c r="AK9" i="10" s="1"/>
  <c r="AJ25" i="10"/>
  <c r="AK25" i="10" s="1"/>
  <c r="AJ207" i="10"/>
  <c r="AK207" i="10" s="1"/>
  <c r="AJ258" i="10"/>
  <c r="AK258" i="10" s="1"/>
  <c r="AJ193" i="10"/>
  <c r="AK193" i="10" s="1"/>
  <c r="AJ108" i="10"/>
  <c r="AK108" i="10" s="1"/>
  <c r="AJ47" i="10"/>
  <c r="AK47" i="10" s="1"/>
  <c r="AJ218" i="10"/>
  <c r="AK218" i="10" s="1"/>
  <c r="AJ30" i="10"/>
  <c r="AK30" i="10" s="1"/>
  <c r="AJ296" i="10"/>
  <c r="AK296" i="10" s="1"/>
  <c r="AJ238" i="10"/>
  <c r="AK238" i="10" s="1"/>
  <c r="AJ120" i="10"/>
  <c r="AK120" i="10" s="1"/>
  <c r="AJ76" i="10"/>
  <c r="AK76" i="10" s="1"/>
  <c r="AJ282" i="10"/>
  <c r="AK282" i="10" s="1"/>
  <c r="AJ317" i="10"/>
  <c r="AK317" i="10" s="1"/>
  <c r="AJ277" i="10"/>
  <c r="AK277" i="10" s="1"/>
  <c r="AJ73" i="10"/>
  <c r="AK73" i="10" s="1"/>
  <c r="AJ219" i="10"/>
  <c r="AK219" i="10" s="1"/>
  <c r="AJ168" i="10"/>
  <c r="AK168" i="10" s="1"/>
  <c r="AJ106" i="10"/>
  <c r="AK106" i="10" s="1"/>
  <c r="AJ260" i="10"/>
  <c r="AK260" i="10" s="1"/>
  <c r="AJ243" i="10"/>
  <c r="AK243" i="10" s="1"/>
  <c r="AJ235" i="10"/>
  <c r="AK235" i="10" s="1"/>
  <c r="AJ205" i="10"/>
  <c r="AK205" i="10" s="1"/>
  <c r="AJ128" i="10"/>
  <c r="AK128" i="10" s="1"/>
  <c r="AJ101" i="10"/>
  <c r="AK101" i="10" s="1"/>
  <c r="AJ10" i="10"/>
  <c r="AK10" i="10" s="1"/>
  <c r="AJ135" i="10"/>
  <c r="AK135" i="10" s="1"/>
  <c r="AJ185" i="10"/>
  <c r="AK185" i="10" s="1"/>
  <c r="AJ173" i="10"/>
  <c r="AK173" i="10" s="1"/>
  <c r="AJ169" i="10"/>
  <c r="AK169" i="10" s="1"/>
  <c r="AJ149" i="10"/>
  <c r="AK149" i="10" s="1"/>
  <c r="AJ88" i="10"/>
  <c r="AK88" i="10" s="1"/>
  <c r="AJ59" i="10"/>
  <c r="AK59" i="10" s="1"/>
  <c r="AJ54" i="10"/>
  <c r="AK54" i="10" s="1"/>
  <c r="AJ39" i="10"/>
  <c r="AK39" i="10" s="1"/>
  <c r="AJ13" i="10"/>
  <c r="AK13" i="10" s="1"/>
  <c r="AJ26" i="10"/>
  <c r="AK26" i="10" s="1"/>
  <c r="AJ196" i="10"/>
  <c r="AK196" i="10" s="1"/>
  <c r="AJ254" i="10"/>
  <c r="AK254" i="10" s="1"/>
  <c r="AJ166" i="10"/>
  <c r="AK166" i="10" s="1"/>
  <c r="AJ104" i="10"/>
  <c r="AK104" i="10" s="1"/>
  <c r="AJ43" i="10"/>
  <c r="AK43" i="10" s="1"/>
  <c r="AJ163" i="10"/>
  <c r="AK163" i="10" s="1"/>
  <c r="AJ358" i="10"/>
  <c r="AK358" i="10" s="1"/>
  <c r="AJ275" i="10"/>
  <c r="AK275" i="10" s="1"/>
  <c r="AJ222" i="10"/>
  <c r="AK222" i="10" s="1"/>
  <c r="AJ116" i="10"/>
  <c r="AK116" i="10" s="1"/>
  <c r="AJ325" i="10"/>
  <c r="AK325" i="10" s="1"/>
  <c r="AJ276" i="10"/>
  <c r="AK276" i="10" s="1"/>
  <c r="AJ256" i="10"/>
  <c r="AK256" i="10" s="1"/>
  <c r="AJ313" i="10"/>
  <c r="AK313" i="10" s="1"/>
  <c r="AJ257" i="10"/>
  <c r="AK257" i="10" s="1"/>
  <c r="AJ34" i="10"/>
  <c r="AK34" i="10" s="1"/>
  <c r="AJ210" i="10"/>
  <c r="AK210" i="10" s="1"/>
  <c r="AJ164" i="10"/>
  <c r="AK164" i="10" s="1"/>
  <c r="AJ45" i="10"/>
  <c r="AK45" i="10" s="1"/>
  <c r="AJ28" i="10"/>
  <c r="AK28" i="10" s="1"/>
  <c r="AJ17" i="10"/>
  <c r="AK17" i="10" s="1"/>
  <c r="AJ362" i="10"/>
  <c r="AK362" i="10" s="1"/>
  <c r="AJ351" i="10"/>
  <c r="AK351" i="10" s="1"/>
  <c r="AJ340" i="10"/>
  <c r="AK340" i="10" s="1"/>
  <c r="AJ330" i="10"/>
  <c r="AK330" i="10" s="1"/>
  <c r="AJ290" i="10"/>
  <c r="AK290" i="10" s="1"/>
  <c r="AJ274" i="10"/>
  <c r="AK274" i="10" s="1"/>
  <c r="AJ251" i="10"/>
  <c r="AK251" i="10" s="1"/>
  <c r="AJ240" i="10"/>
  <c r="AK240" i="10" s="1"/>
  <c r="AJ234" i="10"/>
  <c r="AK234" i="10" s="1"/>
  <c r="AJ204" i="10"/>
  <c r="AK204" i="10" s="1"/>
  <c r="AJ119" i="10"/>
  <c r="AK119" i="10" s="1"/>
  <c r="AJ99" i="10"/>
  <c r="AK99" i="10" s="1"/>
  <c r="AJ8" i="10"/>
  <c r="AK8" i="10" s="1"/>
  <c r="AJ22" i="10"/>
  <c r="AK22" i="10" s="1"/>
  <c r="AJ184" i="10"/>
  <c r="AK184" i="10" s="1"/>
  <c r="AJ172" i="10"/>
  <c r="AK172" i="10" s="1"/>
  <c r="AJ155" i="10"/>
  <c r="AK155" i="10" s="1"/>
  <c r="AJ147" i="10"/>
  <c r="AK147" i="10" s="1"/>
  <c r="AJ71" i="10"/>
  <c r="AK71" i="10" s="1"/>
  <c r="AJ58" i="10"/>
  <c r="AK58" i="10" s="1"/>
  <c r="AJ50" i="10"/>
  <c r="AK50" i="10" s="1"/>
  <c r="AJ38" i="10"/>
  <c r="AK38" i="10" s="1"/>
  <c r="AJ14" i="10"/>
  <c r="AK14" i="10" s="1"/>
  <c r="AJ357" i="10"/>
  <c r="AK357" i="10" s="1"/>
  <c r="AJ237" i="10"/>
  <c r="AK237" i="10" s="1"/>
  <c r="AL235" i="10" s="1"/>
  <c r="AM235" i="10" s="1"/>
  <c r="AJ141" i="10"/>
  <c r="AK141" i="10" s="1"/>
  <c r="AJ89" i="10"/>
  <c r="AK89" i="10" s="1"/>
  <c r="AJ35" i="10"/>
  <c r="AK35" i="10" s="1"/>
  <c r="AJ36" i="10"/>
  <c r="AK36" i="10" s="1"/>
  <c r="AJ342" i="10"/>
  <c r="AK342" i="10" s="1"/>
  <c r="AJ269" i="10"/>
  <c r="AK269" i="10" s="1"/>
  <c r="AJ179" i="10"/>
  <c r="AK179" i="10" s="1"/>
  <c r="AJ75" i="10"/>
  <c r="AK75" i="10" s="1"/>
  <c r="AJ320" i="10"/>
  <c r="AK320" i="10" s="1"/>
  <c r="AJ272" i="10"/>
  <c r="AK272" i="10" s="1"/>
  <c r="AJ356" i="10"/>
  <c r="AK356" i="10" s="1"/>
  <c r="AJ305" i="10"/>
  <c r="AK305" i="10" s="1"/>
  <c r="AJ253" i="10"/>
  <c r="AK253" i="10" s="1"/>
  <c r="AJ24" i="10"/>
  <c r="AK24" i="10" s="1"/>
  <c r="AJ206" i="10"/>
  <c r="AK206" i="10" s="1"/>
  <c r="AJ148" i="10"/>
  <c r="AK148" i="10" s="1"/>
  <c r="AE43" i="6"/>
  <c r="BI43" i="6"/>
  <c r="BI16" i="6"/>
  <c r="AE16" i="6"/>
  <c r="BI59" i="6"/>
  <c r="AE59" i="6"/>
  <c r="BI46" i="6"/>
  <c r="AE46" i="6"/>
  <c r="BI39" i="6"/>
  <c r="BI30" i="6"/>
  <c r="AE30" i="6"/>
  <c r="BI23" i="6"/>
  <c r="AE23" i="6"/>
  <c r="BI19" i="6"/>
  <c r="AE19" i="6"/>
  <c r="AE14" i="6"/>
  <c r="BI10" i="6"/>
  <c r="AE10" i="6"/>
  <c r="AE49" i="6"/>
  <c r="AE27" i="6"/>
  <c r="BI27" i="6"/>
  <c r="AE7" i="6"/>
  <c r="BI7" i="6"/>
  <c r="AX44" i="6"/>
  <c r="AY44" i="6" s="1"/>
  <c r="BB44" i="6" s="1"/>
  <c r="BC44" i="6" s="1"/>
  <c r="AX28" i="6"/>
  <c r="AY28" i="6" s="1"/>
  <c r="BB28" i="6" s="1"/>
  <c r="BC28" i="6" s="1"/>
  <c r="AX26" i="6"/>
  <c r="AY26" i="6" s="1"/>
  <c r="BB26" i="6" s="1"/>
  <c r="BC26" i="6" s="1"/>
  <c r="AX22" i="6"/>
  <c r="AY22" i="6" s="1"/>
  <c r="BB22" i="6" s="1"/>
  <c r="BC22" i="6" s="1"/>
  <c r="AX17" i="6"/>
  <c r="AY17" i="6" s="1"/>
  <c r="BB17" i="6" s="1"/>
  <c r="BC17" i="6" s="1"/>
  <c r="AX13" i="6"/>
  <c r="AY13" i="6" s="1"/>
  <c r="BB13" i="6" s="1"/>
  <c r="BC13" i="6" s="1"/>
  <c r="AX59" i="6"/>
  <c r="AY59" i="6" s="1"/>
  <c r="BB59" i="6" s="1"/>
  <c r="BC59" i="6" s="1"/>
  <c r="AX46" i="6"/>
  <c r="AY46" i="6" s="1"/>
  <c r="BB46" i="6" s="1"/>
  <c r="BC46" i="6" s="1"/>
  <c r="AX45" i="6"/>
  <c r="AY45" i="6" s="1"/>
  <c r="BB45" i="6" s="1"/>
  <c r="BC45" i="6" s="1"/>
  <c r="AX30" i="6"/>
  <c r="AY30" i="6" s="1"/>
  <c r="BB30" i="6" s="1"/>
  <c r="BC30" i="6" s="1"/>
  <c r="AX29" i="6"/>
  <c r="AY29" i="6" s="1"/>
  <c r="BB29" i="6" s="1"/>
  <c r="BC29" i="6" s="1"/>
  <c r="AX23" i="6"/>
  <c r="AY23" i="6" s="1"/>
  <c r="BB23" i="6" s="1"/>
  <c r="BC23" i="6" s="1"/>
  <c r="AX19" i="6"/>
  <c r="AY19" i="6" s="1"/>
  <c r="BB19" i="6" s="1"/>
  <c r="BC19" i="6" s="1"/>
  <c r="AY18" i="6"/>
  <c r="BB18" i="6" s="1"/>
  <c r="BC18" i="6" s="1"/>
  <c r="AX14" i="6"/>
  <c r="AY14" i="6" s="1"/>
  <c r="BB14" i="6" s="1"/>
  <c r="BC14" i="6" s="1"/>
  <c r="BB21" i="6"/>
  <c r="BC21" i="6" s="1"/>
  <c r="BB16" i="6"/>
  <c r="BC16" i="6" s="1"/>
  <c r="AE12" i="6" l="1"/>
  <c r="BI12" i="6"/>
  <c r="BA199" i="12"/>
  <c r="BB199" i="12" s="1"/>
  <c r="AL43" i="10"/>
  <c r="AM43" i="10" s="1"/>
  <c r="AL271" i="10"/>
  <c r="AM271" i="10" s="1"/>
  <c r="AL223" i="10"/>
  <c r="AM223" i="10" s="1"/>
  <c r="AL157" i="10"/>
  <c r="AM157" i="10" s="1"/>
  <c r="AL97" i="10"/>
  <c r="AM97" i="10" s="1"/>
  <c r="AN97" i="10" s="1"/>
  <c r="AL337" i="10"/>
  <c r="AM337" i="10" s="1"/>
  <c r="AL349" i="10"/>
  <c r="AM349" i="10" s="1"/>
  <c r="AL211" i="10"/>
  <c r="AM211" i="10" s="1"/>
  <c r="AL133" i="10"/>
  <c r="AM133" i="10" s="1"/>
  <c r="AN135" i="10" s="1"/>
  <c r="AP135" i="10" s="1"/>
  <c r="AL175" i="10"/>
  <c r="AM175" i="10" s="1"/>
  <c r="AL247" i="10"/>
  <c r="AM247" i="10" s="1"/>
  <c r="AL313" i="10"/>
  <c r="AM313" i="10" s="1"/>
  <c r="AL115" i="10"/>
  <c r="AM115" i="10" s="1"/>
  <c r="AN120" i="10" s="1"/>
  <c r="AP120" i="10" s="1"/>
  <c r="AL205" i="10"/>
  <c r="AM205" i="10" s="1"/>
  <c r="AL277" i="10"/>
  <c r="AM277" i="10" s="1"/>
  <c r="AL121" i="10"/>
  <c r="AM121" i="10" s="1"/>
  <c r="AL331" i="10"/>
  <c r="AM331" i="10" s="1"/>
  <c r="AN336" i="10" s="1"/>
  <c r="AP336" i="10" s="1"/>
  <c r="AL79" i="10"/>
  <c r="AM79" i="10" s="1"/>
  <c r="AL145" i="10"/>
  <c r="AM145" i="10" s="1"/>
  <c r="AL361" i="10"/>
  <c r="AM361" i="10" s="1"/>
  <c r="AL289" i="10"/>
  <c r="AM289" i="10" s="1"/>
  <c r="AN291" i="10" s="1"/>
  <c r="AP291" i="10" s="1"/>
  <c r="AL13" i="10"/>
  <c r="AM13" i="10" s="1"/>
  <c r="AL193" i="10"/>
  <c r="AM193" i="10" s="1"/>
  <c r="AL127" i="10"/>
  <c r="AM127" i="10" s="1"/>
  <c r="AL181" i="10"/>
  <c r="AM181" i="10" s="1"/>
  <c r="AN183" i="10" s="1"/>
  <c r="AP183" i="10" s="1"/>
  <c r="AL283" i="10"/>
  <c r="AM283" i="10" s="1"/>
  <c r="AL187" i="10"/>
  <c r="AM187" i="10" s="1"/>
  <c r="AL139" i="10"/>
  <c r="AM139" i="10" s="1"/>
  <c r="AL319" i="10"/>
  <c r="AM319" i="10" s="1"/>
  <c r="AN324" i="10" s="1"/>
  <c r="AP324" i="10" s="1"/>
  <c r="AL343" i="10"/>
  <c r="AM343" i="10" s="1"/>
  <c r="AL151" i="10"/>
  <c r="AM151" i="10" s="1"/>
  <c r="AL325" i="10"/>
  <c r="AM325" i="10" s="1"/>
  <c r="AL109" i="10"/>
  <c r="AM109" i="10" s="1"/>
  <c r="AN109" i="10" s="1"/>
  <c r="AL85" i="10"/>
  <c r="AM85" i="10" s="1"/>
  <c r="AL49" i="10"/>
  <c r="AM49" i="10" s="1"/>
  <c r="AL7" i="10"/>
  <c r="AM7" i="10" s="1"/>
  <c r="AO9" i="10" s="1"/>
  <c r="AQ9" i="10" s="1"/>
  <c r="AL163" i="10"/>
  <c r="AM163" i="10" s="1"/>
  <c r="AN163" i="10" s="1"/>
  <c r="AL55" i="10"/>
  <c r="AM55" i="10" s="1"/>
  <c r="AL169" i="10"/>
  <c r="AM169" i="10" s="1"/>
  <c r="AL217" i="10"/>
  <c r="AM217" i="10" s="1"/>
  <c r="AL67" i="10"/>
  <c r="AM67" i="10" s="1"/>
  <c r="AN72" i="10" s="1"/>
  <c r="AP72" i="10" s="1"/>
  <c r="AL355" i="10"/>
  <c r="AM355" i="10" s="1"/>
  <c r="AL241" i="10"/>
  <c r="AM241" i="10" s="1"/>
  <c r="AL259" i="10"/>
  <c r="AM259" i="10" s="1"/>
  <c r="AL199" i="10"/>
  <c r="AM199" i="10" s="1"/>
  <c r="AN200" i="10" s="1"/>
  <c r="AP200" i="10" s="1"/>
  <c r="AL103" i="10"/>
  <c r="AM103" i="10" s="1"/>
  <c r="AL295" i="10"/>
  <c r="AM295" i="10" s="1"/>
  <c r="AL25" i="10"/>
  <c r="AM25" i="10" s="1"/>
  <c r="AL37" i="10"/>
  <c r="AM37" i="10" s="1"/>
  <c r="AN42" i="10" s="1"/>
  <c r="AP42" i="10" s="1"/>
  <c r="AL73" i="10"/>
  <c r="AM73" i="10" s="1"/>
  <c r="AL19" i="10"/>
  <c r="AM19" i="10" s="1"/>
  <c r="AL61" i="10"/>
  <c r="AM61" i="10" s="1"/>
  <c r="AL229" i="10"/>
  <c r="AM229" i="10" s="1"/>
  <c r="AN233" i="10" s="1"/>
  <c r="AP233" i="10" s="1"/>
  <c r="AL265" i="10"/>
  <c r="AM265" i="10" s="1"/>
  <c r="AL91" i="10"/>
  <c r="AM91" i="10" s="1"/>
  <c r="AN96" i="10" s="1"/>
  <c r="AP96" i="10" s="1"/>
  <c r="AL31" i="10"/>
  <c r="AM31" i="10" s="1"/>
  <c r="AN31" i="10" s="1"/>
  <c r="BD14" i="6"/>
  <c r="BE14" i="6" s="1"/>
  <c r="BF14" i="6" s="1"/>
  <c r="BG14" i="6" s="1"/>
  <c r="BH14" i="6" s="1"/>
  <c r="BJ14" i="6" s="1"/>
  <c r="BK14" i="6" s="1"/>
  <c r="AL301" i="10"/>
  <c r="AM301" i="10" s="1"/>
  <c r="BA7" i="12"/>
  <c r="BB7" i="12" s="1"/>
  <c r="BA181" i="12"/>
  <c r="BB181" i="12" s="1"/>
  <c r="BA325" i="12"/>
  <c r="BB325" i="12" s="1"/>
  <c r="BD330" i="12" s="1"/>
  <c r="BF330" i="12" s="1"/>
  <c r="BA307" i="12"/>
  <c r="BB307" i="12" s="1"/>
  <c r="BA97" i="12"/>
  <c r="BB97" i="12" s="1"/>
  <c r="BC101" i="12" s="1"/>
  <c r="BE101" i="12" s="1"/>
  <c r="BA13" i="12"/>
  <c r="BB13" i="12" s="1"/>
  <c r="BD18" i="12" s="1"/>
  <c r="BF18" i="12" s="1"/>
  <c r="BA205" i="12"/>
  <c r="BB205" i="12" s="1"/>
  <c r="BD209" i="12" s="1"/>
  <c r="BF209" i="12" s="1"/>
  <c r="BA127" i="12"/>
  <c r="BB127" i="12" s="1"/>
  <c r="BA301" i="12"/>
  <c r="BB301" i="12" s="1"/>
  <c r="BA223" i="12"/>
  <c r="BB223" i="12" s="1"/>
  <c r="BA163" i="12"/>
  <c r="BB163" i="12" s="1"/>
  <c r="BC165" i="12" s="1"/>
  <c r="BE165" i="12" s="1"/>
  <c r="BA31" i="12"/>
  <c r="BB31" i="12" s="1"/>
  <c r="AN92" i="10"/>
  <c r="AN94" i="10"/>
  <c r="AP94" i="10" s="1"/>
  <c r="AN33" i="10"/>
  <c r="AP33" i="10" s="1"/>
  <c r="BC7" i="12"/>
  <c r="BE7" i="12" s="1"/>
  <c r="BD9" i="12"/>
  <c r="BF9" i="12" s="1"/>
  <c r="BD10" i="12"/>
  <c r="BF10" i="12" s="1"/>
  <c r="BC8" i="12"/>
  <c r="BE8" i="12" s="1"/>
  <c r="BD12" i="12"/>
  <c r="BF12" i="12" s="1"/>
  <c r="BD7" i="12"/>
  <c r="BF7" i="12" s="1"/>
  <c r="BC10" i="12"/>
  <c r="BE10" i="12" s="1"/>
  <c r="BC11" i="12"/>
  <c r="BE11" i="12" s="1"/>
  <c r="BD8" i="12"/>
  <c r="BF8" i="12" s="1"/>
  <c r="BC9" i="12"/>
  <c r="BE9" i="12" s="1"/>
  <c r="BD11" i="12"/>
  <c r="BF11" i="12" s="1"/>
  <c r="BC12" i="12"/>
  <c r="BE12" i="12" s="1"/>
  <c r="BC182" i="12"/>
  <c r="BE182" i="12" s="1"/>
  <c r="BC312" i="12"/>
  <c r="BE312" i="12" s="1"/>
  <c r="BD99" i="12"/>
  <c r="BF99" i="12" s="1"/>
  <c r="BD98" i="12"/>
  <c r="BF98" i="12" s="1"/>
  <c r="BD102" i="12"/>
  <c r="BF102" i="12" s="1"/>
  <c r="BC100" i="12"/>
  <c r="BE100" i="12" s="1"/>
  <c r="BC98" i="12"/>
  <c r="BE98" i="12" s="1"/>
  <c r="BC14" i="12"/>
  <c r="BE14" i="12" s="1"/>
  <c r="BD14" i="12"/>
  <c r="BF14" i="12" s="1"/>
  <c r="BA121" i="12"/>
  <c r="BB121" i="12" s="1"/>
  <c r="BC210" i="12"/>
  <c r="BE210" i="12" s="1"/>
  <c r="BC129" i="12"/>
  <c r="BE129" i="12" s="1"/>
  <c r="BA103" i="12"/>
  <c r="BB103" i="12" s="1"/>
  <c r="BD304" i="12"/>
  <c r="BF304" i="12" s="1"/>
  <c r="BD306" i="12"/>
  <c r="BF306" i="12" s="1"/>
  <c r="BD305" i="12"/>
  <c r="BF305" i="12" s="1"/>
  <c r="BC302" i="12"/>
  <c r="BE302" i="12" s="1"/>
  <c r="BC305" i="12"/>
  <c r="BE305" i="12" s="1"/>
  <c r="BC301" i="12"/>
  <c r="BE301" i="12" s="1"/>
  <c r="BG301" i="12" s="1"/>
  <c r="BD302" i="12"/>
  <c r="BF302" i="12" s="1"/>
  <c r="BC304" i="12"/>
  <c r="BE304" i="12" s="1"/>
  <c r="BD301" i="12"/>
  <c r="BF301" i="12" s="1"/>
  <c r="BH301" i="12" s="1"/>
  <c r="BD303" i="12"/>
  <c r="BF303" i="12" s="1"/>
  <c r="BC303" i="12"/>
  <c r="BE303" i="12" s="1"/>
  <c r="BC306" i="12"/>
  <c r="BE306" i="12" s="1"/>
  <c r="BC223" i="12"/>
  <c r="BE223" i="12" s="1"/>
  <c r="BG223" i="12" s="1"/>
  <c r="BA295" i="12"/>
  <c r="BB295" i="12" s="1"/>
  <c r="BA25" i="12"/>
  <c r="BB25" i="12" s="1"/>
  <c r="BA229" i="12"/>
  <c r="BB229" i="12" s="1"/>
  <c r="BA145" i="12"/>
  <c r="BB145" i="12" s="1"/>
  <c r="BA331" i="12"/>
  <c r="BB331" i="12" s="1"/>
  <c r="BA133" i="12"/>
  <c r="BB133" i="12" s="1"/>
  <c r="BC32" i="12"/>
  <c r="BE32" i="12" s="1"/>
  <c r="BA157" i="12"/>
  <c r="BB157" i="12" s="1"/>
  <c r="BA253" i="12"/>
  <c r="BB253" i="12" s="1"/>
  <c r="BA217" i="12"/>
  <c r="BB217" i="12" s="1"/>
  <c r="BA115" i="12"/>
  <c r="BB115" i="12" s="1"/>
  <c r="BA289" i="12"/>
  <c r="BB289" i="12" s="1"/>
  <c r="BA343" i="12"/>
  <c r="BB343" i="12" s="1"/>
  <c r="AL253" i="10"/>
  <c r="AM253" i="10" s="1"/>
  <c r="BA151" i="12"/>
  <c r="BB151" i="12" s="1"/>
  <c r="BA283" i="12"/>
  <c r="BB283" i="12" s="1"/>
  <c r="BA139" i="12"/>
  <c r="BB139" i="12" s="1"/>
  <c r="BA271" i="12"/>
  <c r="BB271" i="12" s="1"/>
  <c r="BA193" i="12"/>
  <c r="BB193" i="12" s="1"/>
  <c r="BA37" i="12"/>
  <c r="BB37" i="12" s="1"/>
  <c r="BA313" i="12"/>
  <c r="BB313" i="12" s="1"/>
  <c r="BA211" i="12"/>
  <c r="BB211" i="12" s="1"/>
  <c r="BA241" i="12"/>
  <c r="BB241" i="12" s="1"/>
  <c r="BA277" i="12"/>
  <c r="BB277" i="12" s="1"/>
  <c r="BA187" i="12"/>
  <c r="BB187" i="12" s="1"/>
  <c r="BA349" i="12"/>
  <c r="BB349" i="12" s="1"/>
  <c r="BA79" i="12"/>
  <c r="BB79" i="12" s="1"/>
  <c r="BA337" i="12"/>
  <c r="BB337" i="12" s="1"/>
  <c r="BA43" i="12"/>
  <c r="BB43" i="12" s="1"/>
  <c r="BA67" i="12"/>
  <c r="BB67" i="12" s="1"/>
  <c r="BA169" i="12"/>
  <c r="BB169" i="12" s="1"/>
  <c r="BA235" i="12"/>
  <c r="BB235" i="12" s="1"/>
  <c r="BA361" i="12"/>
  <c r="BB361" i="12" s="1"/>
  <c r="BA91" i="12"/>
  <c r="BB91" i="12" s="1"/>
  <c r="BA259" i="12"/>
  <c r="BB259" i="12" s="1"/>
  <c r="BA265" i="12"/>
  <c r="BB265" i="12" s="1"/>
  <c r="BA175" i="12"/>
  <c r="BB175" i="12" s="1"/>
  <c r="BD203" i="12"/>
  <c r="BF203" i="12" s="1"/>
  <c r="BD201" i="12"/>
  <c r="BF201" i="12" s="1"/>
  <c r="BC200" i="12"/>
  <c r="BE200" i="12" s="1"/>
  <c r="BC202" i="12"/>
  <c r="BE202" i="12" s="1"/>
  <c r="BC204" i="12"/>
  <c r="BE204" i="12" s="1"/>
  <c r="BD204" i="12"/>
  <c r="BF204" i="12" s="1"/>
  <c r="BC203" i="12"/>
  <c r="BE203" i="12" s="1"/>
  <c r="BC199" i="12"/>
  <c r="BE199" i="12" s="1"/>
  <c r="BG199" i="12" s="1"/>
  <c r="BD199" i="12"/>
  <c r="BF199" i="12" s="1"/>
  <c r="BH199" i="12" s="1"/>
  <c r="BD202" i="12"/>
  <c r="BF202" i="12" s="1"/>
  <c r="BC201" i="12"/>
  <c r="BE201" i="12" s="1"/>
  <c r="BD200" i="12"/>
  <c r="BF200" i="12" s="1"/>
  <c r="BA49" i="12"/>
  <c r="BB49" i="12" s="1"/>
  <c r="BA247" i="12"/>
  <c r="BB247" i="12" s="1"/>
  <c r="BA319" i="12"/>
  <c r="BB319" i="12" s="1"/>
  <c r="BA73" i="12"/>
  <c r="BB73" i="12" s="1"/>
  <c r="BA55" i="12"/>
  <c r="BB55" i="12" s="1"/>
  <c r="BA61" i="12"/>
  <c r="BB61" i="12" s="1"/>
  <c r="BA109" i="12"/>
  <c r="BB109" i="12" s="1"/>
  <c r="BA355" i="12"/>
  <c r="BB355" i="12" s="1"/>
  <c r="BA19" i="12"/>
  <c r="BB19" i="12" s="1"/>
  <c r="BA85" i="12"/>
  <c r="BB85" i="12" s="1"/>
  <c r="AN309" i="10"/>
  <c r="AP309" i="10" s="1"/>
  <c r="AN312" i="10"/>
  <c r="AN308" i="10"/>
  <c r="AP308" i="10" s="1"/>
  <c r="AN311" i="10"/>
  <c r="AP311" i="10" s="1"/>
  <c r="AN307" i="10"/>
  <c r="AP307" i="10" s="1"/>
  <c r="AN310" i="10"/>
  <c r="AN249" i="10"/>
  <c r="AP249" i="10" s="1"/>
  <c r="AN252" i="10"/>
  <c r="AP252" i="10" s="1"/>
  <c r="AN248" i="10"/>
  <c r="AP248" i="10" s="1"/>
  <c r="AN251" i="10"/>
  <c r="AP251" i="10" s="1"/>
  <c r="AN247" i="10"/>
  <c r="AN250" i="10"/>
  <c r="AP250" i="10" s="1"/>
  <c r="AN213" i="10"/>
  <c r="AP213" i="10" s="1"/>
  <c r="AN212" i="10"/>
  <c r="AP212" i="10" s="1"/>
  <c r="AN211" i="10"/>
  <c r="AP211" i="10" s="1"/>
  <c r="AN149" i="10"/>
  <c r="AP149" i="10" s="1"/>
  <c r="AN145" i="10"/>
  <c r="AN148" i="10"/>
  <c r="AP148" i="10" s="1"/>
  <c r="AN147" i="10"/>
  <c r="AP147" i="10" s="1"/>
  <c r="AN150" i="10"/>
  <c r="AP150" i="10" s="1"/>
  <c r="AN146" i="10"/>
  <c r="AP146" i="10" s="1"/>
  <c r="AN177" i="10"/>
  <c r="AP177" i="10" s="1"/>
  <c r="AN176" i="10"/>
  <c r="AP176" i="10" s="1"/>
  <c r="AN175" i="10"/>
  <c r="AN353" i="10"/>
  <c r="AP353" i="10" s="1"/>
  <c r="AN349" i="10"/>
  <c r="AP349" i="10" s="1"/>
  <c r="AR349" i="10" s="1"/>
  <c r="AN352" i="10"/>
  <c r="AP352" i="10" s="1"/>
  <c r="AN351" i="10"/>
  <c r="AP351" i="10" s="1"/>
  <c r="AN354" i="10"/>
  <c r="AP354" i="10" s="1"/>
  <c r="AN350" i="10"/>
  <c r="AP350" i="10" s="1"/>
  <c r="AN225" i="10"/>
  <c r="AP225" i="10" s="1"/>
  <c r="AN228" i="10"/>
  <c r="AP228" i="10" s="1"/>
  <c r="AN224" i="10"/>
  <c r="AP224" i="10" s="1"/>
  <c r="AN227" i="10"/>
  <c r="AP227" i="10" s="1"/>
  <c r="AN223" i="10"/>
  <c r="AN226" i="10"/>
  <c r="AP226" i="10" s="1"/>
  <c r="AN46" i="10"/>
  <c r="AP46" i="10" s="1"/>
  <c r="AN47" i="10"/>
  <c r="AP47" i="10" s="1"/>
  <c r="AN45" i="10"/>
  <c r="AP45" i="10" s="1"/>
  <c r="AN48" i="10"/>
  <c r="AP48" i="10" s="1"/>
  <c r="AN44" i="10"/>
  <c r="AP44" i="10" s="1"/>
  <c r="AN43" i="10"/>
  <c r="AN102" i="10"/>
  <c r="AP102" i="10" s="1"/>
  <c r="AN61" i="10"/>
  <c r="AN64" i="10"/>
  <c r="AP64" i="10" s="1"/>
  <c r="AN62" i="10"/>
  <c r="AN157" i="10"/>
  <c r="AN159" i="10"/>
  <c r="AN158" i="10"/>
  <c r="AP158" i="10" s="1"/>
  <c r="AN265" i="10"/>
  <c r="AN267" i="10"/>
  <c r="AP267" i="10" s="1"/>
  <c r="AN270" i="10"/>
  <c r="AN108" i="10"/>
  <c r="AP108" i="10" s="1"/>
  <c r="AN107" i="10"/>
  <c r="AP107" i="10" s="1"/>
  <c r="AN106" i="10"/>
  <c r="AP106" i="10" s="1"/>
  <c r="AN245" i="10"/>
  <c r="AP245" i="10" s="1"/>
  <c r="AN241" i="10"/>
  <c r="AP241" i="10" s="1"/>
  <c r="AN244" i="10"/>
  <c r="AP244" i="10" s="1"/>
  <c r="AN243" i="10"/>
  <c r="AP243" i="10" s="1"/>
  <c r="AN246" i="10"/>
  <c r="AP246" i="10" s="1"/>
  <c r="AN242" i="10"/>
  <c r="AN173" i="10"/>
  <c r="AN169" i="10"/>
  <c r="AN172" i="10"/>
  <c r="AP172" i="10" s="1"/>
  <c r="AN171" i="10"/>
  <c r="AP171" i="10" s="1"/>
  <c r="AN170" i="10"/>
  <c r="AP170" i="10" s="1"/>
  <c r="AN174" i="10"/>
  <c r="AP174" i="10" s="1"/>
  <c r="AN288" i="10"/>
  <c r="AN287" i="10"/>
  <c r="AP287" i="10" s="1"/>
  <c r="AN286" i="10"/>
  <c r="AP286" i="10" s="1"/>
  <c r="AN325" i="10"/>
  <c r="AP325" i="10" s="1"/>
  <c r="AN327" i="10"/>
  <c r="AP327" i="10" s="1"/>
  <c r="AN326" i="10"/>
  <c r="AP326" i="10" s="1"/>
  <c r="AN217" i="10"/>
  <c r="AN219" i="10"/>
  <c r="AP219" i="10" s="1"/>
  <c r="AN222" i="10"/>
  <c r="AN281" i="10"/>
  <c r="AP281" i="10" s="1"/>
  <c r="AN277" i="10"/>
  <c r="AN280" i="10"/>
  <c r="AP280" i="10" s="1"/>
  <c r="AN279" i="10"/>
  <c r="AP279" i="10" s="1"/>
  <c r="AN282" i="10"/>
  <c r="AP282" i="10" s="1"/>
  <c r="AN278" i="10"/>
  <c r="AP278" i="10" s="1"/>
  <c r="AN132" i="10"/>
  <c r="AP132" i="10" s="1"/>
  <c r="AN131" i="10"/>
  <c r="AP131" i="10" s="1"/>
  <c r="AN130" i="10"/>
  <c r="AP130" i="10" s="1"/>
  <c r="AO21" i="10"/>
  <c r="AQ21" i="10" s="1"/>
  <c r="AO24" i="10"/>
  <c r="AO20" i="10"/>
  <c r="AO23" i="10"/>
  <c r="AQ23" i="10" s="1"/>
  <c r="AO19" i="10"/>
  <c r="AQ19" i="10" s="1"/>
  <c r="AN22" i="10"/>
  <c r="AP22" i="10" s="1"/>
  <c r="AN21" i="10"/>
  <c r="AP21" i="10" s="1"/>
  <c r="AN23" i="10"/>
  <c r="AP23" i="10" s="1"/>
  <c r="AN24" i="10"/>
  <c r="AP24" i="10" s="1"/>
  <c r="AN20" i="10"/>
  <c r="AP20" i="10" s="1"/>
  <c r="AO22" i="10"/>
  <c r="AN19" i="10"/>
  <c r="AN73" i="10"/>
  <c r="AN75" i="10"/>
  <c r="AP75" i="10" s="1"/>
  <c r="AN78" i="10"/>
  <c r="AN360" i="10"/>
  <c r="AP360" i="10" s="1"/>
  <c r="AN359" i="10"/>
  <c r="AP359" i="10" s="1"/>
  <c r="AN358" i="10"/>
  <c r="AP358" i="10" s="1"/>
  <c r="AN189" i="10"/>
  <c r="AP189" i="10" s="1"/>
  <c r="AN192" i="10"/>
  <c r="AP192" i="10" s="1"/>
  <c r="AN188" i="10"/>
  <c r="AP188" i="10" s="1"/>
  <c r="AN191" i="10"/>
  <c r="AP191" i="10" s="1"/>
  <c r="AN187" i="10"/>
  <c r="AN190" i="10"/>
  <c r="AP190" i="10" s="1"/>
  <c r="AN313" i="10"/>
  <c r="AP313" i="10" s="1"/>
  <c r="AN315" i="10"/>
  <c r="AP315" i="10" s="1"/>
  <c r="AN318" i="10"/>
  <c r="AN84" i="10"/>
  <c r="AP84" i="10" s="1"/>
  <c r="AN83" i="10"/>
  <c r="AP83" i="10" s="1"/>
  <c r="AN82" i="10"/>
  <c r="AP82" i="10" s="1"/>
  <c r="AN348" i="10"/>
  <c r="AP348" i="10" s="1"/>
  <c r="AN347" i="10"/>
  <c r="AP347" i="10" s="1"/>
  <c r="AN346" i="10"/>
  <c r="AP346" i="10" s="1"/>
  <c r="AN121" i="10"/>
  <c r="AN123" i="10"/>
  <c r="AN126" i="10"/>
  <c r="AP126" i="10" s="1"/>
  <c r="AN85" i="10"/>
  <c r="AN87" i="10"/>
  <c r="AP87" i="10" s="1"/>
  <c r="AN86" i="10"/>
  <c r="AP86" i="10" s="1"/>
  <c r="AN337" i="10"/>
  <c r="AP337" i="10" s="1"/>
  <c r="AR337" i="10" s="1"/>
  <c r="AN339" i="10"/>
  <c r="AP339" i="10" s="1"/>
  <c r="AN338" i="10"/>
  <c r="AP338" i="10" s="1"/>
  <c r="AN153" i="10"/>
  <c r="AP153" i="10" s="1"/>
  <c r="AN156" i="10"/>
  <c r="AP156" i="10" s="1"/>
  <c r="AN152" i="10"/>
  <c r="AP152" i="10" s="1"/>
  <c r="AN155" i="10"/>
  <c r="AP155" i="10" s="1"/>
  <c r="AN151" i="10"/>
  <c r="AN154" i="10"/>
  <c r="AP154" i="10" s="1"/>
  <c r="AN113" i="10"/>
  <c r="AP113" i="10" s="1"/>
  <c r="AN273" i="10"/>
  <c r="AP273" i="10" s="1"/>
  <c r="AN276" i="10"/>
  <c r="AP276" i="10" s="1"/>
  <c r="AN272" i="10"/>
  <c r="AP272" i="10" s="1"/>
  <c r="AN275" i="10"/>
  <c r="AP275" i="10" s="1"/>
  <c r="AN271" i="10"/>
  <c r="AN274" i="10"/>
  <c r="AP274" i="10" s="1"/>
  <c r="AN141" i="10"/>
  <c r="AP141" i="10" s="1"/>
  <c r="AN140" i="10"/>
  <c r="AP140" i="10" s="1"/>
  <c r="AN139" i="10"/>
  <c r="AN297" i="10"/>
  <c r="AP297" i="10" s="1"/>
  <c r="AN300" i="10"/>
  <c r="AP300" i="10" s="1"/>
  <c r="AN296" i="10"/>
  <c r="AP296" i="10" s="1"/>
  <c r="AN299" i="10"/>
  <c r="AP299" i="10" s="1"/>
  <c r="AN295" i="10"/>
  <c r="AN298" i="10"/>
  <c r="AP298" i="10" s="1"/>
  <c r="AN209" i="10"/>
  <c r="AP209" i="10" s="1"/>
  <c r="AN208" i="10"/>
  <c r="AP208" i="10" s="1"/>
  <c r="AN210" i="10"/>
  <c r="AP210" i="10" s="1"/>
  <c r="AN197" i="10"/>
  <c r="AP197" i="10" s="1"/>
  <c r="AN193" i="10"/>
  <c r="AN196" i="10"/>
  <c r="AP196" i="10" s="1"/>
  <c r="AN195" i="10"/>
  <c r="AP195" i="10" s="1"/>
  <c r="AN198" i="10"/>
  <c r="AP198" i="10" s="1"/>
  <c r="AN194" i="10"/>
  <c r="AP194" i="10" s="1"/>
  <c r="AN237" i="10"/>
  <c r="AP237" i="10" s="1"/>
  <c r="AN240" i="10"/>
  <c r="AP240" i="10" s="1"/>
  <c r="AN236" i="10"/>
  <c r="AP236" i="10" s="1"/>
  <c r="AN239" i="10"/>
  <c r="AP239" i="10" s="1"/>
  <c r="AN235" i="10"/>
  <c r="AN238" i="10"/>
  <c r="AP238" i="10" s="1"/>
  <c r="AN58" i="10"/>
  <c r="AP58" i="10" s="1"/>
  <c r="AN57" i="10"/>
  <c r="AP57" i="10" s="1"/>
  <c r="AN56" i="10"/>
  <c r="AP56" i="10" s="1"/>
  <c r="AO17" i="10"/>
  <c r="AQ17" i="10" s="1"/>
  <c r="AO16" i="10"/>
  <c r="AQ16" i="10" s="1"/>
  <c r="AO18" i="10"/>
  <c r="AQ18" i="10" s="1"/>
  <c r="AN14" i="10"/>
  <c r="AP14" i="10" s="1"/>
  <c r="AO14" i="10"/>
  <c r="AQ14" i="10" s="1"/>
  <c r="AN13" i="10"/>
  <c r="AN261" i="10"/>
  <c r="AP261" i="10" s="1"/>
  <c r="AN260" i="10"/>
  <c r="AP260" i="10" s="1"/>
  <c r="AN259" i="10"/>
  <c r="AP259" i="10" s="1"/>
  <c r="AO25" i="10"/>
  <c r="AQ25" i="10" s="1"/>
  <c r="AO27" i="10"/>
  <c r="AQ27" i="10" s="1"/>
  <c r="AN30" i="10"/>
  <c r="AP30" i="10" s="1"/>
  <c r="AN26" i="10"/>
  <c r="AP26" i="10" s="1"/>
  <c r="AN27" i="10"/>
  <c r="AP27" i="10" s="1"/>
  <c r="AO30" i="10"/>
  <c r="AQ30" i="10" s="1"/>
  <c r="AN29" i="10"/>
  <c r="AP29" i="10" s="1"/>
  <c r="AN25" i="10"/>
  <c r="AO26" i="10"/>
  <c r="AQ26" i="10" s="1"/>
  <c r="AN28" i="10"/>
  <c r="AP28" i="10" s="1"/>
  <c r="AN54" i="10"/>
  <c r="AP54" i="10" s="1"/>
  <c r="AN50" i="10"/>
  <c r="AP50" i="10" s="1"/>
  <c r="AN53" i="10"/>
  <c r="AP53" i="10" s="1"/>
  <c r="AN49" i="10"/>
  <c r="AP49" i="10" s="1"/>
  <c r="AN51" i="10"/>
  <c r="AN52" i="10"/>
  <c r="AP52" i="10" s="1"/>
  <c r="AN365" i="10"/>
  <c r="AP365" i="10" s="1"/>
  <c r="AN361" i="10"/>
  <c r="AN364" i="10"/>
  <c r="AP364" i="10" s="1"/>
  <c r="AN363" i="10"/>
  <c r="AP363" i="10" s="1"/>
  <c r="AN362" i="10"/>
  <c r="AP362" i="10" s="1"/>
  <c r="AN366" i="10"/>
  <c r="AP366" i="10" s="1"/>
  <c r="AN305" i="10"/>
  <c r="AP305" i="10" s="1"/>
  <c r="AN306" i="10"/>
  <c r="AP306" i="10" s="1"/>
  <c r="AP265" i="10"/>
  <c r="AP318" i="10"/>
  <c r="AP312" i="10"/>
  <c r="AP310" i="10"/>
  <c r="AP288" i="10"/>
  <c r="AP270" i="10"/>
  <c r="AP242" i="10"/>
  <c r="AP222" i="10"/>
  <c r="AP92" i="10"/>
  <c r="AP78" i="10"/>
  <c r="AP62" i="10"/>
  <c r="AO151" i="10"/>
  <c r="AQ151" i="10" s="1"/>
  <c r="AP173" i="10"/>
  <c r="AP159" i="10"/>
  <c r="AP145" i="10"/>
  <c r="AP123" i="10"/>
  <c r="AP61" i="10"/>
  <c r="AQ20" i="10"/>
  <c r="AQ22" i="10"/>
  <c r="AP51" i="10"/>
  <c r="AQ24" i="10"/>
  <c r="BD23" i="6"/>
  <c r="BE23" i="6" s="1"/>
  <c r="BF23" i="6" s="1"/>
  <c r="BG23" i="6" s="1"/>
  <c r="BH23" i="6" s="1"/>
  <c r="BD10" i="6"/>
  <c r="BE10" i="6" s="1"/>
  <c r="BD30" i="6"/>
  <c r="BE30" i="6" s="1"/>
  <c r="BF30" i="6" s="1"/>
  <c r="BG30" i="6" s="1"/>
  <c r="BH30" i="6" s="1"/>
  <c r="BD59" i="6"/>
  <c r="BE59" i="6" s="1"/>
  <c r="BF59" i="6" s="1"/>
  <c r="BG59" i="6" s="1"/>
  <c r="BH59" i="6" s="1"/>
  <c r="BD19" i="6"/>
  <c r="BE19" i="6" s="1"/>
  <c r="BF19" i="6" s="1"/>
  <c r="BG19" i="6" s="1"/>
  <c r="BH19" i="6" s="1"/>
  <c r="BD46" i="6"/>
  <c r="BE46" i="6" s="1"/>
  <c r="BF46" i="6" s="1"/>
  <c r="BG46" i="6" s="1"/>
  <c r="BH46" i="6" s="1"/>
  <c r="BD16" i="6"/>
  <c r="BE16" i="6" s="1"/>
  <c r="BF16" i="6" s="1"/>
  <c r="BG16" i="6" s="1"/>
  <c r="BH16" i="6" s="1"/>
  <c r="BD43" i="6"/>
  <c r="BE43" i="6" s="1"/>
  <c r="BF43" i="6" s="1"/>
  <c r="BG43" i="6" s="1"/>
  <c r="BH43" i="6" s="1"/>
  <c r="BD39" i="6"/>
  <c r="BE39" i="6" s="1"/>
  <c r="BF39" i="6" s="1"/>
  <c r="BG39" i="6" s="1"/>
  <c r="BH39" i="6" s="1"/>
  <c r="BD12" i="6"/>
  <c r="BE12" i="6" s="1"/>
  <c r="BF12" i="6" s="1"/>
  <c r="BG12" i="6" s="1"/>
  <c r="BH12" i="6" s="1"/>
  <c r="BD27" i="6"/>
  <c r="BE27" i="6" s="1"/>
  <c r="BF27" i="6" s="1"/>
  <c r="BG27" i="6" s="1"/>
  <c r="BH27" i="6" s="1"/>
  <c r="BD101" i="12" l="1"/>
  <c r="BF101" i="12" s="1"/>
  <c r="BD97" i="12"/>
  <c r="BF97" i="12" s="1"/>
  <c r="BH97" i="12" s="1"/>
  <c r="BD206" i="12"/>
  <c r="BF206" i="12" s="1"/>
  <c r="BC99" i="12"/>
  <c r="BE99" i="12" s="1"/>
  <c r="BD100" i="12"/>
  <c r="BF100" i="12" s="1"/>
  <c r="AN204" i="10"/>
  <c r="AP204" i="10" s="1"/>
  <c r="BD207" i="12"/>
  <c r="BF207" i="12" s="1"/>
  <c r="BC97" i="12"/>
  <c r="BE97" i="12" s="1"/>
  <c r="BG97" i="12" s="1"/>
  <c r="BI97" i="12" s="1"/>
  <c r="BC166" i="12"/>
  <c r="BE166" i="12" s="1"/>
  <c r="BC102" i="12"/>
  <c r="BE102" i="12" s="1"/>
  <c r="BC325" i="12"/>
  <c r="BE325" i="12" s="1"/>
  <c r="BG325" i="12" s="1"/>
  <c r="BD163" i="12"/>
  <c r="BF163" i="12" s="1"/>
  <c r="BH163" i="12" s="1"/>
  <c r="BD329" i="12"/>
  <c r="BF329" i="12" s="1"/>
  <c r="BD168" i="12"/>
  <c r="BF168" i="12" s="1"/>
  <c r="BC328" i="12"/>
  <c r="BE328" i="12" s="1"/>
  <c r="AN93" i="10"/>
  <c r="AP93" i="10" s="1"/>
  <c r="BC34" i="12"/>
  <c r="BE34" i="12" s="1"/>
  <c r="BD36" i="12"/>
  <c r="BF36" i="12" s="1"/>
  <c r="BD225" i="12"/>
  <c r="BF225" i="12" s="1"/>
  <c r="BC227" i="12"/>
  <c r="BE227" i="12" s="1"/>
  <c r="BD131" i="12"/>
  <c r="BF131" i="12" s="1"/>
  <c r="BD127" i="12"/>
  <c r="BF127" i="12" s="1"/>
  <c r="BH127" i="12" s="1"/>
  <c r="BC309" i="12"/>
  <c r="BE309" i="12" s="1"/>
  <c r="BD308" i="12"/>
  <c r="BF308" i="12" s="1"/>
  <c r="BD182" i="12"/>
  <c r="BF182" i="12" s="1"/>
  <c r="BC181" i="12"/>
  <c r="BE181" i="12" s="1"/>
  <c r="BG181" i="12" s="1"/>
  <c r="AN269" i="10"/>
  <c r="AP269" i="10" s="1"/>
  <c r="AN268" i="10"/>
  <c r="AP268" i="10" s="1"/>
  <c r="AN266" i="10"/>
  <c r="AP266" i="10" s="1"/>
  <c r="AN65" i="10"/>
  <c r="AP65" i="10" s="1"/>
  <c r="AN63" i="10"/>
  <c r="AP63" i="10" s="1"/>
  <c r="AN66" i="10"/>
  <c r="AP66" i="10" s="1"/>
  <c r="AN77" i="10"/>
  <c r="AP77" i="10" s="1"/>
  <c r="AN76" i="10"/>
  <c r="AP76" i="10" s="1"/>
  <c r="AN74" i="10"/>
  <c r="AP74" i="10" s="1"/>
  <c r="AO29" i="10"/>
  <c r="AQ29" i="10" s="1"/>
  <c r="AO28" i="10"/>
  <c r="AQ28" i="10" s="1"/>
  <c r="AN105" i="10"/>
  <c r="AP105" i="10" s="1"/>
  <c r="AN104" i="10"/>
  <c r="AP104" i="10" s="1"/>
  <c r="AN103" i="10"/>
  <c r="AN264" i="10"/>
  <c r="AP264" i="10" s="1"/>
  <c r="AN263" i="10"/>
  <c r="AP263" i="10" s="1"/>
  <c r="AN262" i="10"/>
  <c r="AP262" i="10" s="1"/>
  <c r="AN357" i="10"/>
  <c r="AP357" i="10" s="1"/>
  <c r="AN356" i="10"/>
  <c r="AP356" i="10" s="1"/>
  <c r="AN355" i="10"/>
  <c r="AN221" i="10"/>
  <c r="AP221" i="10" s="1"/>
  <c r="AN220" i="10"/>
  <c r="AP220" i="10" s="1"/>
  <c r="AN218" i="10"/>
  <c r="AP218" i="10" s="1"/>
  <c r="AN55" i="10"/>
  <c r="AN60" i="10"/>
  <c r="AP60" i="10" s="1"/>
  <c r="AN59" i="10"/>
  <c r="AP59" i="10" s="1"/>
  <c r="AN89" i="10"/>
  <c r="AP89" i="10" s="1"/>
  <c r="AN88" i="10"/>
  <c r="AP88" i="10" s="1"/>
  <c r="AN90" i="10"/>
  <c r="AP90" i="10" s="1"/>
  <c r="AN329" i="10"/>
  <c r="AP329" i="10" s="1"/>
  <c r="AR325" i="10" s="1"/>
  <c r="AN328" i="10"/>
  <c r="AP328" i="10" s="1"/>
  <c r="AN330" i="10"/>
  <c r="AP330" i="10" s="1"/>
  <c r="AN345" i="10"/>
  <c r="AP345" i="10" s="1"/>
  <c r="AN344" i="10"/>
  <c r="AP344" i="10" s="1"/>
  <c r="AN343" i="10"/>
  <c r="AN144" i="10"/>
  <c r="AP144" i="10" s="1"/>
  <c r="AN143" i="10"/>
  <c r="AP143" i="10" s="1"/>
  <c r="AN142" i="10"/>
  <c r="AP142" i="10" s="1"/>
  <c r="AN285" i="10"/>
  <c r="AP285" i="10" s="1"/>
  <c r="AN284" i="10"/>
  <c r="AP284" i="10" s="1"/>
  <c r="AN283" i="10"/>
  <c r="AN129" i="10"/>
  <c r="AP129" i="10" s="1"/>
  <c r="AN128" i="10"/>
  <c r="AP128" i="10" s="1"/>
  <c r="AN127" i="10"/>
  <c r="AO13" i="10"/>
  <c r="AQ13" i="10" s="1"/>
  <c r="AS13" i="10" s="1"/>
  <c r="AO15" i="10"/>
  <c r="AQ15" i="10" s="1"/>
  <c r="AN18" i="10"/>
  <c r="AP18" i="10" s="1"/>
  <c r="AN15" i="10"/>
  <c r="AP15" i="10" s="1"/>
  <c r="AN17" i="10"/>
  <c r="AP17" i="10" s="1"/>
  <c r="AN16" i="10"/>
  <c r="AP16" i="10" s="1"/>
  <c r="AN81" i="10"/>
  <c r="AP81" i="10" s="1"/>
  <c r="AN80" i="10"/>
  <c r="AP80" i="10" s="1"/>
  <c r="AN79" i="10"/>
  <c r="AN125" i="10"/>
  <c r="AP125" i="10" s="1"/>
  <c r="AN124" i="10"/>
  <c r="AP124" i="10" s="1"/>
  <c r="AN122" i="10"/>
  <c r="AP122" i="10" s="1"/>
  <c r="AN205" i="10"/>
  <c r="AN207" i="10"/>
  <c r="AP207" i="10" s="1"/>
  <c r="AN206" i="10"/>
  <c r="AP206" i="10" s="1"/>
  <c r="AN317" i="10"/>
  <c r="AP317" i="10" s="1"/>
  <c r="AN316" i="10"/>
  <c r="AP316" i="10" s="1"/>
  <c r="AN314" i="10"/>
  <c r="AP314" i="10" s="1"/>
  <c r="AR313" i="10" s="1"/>
  <c r="AN180" i="10"/>
  <c r="AP180" i="10" s="1"/>
  <c r="AN179" i="10"/>
  <c r="AP179" i="10" s="1"/>
  <c r="AN178" i="10"/>
  <c r="AP178" i="10" s="1"/>
  <c r="AN216" i="10"/>
  <c r="AP216" i="10" s="1"/>
  <c r="AN215" i="10"/>
  <c r="AP215" i="10" s="1"/>
  <c r="AN214" i="10"/>
  <c r="AP214" i="10" s="1"/>
  <c r="AN341" i="10"/>
  <c r="AP341" i="10" s="1"/>
  <c r="AN340" i="10"/>
  <c r="AP340" i="10" s="1"/>
  <c r="AN342" i="10"/>
  <c r="AP342" i="10" s="1"/>
  <c r="AN161" i="10"/>
  <c r="AP161" i="10" s="1"/>
  <c r="AN160" i="10"/>
  <c r="AP160" i="10" s="1"/>
  <c r="AN162" i="10"/>
  <c r="AP162" i="10" s="1"/>
  <c r="AN201" i="10"/>
  <c r="AP201" i="10" s="1"/>
  <c r="AN184" i="10"/>
  <c r="AP184" i="10" s="1"/>
  <c r="AN99" i="10"/>
  <c r="AP99" i="10" s="1"/>
  <c r="BD166" i="12"/>
  <c r="BF166" i="12" s="1"/>
  <c r="BC164" i="12"/>
  <c r="BE164" i="12" s="1"/>
  <c r="BD167" i="12"/>
  <c r="BF167" i="12" s="1"/>
  <c r="BC208" i="12"/>
  <c r="BE208" i="12" s="1"/>
  <c r="BC209" i="12"/>
  <c r="BE209" i="12" s="1"/>
  <c r="BD205" i="12"/>
  <c r="BF205" i="12" s="1"/>
  <c r="BH205" i="12" s="1"/>
  <c r="BD325" i="12"/>
  <c r="BF325" i="12" s="1"/>
  <c r="BH325" i="12" s="1"/>
  <c r="BC329" i="12"/>
  <c r="BE329" i="12" s="1"/>
  <c r="BD326" i="12"/>
  <c r="BF326" i="12" s="1"/>
  <c r="AN202" i="10"/>
  <c r="AP202" i="10" s="1"/>
  <c r="AN231" i="10"/>
  <c r="AP231" i="10" s="1"/>
  <c r="AN37" i="10"/>
  <c r="AN292" i="10"/>
  <c r="AP292" i="10" s="1"/>
  <c r="AN331" i="10"/>
  <c r="AP331" i="10" s="1"/>
  <c r="AR331" i="10" s="1"/>
  <c r="AN319" i="10"/>
  <c r="AN115" i="10"/>
  <c r="AN70" i="10"/>
  <c r="AP70" i="10" s="1"/>
  <c r="AN100" i="10"/>
  <c r="AP100" i="10" s="1"/>
  <c r="AN136" i="10"/>
  <c r="AP136" i="10" s="1"/>
  <c r="BC168" i="12"/>
  <c r="BE168" i="12" s="1"/>
  <c r="BC167" i="12"/>
  <c r="BE167" i="12" s="1"/>
  <c r="BD165" i="12"/>
  <c r="BF165" i="12" s="1"/>
  <c r="BC206" i="12"/>
  <c r="BE206" i="12" s="1"/>
  <c r="BC205" i="12"/>
  <c r="BE205" i="12" s="1"/>
  <c r="BG205" i="12" s="1"/>
  <c r="BD208" i="12"/>
  <c r="BF208" i="12" s="1"/>
  <c r="BC330" i="12"/>
  <c r="BE330" i="12" s="1"/>
  <c r="BD327" i="12"/>
  <c r="BF327" i="12" s="1"/>
  <c r="BD328" i="12"/>
  <c r="BF328" i="12" s="1"/>
  <c r="AN199" i="10"/>
  <c r="AP199" i="10" s="1"/>
  <c r="AN232" i="10"/>
  <c r="AP232" i="10" s="1"/>
  <c r="AN41" i="10"/>
  <c r="AP41" i="10" s="1"/>
  <c r="AN110" i="10"/>
  <c r="AP110" i="10" s="1"/>
  <c r="AN333" i="10"/>
  <c r="AP333" i="10" s="1"/>
  <c r="AN321" i="10"/>
  <c r="AP321" i="10" s="1"/>
  <c r="AN117" i="10"/>
  <c r="AP117" i="10" s="1"/>
  <c r="AN69" i="10"/>
  <c r="AP69" i="10" s="1"/>
  <c r="AN101" i="10"/>
  <c r="AP101" i="10" s="1"/>
  <c r="BC163" i="12"/>
  <c r="BE163" i="12" s="1"/>
  <c r="BG163" i="12" s="1"/>
  <c r="BD164" i="12"/>
  <c r="BF164" i="12" s="1"/>
  <c r="BC207" i="12"/>
  <c r="BE207" i="12" s="1"/>
  <c r="BD210" i="12"/>
  <c r="BF210" i="12" s="1"/>
  <c r="BC326" i="12"/>
  <c r="BE326" i="12" s="1"/>
  <c r="BC327" i="12"/>
  <c r="BE327" i="12" s="1"/>
  <c r="AN98" i="10"/>
  <c r="AP98" i="10" s="1"/>
  <c r="AN91" i="10"/>
  <c r="AN203" i="10"/>
  <c r="AP203" i="10" s="1"/>
  <c r="AN230" i="10"/>
  <c r="AP230" i="10" s="1"/>
  <c r="AN229" i="10"/>
  <c r="AP229" i="10" s="1"/>
  <c r="AN40" i="10"/>
  <c r="AP40" i="10" s="1"/>
  <c r="AN38" i="10"/>
  <c r="AP38" i="10" s="1"/>
  <c r="AN290" i="10"/>
  <c r="AP290" i="10" s="1"/>
  <c r="AN289" i="10"/>
  <c r="AP289" i="10" s="1"/>
  <c r="AN111" i="10"/>
  <c r="AP111" i="10" s="1"/>
  <c r="AN182" i="10"/>
  <c r="AP182" i="10" s="1"/>
  <c r="AN181" i="10"/>
  <c r="AP181" i="10" s="1"/>
  <c r="AN335" i="10"/>
  <c r="AP335" i="10" s="1"/>
  <c r="AN323" i="10"/>
  <c r="AP323" i="10" s="1"/>
  <c r="AN119" i="10"/>
  <c r="AP119" i="10" s="1"/>
  <c r="AN67" i="10"/>
  <c r="AN134" i="10"/>
  <c r="AP134" i="10" s="1"/>
  <c r="AN133" i="10"/>
  <c r="AN234" i="10"/>
  <c r="AP234" i="10" s="1"/>
  <c r="AN39" i="10"/>
  <c r="AP39" i="10" s="1"/>
  <c r="AN294" i="10"/>
  <c r="AP294" i="10" s="1"/>
  <c r="AN293" i="10"/>
  <c r="AP293" i="10" s="1"/>
  <c r="AN112" i="10"/>
  <c r="AP112" i="10" s="1"/>
  <c r="AN186" i="10"/>
  <c r="AP186" i="10" s="1"/>
  <c r="AN185" i="10"/>
  <c r="AP185" i="10" s="1"/>
  <c r="AN332" i="10"/>
  <c r="AP332" i="10" s="1"/>
  <c r="AN320" i="10"/>
  <c r="AP320" i="10" s="1"/>
  <c r="AN116" i="10"/>
  <c r="AP116" i="10" s="1"/>
  <c r="AN71" i="10"/>
  <c r="AP71" i="10" s="1"/>
  <c r="AN138" i="10"/>
  <c r="AP138" i="10" s="1"/>
  <c r="AN137" i="10"/>
  <c r="AP137" i="10" s="1"/>
  <c r="AN95" i="10"/>
  <c r="AP95" i="10" s="1"/>
  <c r="AN165" i="10"/>
  <c r="AP165" i="10" s="1"/>
  <c r="AN114" i="10"/>
  <c r="AP114" i="10" s="1"/>
  <c r="AN334" i="10"/>
  <c r="AP334" i="10" s="1"/>
  <c r="AN322" i="10"/>
  <c r="AP322" i="10" s="1"/>
  <c r="AN118" i="10"/>
  <c r="AP118" i="10" s="1"/>
  <c r="AN68" i="10"/>
  <c r="AP68" i="10" s="1"/>
  <c r="AN164" i="10"/>
  <c r="AP164" i="10" s="1"/>
  <c r="AN168" i="10"/>
  <c r="AP168" i="10" s="1"/>
  <c r="AN166" i="10"/>
  <c r="AP166" i="10" s="1"/>
  <c r="AN167" i="10"/>
  <c r="AP167" i="10" s="1"/>
  <c r="AO124" i="10"/>
  <c r="AQ124" i="10" s="1"/>
  <c r="AO183" i="10"/>
  <c r="AQ183" i="10" s="1"/>
  <c r="AO184" i="10"/>
  <c r="AQ184" i="10" s="1"/>
  <c r="AO67" i="10"/>
  <c r="AQ67" i="10" s="1"/>
  <c r="AO305" i="10"/>
  <c r="AQ305" i="10" s="1"/>
  <c r="AO308" i="10"/>
  <c r="AQ308" i="10" s="1"/>
  <c r="AO106" i="10"/>
  <c r="AQ106" i="10" s="1"/>
  <c r="AO119" i="10"/>
  <c r="AQ119" i="10" s="1"/>
  <c r="AO221" i="10"/>
  <c r="AQ221" i="10" s="1"/>
  <c r="AO244" i="10"/>
  <c r="AQ244" i="10" s="1"/>
  <c r="AO70" i="10"/>
  <c r="AQ70" i="10" s="1"/>
  <c r="AO65" i="10"/>
  <c r="AQ65" i="10" s="1"/>
  <c r="AO47" i="10"/>
  <c r="AQ47" i="10" s="1"/>
  <c r="AO343" i="10"/>
  <c r="AQ343" i="10" s="1"/>
  <c r="AS343" i="10" s="1"/>
  <c r="AO87" i="10"/>
  <c r="AQ87" i="10" s="1"/>
  <c r="AO267" i="10"/>
  <c r="AQ267" i="10" s="1"/>
  <c r="AO156" i="10"/>
  <c r="AQ156" i="10" s="1"/>
  <c r="AO118" i="10"/>
  <c r="AQ118" i="10" s="1"/>
  <c r="AO271" i="10"/>
  <c r="AQ271" i="10" s="1"/>
  <c r="AO138" i="10"/>
  <c r="AQ138" i="10" s="1"/>
  <c r="AO150" i="10"/>
  <c r="AQ150" i="10" s="1"/>
  <c r="AO209" i="10"/>
  <c r="AQ209" i="10" s="1"/>
  <c r="AO337" i="10"/>
  <c r="AQ337" i="10" s="1"/>
  <c r="AS337" i="10" s="1"/>
  <c r="AO95" i="10"/>
  <c r="AQ95" i="10" s="1"/>
  <c r="AO127" i="10"/>
  <c r="AQ127" i="10" s="1"/>
  <c r="AO159" i="10"/>
  <c r="AQ159" i="10" s="1"/>
  <c r="AO191" i="10"/>
  <c r="AQ191" i="10" s="1"/>
  <c r="AO299" i="10"/>
  <c r="AQ299" i="10" s="1"/>
  <c r="AO285" i="10"/>
  <c r="AQ285" i="10" s="1"/>
  <c r="AO260" i="10"/>
  <c r="AQ260" i="10" s="1"/>
  <c r="AO324" i="10"/>
  <c r="AQ324" i="10" s="1"/>
  <c r="AO166" i="10"/>
  <c r="AQ166" i="10" s="1"/>
  <c r="AO120" i="10"/>
  <c r="AQ120" i="10" s="1"/>
  <c r="AO170" i="10"/>
  <c r="AQ170" i="10" s="1"/>
  <c r="AO56" i="10"/>
  <c r="AQ56" i="10" s="1"/>
  <c r="AO188" i="10"/>
  <c r="AQ188" i="10" s="1"/>
  <c r="AO241" i="10"/>
  <c r="AQ241" i="10" s="1"/>
  <c r="AO71" i="10"/>
  <c r="AQ71" i="10" s="1"/>
  <c r="AO103" i="10"/>
  <c r="AQ103" i="10" s="1"/>
  <c r="AO135" i="10"/>
  <c r="AQ135" i="10" s="1"/>
  <c r="AO167" i="10"/>
  <c r="AQ167" i="10" s="1"/>
  <c r="AO203" i="10"/>
  <c r="AQ203" i="10" s="1"/>
  <c r="AO339" i="10"/>
  <c r="AQ339" i="10" s="1"/>
  <c r="AO349" i="10"/>
  <c r="AQ349" i="10" s="1"/>
  <c r="AS349" i="10" s="1"/>
  <c r="AT349" i="10" s="1"/>
  <c r="AU349" i="10" s="1"/>
  <c r="AO212" i="10"/>
  <c r="AQ212" i="10" s="1"/>
  <c r="AO276" i="10"/>
  <c r="AQ276" i="10" s="1"/>
  <c r="AO340" i="10"/>
  <c r="AQ340" i="10" s="1"/>
  <c r="AO88" i="10"/>
  <c r="AQ88" i="10" s="1"/>
  <c r="AO38" i="10"/>
  <c r="AQ38" i="10" s="1"/>
  <c r="AO263" i="10"/>
  <c r="AQ263" i="10" s="1"/>
  <c r="AO49" i="10"/>
  <c r="AQ49" i="10" s="1"/>
  <c r="AO152" i="10"/>
  <c r="AQ152" i="10" s="1"/>
  <c r="AO74" i="10"/>
  <c r="AQ74" i="10" s="1"/>
  <c r="AO215" i="10"/>
  <c r="AQ215" i="10" s="1"/>
  <c r="AO92" i="10"/>
  <c r="AQ92" i="10" s="1"/>
  <c r="AO287" i="10"/>
  <c r="AQ287" i="10" s="1"/>
  <c r="AO273" i="10"/>
  <c r="AQ273" i="10" s="1"/>
  <c r="AO79" i="10"/>
  <c r="AQ79" i="10" s="1"/>
  <c r="AO111" i="10"/>
  <c r="AQ111" i="10" s="1"/>
  <c r="AO143" i="10"/>
  <c r="AQ143" i="10" s="1"/>
  <c r="AO175" i="10"/>
  <c r="AQ175" i="10" s="1"/>
  <c r="AO235" i="10"/>
  <c r="AQ235" i="10" s="1"/>
  <c r="AO228" i="10"/>
  <c r="AQ228" i="10" s="1"/>
  <c r="AO292" i="10"/>
  <c r="AQ292" i="10" s="1"/>
  <c r="AO356" i="10"/>
  <c r="AQ356" i="10" s="1"/>
  <c r="AN10" i="10"/>
  <c r="AP10" i="10" s="1"/>
  <c r="AO45" i="10"/>
  <c r="AQ45" i="10" s="1"/>
  <c r="AO64" i="10"/>
  <c r="AQ64" i="10" s="1"/>
  <c r="AO46" i="10"/>
  <c r="AQ46" i="10" s="1"/>
  <c r="AO78" i="10"/>
  <c r="AQ78" i="10" s="1"/>
  <c r="AO134" i="10"/>
  <c r="AQ134" i="10" s="1"/>
  <c r="AO182" i="10"/>
  <c r="AQ182" i="10" s="1"/>
  <c r="AO295" i="10"/>
  <c r="AQ295" i="10" s="1"/>
  <c r="AO41" i="10"/>
  <c r="AQ41" i="10" s="1"/>
  <c r="AO52" i="10"/>
  <c r="AQ52" i="10" s="1"/>
  <c r="AO68" i="10"/>
  <c r="AQ68" i="10" s="1"/>
  <c r="AO96" i="10"/>
  <c r="AQ96" i="10" s="1"/>
  <c r="AO128" i="10"/>
  <c r="AQ128" i="10" s="1"/>
  <c r="AO160" i="10"/>
  <c r="AQ160" i="10" s="1"/>
  <c r="AO192" i="10"/>
  <c r="AQ192" i="10" s="1"/>
  <c r="AO303" i="10"/>
  <c r="AQ303" i="10" s="1"/>
  <c r="AO50" i="10"/>
  <c r="AQ50" i="10" s="1"/>
  <c r="AO63" i="10"/>
  <c r="AQ63" i="10" s="1"/>
  <c r="AO82" i="10"/>
  <c r="AQ82" i="10" s="1"/>
  <c r="AO114" i="10"/>
  <c r="AQ114" i="10" s="1"/>
  <c r="AO146" i="10"/>
  <c r="AQ146" i="10" s="1"/>
  <c r="AO178" i="10"/>
  <c r="AQ178" i="10" s="1"/>
  <c r="AO247" i="10"/>
  <c r="AQ247" i="10" s="1"/>
  <c r="AO61" i="10"/>
  <c r="AQ61" i="10" s="1"/>
  <c r="AO100" i="10"/>
  <c r="AQ100" i="10" s="1"/>
  <c r="AO132" i="10"/>
  <c r="AQ132" i="10" s="1"/>
  <c r="AO164" i="10"/>
  <c r="AQ164" i="10" s="1"/>
  <c r="AO196" i="10"/>
  <c r="AQ196" i="10" s="1"/>
  <c r="AO319" i="10"/>
  <c r="AQ319" i="10" s="1"/>
  <c r="AO43" i="10"/>
  <c r="AQ43" i="10" s="1"/>
  <c r="AO86" i="10"/>
  <c r="AQ86" i="10" s="1"/>
  <c r="AO174" i="10"/>
  <c r="AQ174" i="10" s="1"/>
  <c r="AO217" i="10"/>
  <c r="AQ217" i="10" s="1"/>
  <c r="AO249" i="10"/>
  <c r="AQ249" i="10" s="1"/>
  <c r="AO281" i="10"/>
  <c r="AQ281" i="10" s="1"/>
  <c r="AO313" i="10"/>
  <c r="AQ313" i="10" s="1"/>
  <c r="AO345" i="10"/>
  <c r="AQ345" i="10" s="1"/>
  <c r="AO73" i="10"/>
  <c r="AQ73" i="10" s="1"/>
  <c r="AO81" i="10"/>
  <c r="AQ81" i="10" s="1"/>
  <c r="AO89" i="10"/>
  <c r="AQ89" i="10" s="1"/>
  <c r="AO97" i="10"/>
  <c r="AQ97" i="10" s="1"/>
  <c r="AO105" i="10"/>
  <c r="AQ105" i="10" s="1"/>
  <c r="AO113" i="10"/>
  <c r="AQ113" i="10" s="1"/>
  <c r="AO121" i="10"/>
  <c r="AQ121" i="10" s="1"/>
  <c r="AO129" i="10"/>
  <c r="AQ129" i="10" s="1"/>
  <c r="AO137" i="10"/>
  <c r="AQ137" i="10" s="1"/>
  <c r="AO145" i="10"/>
  <c r="AQ145" i="10" s="1"/>
  <c r="AO153" i="10"/>
  <c r="AQ153" i="10" s="1"/>
  <c r="AO161" i="10"/>
  <c r="AQ161" i="10" s="1"/>
  <c r="AO169" i="10"/>
  <c r="AQ169" i="10" s="1"/>
  <c r="AO177" i="10"/>
  <c r="AQ177" i="10" s="1"/>
  <c r="AO185" i="10"/>
  <c r="AQ185" i="10" s="1"/>
  <c r="AO193" i="10"/>
  <c r="AQ193" i="10" s="1"/>
  <c r="AO211" i="10"/>
  <c r="AQ211" i="10" s="1"/>
  <c r="AO243" i="10"/>
  <c r="AQ243" i="10" s="1"/>
  <c r="AO275" i="10"/>
  <c r="AQ275" i="10" s="1"/>
  <c r="AO307" i="10"/>
  <c r="AQ307" i="10" s="1"/>
  <c r="AO347" i="10"/>
  <c r="AQ347" i="10" s="1"/>
  <c r="AO229" i="10"/>
  <c r="AQ229" i="10" s="1"/>
  <c r="AO293" i="10"/>
  <c r="AQ293" i="10" s="1"/>
  <c r="AO357" i="10"/>
  <c r="AQ357" i="10" s="1"/>
  <c r="AO202" i="10"/>
  <c r="AQ202" i="10" s="1"/>
  <c r="AO218" i="10"/>
  <c r="AQ218" i="10" s="1"/>
  <c r="AO234" i="10"/>
  <c r="AQ234" i="10" s="1"/>
  <c r="AO250" i="10"/>
  <c r="AQ250" i="10" s="1"/>
  <c r="AO266" i="10"/>
  <c r="AQ266" i="10" s="1"/>
  <c r="AO282" i="10"/>
  <c r="AQ282" i="10" s="1"/>
  <c r="AO298" i="10"/>
  <c r="AQ298" i="10" s="1"/>
  <c r="AO314" i="10"/>
  <c r="AQ314" i="10" s="1"/>
  <c r="AO330" i="10"/>
  <c r="AQ330" i="10" s="1"/>
  <c r="AO346" i="10"/>
  <c r="AQ346" i="10" s="1"/>
  <c r="AO362" i="10"/>
  <c r="AQ362" i="10" s="1"/>
  <c r="AO7" i="10"/>
  <c r="AQ7" i="10" s="1"/>
  <c r="AO69" i="10"/>
  <c r="AQ69" i="10" s="1"/>
  <c r="AO51" i="10"/>
  <c r="AQ51" i="10" s="1"/>
  <c r="AO94" i="10"/>
  <c r="AQ94" i="10" s="1"/>
  <c r="AO142" i="10"/>
  <c r="AQ142" i="10" s="1"/>
  <c r="AO190" i="10"/>
  <c r="AQ190" i="10" s="1"/>
  <c r="AO327" i="10"/>
  <c r="AQ327" i="10" s="1"/>
  <c r="AO44" i="10"/>
  <c r="AQ44" i="10" s="1"/>
  <c r="AO57" i="10"/>
  <c r="AQ57" i="10" s="1"/>
  <c r="AO72" i="10"/>
  <c r="AQ72" i="10" s="1"/>
  <c r="AO104" i="10"/>
  <c r="AQ104" i="10" s="1"/>
  <c r="AO136" i="10"/>
  <c r="AQ136" i="10" s="1"/>
  <c r="AO168" i="10"/>
  <c r="AQ168" i="10" s="1"/>
  <c r="AO207" i="10"/>
  <c r="AQ207" i="10" s="1"/>
  <c r="AO335" i="10"/>
  <c r="AQ335" i="10" s="1"/>
  <c r="AO39" i="10"/>
  <c r="AQ39" i="10" s="1"/>
  <c r="AO55" i="10"/>
  <c r="AQ55" i="10" s="1"/>
  <c r="AO66" i="10"/>
  <c r="AQ66" i="10" s="1"/>
  <c r="AO90" i="10"/>
  <c r="AQ90" i="10" s="1"/>
  <c r="AO122" i="10"/>
  <c r="AQ122" i="10" s="1"/>
  <c r="AO154" i="10"/>
  <c r="AQ154" i="10" s="1"/>
  <c r="AO186" i="10"/>
  <c r="AQ186" i="10" s="1"/>
  <c r="AO279" i="10"/>
  <c r="AQ279" i="10" s="1"/>
  <c r="AO40" i="10"/>
  <c r="AQ40" i="10" s="1"/>
  <c r="AO76" i="10"/>
  <c r="AQ76" i="10" s="1"/>
  <c r="AO108" i="10"/>
  <c r="AQ108" i="10" s="1"/>
  <c r="AO140" i="10"/>
  <c r="AQ140" i="10" s="1"/>
  <c r="AO172" i="10"/>
  <c r="AQ172" i="10" s="1"/>
  <c r="AO223" i="10"/>
  <c r="AQ223" i="10" s="1"/>
  <c r="AO351" i="10"/>
  <c r="AQ351" i="10" s="1"/>
  <c r="AO54" i="10"/>
  <c r="AQ54" i="10" s="1"/>
  <c r="AO110" i="10"/>
  <c r="AQ110" i="10" s="1"/>
  <c r="AO231" i="10"/>
  <c r="AQ231" i="10" s="1"/>
  <c r="AO225" i="10"/>
  <c r="AQ225" i="10" s="1"/>
  <c r="AO257" i="10"/>
  <c r="AQ257" i="10" s="1"/>
  <c r="AO289" i="10"/>
  <c r="AQ289" i="10" s="1"/>
  <c r="AO321" i="10"/>
  <c r="AQ321" i="10" s="1"/>
  <c r="AO353" i="10"/>
  <c r="AQ353" i="10" s="1"/>
  <c r="AO75" i="10"/>
  <c r="AQ75" i="10" s="1"/>
  <c r="AO83" i="10"/>
  <c r="AQ83" i="10" s="1"/>
  <c r="AO91" i="10"/>
  <c r="AQ91" i="10" s="1"/>
  <c r="AO99" i="10"/>
  <c r="AQ99" i="10" s="1"/>
  <c r="AO107" i="10"/>
  <c r="AQ107" i="10" s="1"/>
  <c r="AO115" i="10"/>
  <c r="AQ115" i="10" s="1"/>
  <c r="AO123" i="10"/>
  <c r="AQ123" i="10" s="1"/>
  <c r="AO131" i="10"/>
  <c r="AQ131" i="10" s="1"/>
  <c r="AO139" i="10"/>
  <c r="AQ139" i="10" s="1"/>
  <c r="AO147" i="10"/>
  <c r="AQ147" i="10" s="1"/>
  <c r="AO155" i="10"/>
  <c r="AQ155" i="10" s="1"/>
  <c r="AO163" i="10"/>
  <c r="AQ163" i="10" s="1"/>
  <c r="AO171" i="10"/>
  <c r="AQ171" i="10" s="1"/>
  <c r="AO179" i="10"/>
  <c r="AQ179" i="10" s="1"/>
  <c r="AO187" i="10"/>
  <c r="AQ187" i="10" s="1"/>
  <c r="AO195" i="10"/>
  <c r="AQ195" i="10" s="1"/>
  <c r="AO219" i="10"/>
  <c r="AQ219" i="10" s="1"/>
  <c r="AO251" i="10"/>
  <c r="AQ251" i="10" s="1"/>
  <c r="AO283" i="10"/>
  <c r="AQ283" i="10" s="1"/>
  <c r="AO315" i="10"/>
  <c r="AQ315" i="10" s="1"/>
  <c r="AO253" i="10"/>
  <c r="AQ253" i="10" s="1"/>
  <c r="AO317" i="10"/>
  <c r="AQ317" i="10" s="1"/>
  <c r="AO204" i="10"/>
  <c r="AQ204" i="10" s="1"/>
  <c r="AO220" i="10"/>
  <c r="AQ220" i="10" s="1"/>
  <c r="AO236" i="10"/>
  <c r="AQ236" i="10" s="1"/>
  <c r="AO252" i="10"/>
  <c r="AQ252" i="10" s="1"/>
  <c r="AO268" i="10"/>
  <c r="AQ268" i="10" s="1"/>
  <c r="AO284" i="10"/>
  <c r="AQ284" i="10" s="1"/>
  <c r="AO300" i="10"/>
  <c r="AQ300" i="10" s="1"/>
  <c r="AO316" i="10"/>
  <c r="AQ316" i="10" s="1"/>
  <c r="AO332" i="10"/>
  <c r="AQ332" i="10" s="1"/>
  <c r="AO348" i="10"/>
  <c r="AQ348" i="10" s="1"/>
  <c r="AO364" i="10"/>
  <c r="AQ364" i="10" s="1"/>
  <c r="AO10" i="10"/>
  <c r="AQ10" i="10" s="1"/>
  <c r="AO12" i="10"/>
  <c r="AQ12" i="10" s="1"/>
  <c r="AO53" i="10"/>
  <c r="AQ53" i="10" s="1"/>
  <c r="AO59" i="10"/>
  <c r="AQ59" i="10" s="1"/>
  <c r="AO102" i="10"/>
  <c r="AQ102" i="10" s="1"/>
  <c r="AO158" i="10"/>
  <c r="AQ158" i="10" s="1"/>
  <c r="AO199" i="10"/>
  <c r="AQ199" i="10" s="1"/>
  <c r="AO60" i="10"/>
  <c r="AQ60" i="10" s="1"/>
  <c r="AO80" i="10"/>
  <c r="AQ80" i="10" s="1"/>
  <c r="AO112" i="10"/>
  <c r="AQ112" i="10" s="1"/>
  <c r="AO144" i="10"/>
  <c r="AQ144" i="10" s="1"/>
  <c r="AO176" i="10"/>
  <c r="AQ176" i="10" s="1"/>
  <c r="AO239" i="10"/>
  <c r="AQ239" i="10" s="1"/>
  <c r="AO42" i="10"/>
  <c r="AQ42" i="10" s="1"/>
  <c r="AO58" i="10"/>
  <c r="AQ58" i="10" s="1"/>
  <c r="AO98" i="10"/>
  <c r="AQ98" i="10" s="1"/>
  <c r="AO130" i="10"/>
  <c r="AQ130" i="10" s="1"/>
  <c r="AO162" i="10"/>
  <c r="AQ162" i="10" s="1"/>
  <c r="AO194" i="10"/>
  <c r="AQ194" i="10" s="1"/>
  <c r="AO311" i="10"/>
  <c r="AQ311" i="10" s="1"/>
  <c r="AO48" i="10"/>
  <c r="AQ48" i="10" s="1"/>
  <c r="AO84" i="10"/>
  <c r="AQ84" i="10" s="1"/>
  <c r="AO116" i="10"/>
  <c r="AQ116" i="10" s="1"/>
  <c r="AO148" i="10"/>
  <c r="AQ148" i="10" s="1"/>
  <c r="AO180" i="10"/>
  <c r="AQ180" i="10" s="1"/>
  <c r="AO255" i="10"/>
  <c r="AQ255" i="10" s="1"/>
  <c r="AO37" i="10"/>
  <c r="AQ37" i="10" s="1"/>
  <c r="AO62" i="10"/>
  <c r="AQ62" i="10" s="1"/>
  <c r="AO126" i="10"/>
  <c r="AQ126" i="10" s="1"/>
  <c r="AO359" i="10"/>
  <c r="AQ359" i="10" s="1"/>
  <c r="AO201" i="10"/>
  <c r="AQ201" i="10" s="1"/>
  <c r="AO233" i="10"/>
  <c r="AQ233" i="10" s="1"/>
  <c r="AO265" i="10"/>
  <c r="AQ265" i="10" s="1"/>
  <c r="AO297" i="10"/>
  <c r="AQ297" i="10" s="1"/>
  <c r="AO329" i="10"/>
  <c r="AQ329" i="10" s="1"/>
  <c r="AO361" i="10"/>
  <c r="AQ361" i="10" s="1"/>
  <c r="AS361" i="10" s="1"/>
  <c r="AO77" i="10"/>
  <c r="AQ77" i="10" s="1"/>
  <c r="AO85" i="10"/>
  <c r="AQ85" i="10" s="1"/>
  <c r="AO93" i="10"/>
  <c r="AQ93" i="10" s="1"/>
  <c r="AO101" i="10"/>
  <c r="AQ101" i="10" s="1"/>
  <c r="AO109" i="10"/>
  <c r="AQ109" i="10" s="1"/>
  <c r="AO117" i="10"/>
  <c r="AQ117" i="10" s="1"/>
  <c r="AO125" i="10"/>
  <c r="AQ125" i="10" s="1"/>
  <c r="AO133" i="10"/>
  <c r="AQ133" i="10" s="1"/>
  <c r="AO141" i="10"/>
  <c r="AQ141" i="10" s="1"/>
  <c r="AO149" i="10"/>
  <c r="AQ149" i="10" s="1"/>
  <c r="AO157" i="10"/>
  <c r="AQ157" i="10" s="1"/>
  <c r="AO165" i="10"/>
  <c r="AQ165" i="10" s="1"/>
  <c r="AO173" i="10"/>
  <c r="AQ173" i="10" s="1"/>
  <c r="AO181" i="10"/>
  <c r="AQ181" i="10" s="1"/>
  <c r="AO189" i="10"/>
  <c r="AQ189" i="10" s="1"/>
  <c r="AO197" i="10"/>
  <c r="AQ197" i="10" s="1"/>
  <c r="AO227" i="10"/>
  <c r="AQ227" i="10" s="1"/>
  <c r="AO259" i="10"/>
  <c r="AQ259" i="10" s="1"/>
  <c r="AO291" i="10"/>
  <c r="AQ291" i="10" s="1"/>
  <c r="AO323" i="10"/>
  <c r="AQ323" i="10" s="1"/>
  <c r="AO198" i="10"/>
  <c r="AQ198" i="10" s="1"/>
  <c r="AO261" i="10"/>
  <c r="AQ261" i="10" s="1"/>
  <c r="AO325" i="10"/>
  <c r="AQ325" i="10" s="1"/>
  <c r="AO210" i="10"/>
  <c r="AQ210" i="10" s="1"/>
  <c r="AO226" i="10"/>
  <c r="AQ226" i="10" s="1"/>
  <c r="AO242" i="10"/>
  <c r="AQ242" i="10" s="1"/>
  <c r="AO258" i="10"/>
  <c r="AQ258" i="10" s="1"/>
  <c r="AO274" i="10"/>
  <c r="AQ274" i="10" s="1"/>
  <c r="AO290" i="10"/>
  <c r="AQ290" i="10" s="1"/>
  <c r="AO306" i="10"/>
  <c r="AQ306" i="10" s="1"/>
  <c r="AO322" i="10"/>
  <c r="AQ322" i="10" s="1"/>
  <c r="AO338" i="10"/>
  <c r="AQ338" i="10" s="1"/>
  <c r="AO354" i="10"/>
  <c r="AQ354" i="10" s="1"/>
  <c r="AN11" i="10"/>
  <c r="AP11" i="10" s="1"/>
  <c r="AO8" i="10"/>
  <c r="AQ8" i="10" s="1"/>
  <c r="AR307" i="10"/>
  <c r="AO32" i="10"/>
  <c r="AQ32" i="10" s="1"/>
  <c r="AR259" i="10"/>
  <c r="AR241" i="10"/>
  <c r="AR211" i="10"/>
  <c r="AO355" i="10"/>
  <c r="AQ355" i="10" s="1"/>
  <c r="AS355" i="10" s="1"/>
  <c r="AO205" i="10"/>
  <c r="AQ205" i="10" s="1"/>
  <c r="AO237" i="10"/>
  <c r="AQ237" i="10" s="1"/>
  <c r="AO269" i="10"/>
  <c r="AQ269" i="10" s="1"/>
  <c r="AO301" i="10"/>
  <c r="AQ301" i="10" s="1"/>
  <c r="AO333" i="10"/>
  <c r="AQ333" i="10" s="1"/>
  <c r="AO365" i="10"/>
  <c r="AQ365" i="10" s="1"/>
  <c r="AO206" i="10"/>
  <c r="AQ206" i="10" s="1"/>
  <c r="AO214" i="10"/>
  <c r="AQ214" i="10" s="1"/>
  <c r="AO222" i="10"/>
  <c r="AQ222" i="10" s="1"/>
  <c r="AO230" i="10"/>
  <c r="AQ230" i="10" s="1"/>
  <c r="AO238" i="10"/>
  <c r="AQ238" i="10" s="1"/>
  <c r="AO246" i="10"/>
  <c r="AQ246" i="10" s="1"/>
  <c r="AO254" i="10"/>
  <c r="AQ254" i="10" s="1"/>
  <c r="AO262" i="10"/>
  <c r="AQ262" i="10" s="1"/>
  <c r="AO270" i="10"/>
  <c r="AQ270" i="10" s="1"/>
  <c r="AO278" i="10"/>
  <c r="AQ278" i="10" s="1"/>
  <c r="AO286" i="10"/>
  <c r="AQ286" i="10" s="1"/>
  <c r="AO294" i="10"/>
  <c r="AQ294" i="10" s="1"/>
  <c r="AO302" i="10"/>
  <c r="AQ302" i="10" s="1"/>
  <c r="AO310" i="10"/>
  <c r="AQ310" i="10" s="1"/>
  <c r="AO318" i="10"/>
  <c r="AQ318" i="10" s="1"/>
  <c r="AO326" i="10"/>
  <c r="AQ326" i="10" s="1"/>
  <c r="AO334" i="10"/>
  <c r="AQ334" i="10" s="1"/>
  <c r="AO342" i="10"/>
  <c r="AQ342" i="10" s="1"/>
  <c r="AO350" i="10"/>
  <c r="AQ350" i="10" s="1"/>
  <c r="AO358" i="10"/>
  <c r="AQ358" i="10" s="1"/>
  <c r="AO366" i="10"/>
  <c r="AQ366" i="10" s="1"/>
  <c r="AN8" i="10"/>
  <c r="AP8" i="10" s="1"/>
  <c r="AN9" i="10"/>
  <c r="AP9" i="10" s="1"/>
  <c r="AO11" i="10"/>
  <c r="AQ11" i="10" s="1"/>
  <c r="AO331" i="10"/>
  <c r="AQ331" i="10" s="1"/>
  <c r="AS331" i="10" s="1"/>
  <c r="AT331" i="10" s="1"/>
  <c r="AU331" i="10" s="1"/>
  <c r="AO363" i="10"/>
  <c r="AQ363" i="10" s="1"/>
  <c r="AO213" i="10"/>
  <c r="AQ213" i="10" s="1"/>
  <c r="AO245" i="10"/>
  <c r="AQ245" i="10" s="1"/>
  <c r="AO277" i="10"/>
  <c r="AQ277" i="10" s="1"/>
  <c r="AO309" i="10"/>
  <c r="AQ309" i="10" s="1"/>
  <c r="AO341" i="10"/>
  <c r="AQ341" i="10" s="1"/>
  <c r="AO200" i="10"/>
  <c r="AQ200" i="10" s="1"/>
  <c r="AO208" i="10"/>
  <c r="AQ208" i="10" s="1"/>
  <c r="AO216" i="10"/>
  <c r="AQ216" i="10" s="1"/>
  <c r="AO224" i="10"/>
  <c r="AQ224" i="10" s="1"/>
  <c r="AO232" i="10"/>
  <c r="AQ232" i="10" s="1"/>
  <c r="AO240" i="10"/>
  <c r="AQ240" i="10" s="1"/>
  <c r="AO248" i="10"/>
  <c r="AQ248" i="10" s="1"/>
  <c r="AO256" i="10"/>
  <c r="AQ256" i="10" s="1"/>
  <c r="AO264" i="10"/>
  <c r="AQ264" i="10" s="1"/>
  <c r="AO272" i="10"/>
  <c r="AQ272" i="10" s="1"/>
  <c r="AO280" i="10"/>
  <c r="AQ280" i="10" s="1"/>
  <c r="AO288" i="10"/>
  <c r="AQ288" i="10" s="1"/>
  <c r="AO296" i="10"/>
  <c r="AQ296" i="10" s="1"/>
  <c r="AO304" i="10"/>
  <c r="AQ304" i="10" s="1"/>
  <c r="AO312" i="10"/>
  <c r="AQ312" i="10" s="1"/>
  <c r="AO320" i="10"/>
  <c r="AQ320" i="10" s="1"/>
  <c r="AO328" i="10"/>
  <c r="AQ328" i="10" s="1"/>
  <c r="AO336" i="10"/>
  <c r="AQ336" i="10" s="1"/>
  <c r="AO344" i="10"/>
  <c r="AQ344" i="10" s="1"/>
  <c r="AO352" i="10"/>
  <c r="AQ352" i="10" s="1"/>
  <c r="AO360" i="10"/>
  <c r="AQ360" i="10" s="1"/>
  <c r="AN12" i="10"/>
  <c r="AP12" i="10" s="1"/>
  <c r="AN7" i="10"/>
  <c r="AP7" i="10" s="1"/>
  <c r="AR145" i="10"/>
  <c r="AR265" i="10"/>
  <c r="AR61" i="10"/>
  <c r="BC33" i="12"/>
  <c r="BE33" i="12" s="1"/>
  <c r="BC36" i="12"/>
  <c r="BE36" i="12" s="1"/>
  <c r="BD33" i="12"/>
  <c r="BF33" i="12" s="1"/>
  <c r="BC35" i="12"/>
  <c r="BE35" i="12" s="1"/>
  <c r="BD34" i="12"/>
  <c r="BF34" i="12" s="1"/>
  <c r="BD35" i="12"/>
  <c r="BF35" i="12" s="1"/>
  <c r="BD227" i="12"/>
  <c r="BF227" i="12" s="1"/>
  <c r="BD223" i="12"/>
  <c r="BF223" i="12" s="1"/>
  <c r="BH223" i="12" s="1"/>
  <c r="BI223" i="12" s="1"/>
  <c r="BD224" i="12"/>
  <c r="BF224" i="12" s="1"/>
  <c r="BC224" i="12"/>
  <c r="BE224" i="12" s="1"/>
  <c r="BC226" i="12"/>
  <c r="BE226" i="12" s="1"/>
  <c r="BD228" i="12"/>
  <c r="BF228" i="12" s="1"/>
  <c r="BD129" i="12"/>
  <c r="BF129" i="12" s="1"/>
  <c r="BD130" i="12"/>
  <c r="BF130" i="12" s="1"/>
  <c r="BC128" i="12"/>
  <c r="BE128" i="12" s="1"/>
  <c r="BC132" i="12"/>
  <c r="BE132" i="12" s="1"/>
  <c r="BD132" i="12"/>
  <c r="BF132" i="12" s="1"/>
  <c r="BC127" i="12"/>
  <c r="BE127" i="12" s="1"/>
  <c r="BG127" i="12" s="1"/>
  <c r="BC15" i="12"/>
  <c r="BE15" i="12" s="1"/>
  <c r="BC17" i="12"/>
  <c r="BE17" i="12" s="1"/>
  <c r="BC18" i="12"/>
  <c r="BE18" i="12" s="1"/>
  <c r="BD16" i="12"/>
  <c r="BF16" i="12" s="1"/>
  <c r="BD17" i="12"/>
  <c r="BF17" i="12" s="1"/>
  <c r="BD13" i="12"/>
  <c r="BF13" i="12" s="1"/>
  <c r="BH13" i="12" s="1"/>
  <c r="BC308" i="12"/>
  <c r="BE308" i="12" s="1"/>
  <c r="BD307" i="12"/>
  <c r="BF307" i="12" s="1"/>
  <c r="BH307" i="12" s="1"/>
  <c r="BD312" i="12"/>
  <c r="BF312" i="12" s="1"/>
  <c r="BD310" i="12"/>
  <c r="BF310" i="12" s="1"/>
  <c r="BC307" i="12"/>
  <c r="BE307" i="12" s="1"/>
  <c r="BG307" i="12" s="1"/>
  <c r="BI307" i="12" s="1"/>
  <c r="BD309" i="12"/>
  <c r="BF309" i="12" s="1"/>
  <c r="BD183" i="12"/>
  <c r="BF183" i="12" s="1"/>
  <c r="BD186" i="12"/>
  <c r="BF186" i="12" s="1"/>
  <c r="BD181" i="12"/>
  <c r="BF181" i="12" s="1"/>
  <c r="BH181" i="12" s="1"/>
  <c r="BI181" i="12" s="1"/>
  <c r="BC185" i="12"/>
  <c r="BE185" i="12" s="1"/>
  <c r="BD185" i="12"/>
  <c r="BF185" i="12" s="1"/>
  <c r="BC184" i="12"/>
  <c r="BE184" i="12" s="1"/>
  <c r="AN301" i="10"/>
  <c r="AP301" i="10" s="1"/>
  <c r="AN303" i="10"/>
  <c r="AP303" i="10" s="1"/>
  <c r="AN302" i="10"/>
  <c r="AP302" i="10" s="1"/>
  <c r="AO36" i="10"/>
  <c r="AQ36" i="10" s="1"/>
  <c r="AN36" i="10"/>
  <c r="AP36" i="10" s="1"/>
  <c r="AN34" i="10"/>
  <c r="AP34" i="10" s="1"/>
  <c r="AO35" i="10"/>
  <c r="AQ35" i="10" s="1"/>
  <c r="AN35" i="10"/>
  <c r="AP35" i="10" s="1"/>
  <c r="AO31" i="10"/>
  <c r="AQ31" i="10" s="1"/>
  <c r="AN304" i="10"/>
  <c r="AP304" i="10" s="1"/>
  <c r="BD32" i="12"/>
  <c r="BF32" i="12" s="1"/>
  <c r="BD31" i="12"/>
  <c r="BF31" i="12" s="1"/>
  <c r="BH31" i="12" s="1"/>
  <c r="BC31" i="12"/>
  <c r="BE31" i="12" s="1"/>
  <c r="BG31" i="12" s="1"/>
  <c r="BC225" i="12"/>
  <c r="BE225" i="12" s="1"/>
  <c r="BC228" i="12"/>
  <c r="BE228" i="12" s="1"/>
  <c r="BD226" i="12"/>
  <c r="BF226" i="12" s="1"/>
  <c r="BC131" i="12"/>
  <c r="BE131" i="12" s="1"/>
  <c r="BC130" i="12"/>
  <c r="BE130" i="12" s="1"/>
  <c r="BD128" i="12"/>
  <c r="BF128" i="12" s="1"/>
  <c r="BD15" i="12"/>
  <c r="BF15" i="12" s="1"/>
  <c r="BC16" i="12"/>
  <c r="BE16" i="12" s="1"/>
  <c r="BC13" i="12"/>
  <c r="BE13" i="12" s="1"/>
  <c r="BD311" i="12"/>
  <c r="BF311" i="12" s="1"/>
  <c r="BC311" i="12"/>
  <c r="BE311" i="12" s="1"/>
  <c r="BC310" i="12"/>
  <c r="BE310" i="12" s="1"/>
  <c r="BC183" i="12"/>
  <c r="BE183" i="12" s="1"/>
  <c r="BC186" i="12"/>
  <c r="BE186" i="12" s="1"/>
  <c r="BD184" i="12"/>
  <c r="BF184" i="12" s="1"/>
  <c r="AO33" i="10"/>
  <c r="AQ33" i="10" s="1"/>
  <c r="AN32" i="10"/>
  <c r="AP32" i="10" s="1"/>
  <c r="AO34" i="10"/>
  <c r="AQ34" i="10" s="1"/>
  <c r="BI301" i="12"/>
  <c r="BI205" i="12"/>
  <c r="AR49" i="10"/>
  <c r="BF10" i="6"/>
  <c r="BG10" i="6" s="1"/>
  <c r="BH10" i="6" s="1"/>
  <c r="BJ10" i="6" s="1"/>
  <c r="BK10" i="6" s="1"/>
  <c r="BC20" i="12"/>
  <c r="BE20" i="12" s="1"/>
  <c r="BC23" i="12"/>
  <c r="BE23" i="12" s="1"/>
  <c r="BD24" i="12"/>
  <c r="BF24" i="12" s="1"/>
  <c r="BD23" i="12"/>
  <c r="BF23" i="12" s="1"/>
  <c r="BC22" i="12"/>
  <c r="BE22" i="12" s="1"/>
  <c r="BD20" i="12"/>
  <c r="BF20" i="12" s="1"/>
  <c r="BC19" i="12"/>
  <c r="BE19" i="12" s="1"/>
  <c r="BG19" i="12" s="1"/>
  <c r="BC21" i="12"/>
  <c r="BE21" i="12" s="1"/>
  <c r="BD19" i="12"/>
  <c r="BF19" i="12" s="1"/>
  <c r="BH19" i="12" s="1"/>
  <c r="BC24" i="12"/>
  <c r="BE24" i="12" s="1"/>
  <c r="BD21" i="12"/>
  <c r="BF21" i="12" s="1"/>
  <c r="BD22" i="12"/>
  <c r="BF22" i="12" s="1"/>
  <c r="BC57" i="12"/>
  <c r="BE57" i="12" s="1"/>
  <c r="BC55" i="12"/>
  <c r="BE55" i="12" s="1"/>
  <c r="BG55" i="12" s="1"/>
  <c r="BC58" i="12"/>
  <c r="BE58" i="12" s="1"/>
  <c r="BD56" i="12"/>
  <c r="BF56" i="12" s="1"/>
  <c r="BD59" i="12"/>
  <c r="BF59" i="12" s="1"/>
  <c r="BC60" i="12"/>
  <c r="BE60" i="12" s="1"/>
  <c r="BC56" i="12"/>
  <c r="BE56" i="12" s="1"/>
  <c r="BC59" i="12"/>
  <c r="BE59" i="12" s="1"/>
  <c r="BD57" i="12"/>
  <c r="BF57" i="12" s="1"/>
  <c r="BD58" i="12"/>
  <c r="BF58" i="12" s="1"/>
  <c r="BD60" i="12"/>
  <c r="BF60" i="12" s="1"/>
  <c r="BD55" i="12"/>
  <c r="BF55" i="12" s="1"/>
  <c r="BH55" i="12" s="1"/>
  <c r="BC49" i="12"/>
  <c r="BE49" i="12" s="1"/>
  <c r="BG49" i="12" s="1"/>
  <c r="BC50" i="12"/>
  <c r="BE50" i="12" s="1"/>
  <c r="BC53" i="12"/>
  <c r="BE53" i="12" s="1"/>
  <c r="BC54" i="12"/>
  <c r="BE54" i="12" s="1"/>
  <c r="BC52" i="12"/>
  <c r="BE52" i="12" s="1"/>
  <c r="BC51" i="12"/>
  <c r="BE51" i="12" s="1"/>
  <c r="BD51" i="12"/>
  <c r="BF51" i="12" s="1"/>
  <c r="BD53" i="12"/>
  <c r="BF53" i="12" s="1"/>
  <c r="BD54" i="12"/>
  <c r="BF54" i="12" s="1"/>
  <c r="BD49" i="12"/>
  <c r="BF49" i="12" s="1"/>
  <c r="BH49" i="12" s="1"/>
  <c r="BD50" i="12"/>
  <c r="BF50" i="12" s="1"/>
  <c r="BD52" i="12"/>
  <c r="BF52" i="12" s="1"/>
  <c r="BI199" i="12"/>
  <c r="BD263" i="12"/>
  <c r="BF263" i="12" s="1"/>
  <c r="BD264" i="12"/>
  <c r="BF264" i="12" s="1"/>
  <c r="BD259" i="12"/>
  <c r="BF259" i="12" s="1"/>
  <c r="BH259" i="12" s="1"/>
  <c r="BD262" i="12"/>
  <c r="BF262" i="12" s="1"/>
  <c r="BD261" i="12"/>
  <c r="BF261" i="12" s="1"/>
  <c r="BD260" i="12"/>
  <c r="BF260" i="12" s="1"/>
  <c r="BC263" i="12"/>
  <c r="BE263" i="12" s="1"/>
  <c r="BC261" i="12"/>
  <c r="BE261" i="12" s="1"/>
  <c r="BC260" i="12"/>
  <c r="BE260" i="12" s="1"/>
  <c r="BC264" i="12"/>
  <c r="BE264" i="12" s="1"/>
  <c r="BC262" i="12"/>
  <c r="BE262" i="12" s="1"/>
  <c r="BC259" i="12"/>
  <c r="BE259" i="12" s="1"/>
  <c r="BG259" i="12" s="1"/>
  <c r="BD174" i="12"/>
  <c r="BF174" i="12" s="1"/>
  <c r="BD169" i="12"/>
  <c r="BF169" i="12" s="1"/>
  <c r="BH169" i="12" s="1"/>
  <c r="BD171" i="12"/>
  <c r="BF171" i="12" s="1"/>
  <c r="BD172" i="12"/>
  <c r="BF172" i="12" s="1"/>
  <c r="BD170" i="12"/>
  <c r="BF170" i="12" s="1"/>
  <c r="BD173" i="12"/>
  <c r="BF173" i="12" s="1"/>
  <c r="BC172" i="12"/>
  <c r="BE172" i="12" s="1"/>
  <c r="BC169" i="12"/>
  <c r="BE169" i="12" s="1"/>
  <c r="BG169" i="12" s="1"/>
  <c r="BC173" i="12"/>
  <c r="BE173" i="12" s="1"/>
  <c r="BC170" i="12"/>
  <c r="BE170" i="12" s="1"/>
  <c r="BC171" i="12"/>
  <c r="BE171" i="12" s="1"/>
  <c r="BC174" i="12"/>
  <c r="BE174" i="12" s="1"/>
  <c r="BD81" i="12"/>
  <c r="BF81" i="12" s="1"/>
  <c r="BD82" i="12"/>
  <c r="BF82" i="12" s="1"/>
  <c r="BD84" i="12"/>
  <c r="BF84" i="12" s="1"/>
  <c r="BD79" i="12"/>
  <c r="BF79" i="12" s="1"/>
  <c r="BH79" i="12" s="1"/>
  <c r="BD80" i="12"/>
  <c r="BF80" i="12" s="1"/>
  <c r="BD83" i="12"/>
  <c r="BF83" i="12" s="1"/>
  <c r="BC83" i="12"/>
  <c r="BE83" i="12" s="1"/>
  <c r="BC79" i="12"/>
  <c r="BE79" i="12" s="1"/>
  <c r="BG79" i="12" s="1"/>
  <c r="BC82" i="12"/>
  <c r="BE82" i="12" s="1"/>
  <c r="BC81" i="12"/>
  <c r="BE81" i="12" s="1"/>
  <c r="BC84" i="12"/>
  <c r="BE84" i="12" s="1"/>
  <c r="BC80" i="12"/>
  <c r="BE80" i="12" s="1"/>
  <c r="BD244" i="12"/>
  <c r="BF244" i="12" s="1"/>
  <c r="BD242" i="12"/>
  <c r="BF242" i="12" s="1"/>
  <c r="BC241" i="12"/>
  <c r="BE241" i="12" s="1"/>
  <c r="BG241" i="12" s="1"/>
  <c r="BD243" i="12"/>
  <c r="BF243" i="12" s="1"/>
  <c r="BD241" i="12"/>
  <c r="BF241" i="12" s="1"/>
  <c r="BH241" i="12" s="1"/>
  <c r="BD245" i="12"/>
  <c r="BF245" i="12" s="1"/>
  <c r="BD246" i="12"/>
  <c r="BF246" i="12" s="1"/>
  <c r="BC245" i="12"/>
  <c r="BE245" i="12" s="1"/>
  <c r="BC246" i="12"/>
  <c r="BE246" i="12" s="1"/>
  <c r="BC243" i="12"/>
  <c r="BE243" i="12" s="1"/>
  <c r="BC244" i="12"/>
  <c r="BE244" i="12" s="1"/>
  <c r="BC242" i="12"/>
  <c r="BE242" i="12" s="1"/>
  <c r="BD195" i="12"/>
  <c r="BF195" i="12" s="1"/>
  <c r="BD194" i="12"/>
  <c r="BF194" i="12" s="1"/>
  <c r="BD197" i="12"/>
  <c r="BF197" i="12" s="1"/>
  <c r="BD193" i="12"/>
  <c r="BF193" i="12" s="1"/>
  <c r="BH193" i="12" s="1"/>
  <c r="BC196" i="12"/>
  <c r="BE196" i="12" s="1"/>
  <c r="BD196" i="12"/>
  <c r="BF196" i="12" s="1"/>
  <c r="BD198" i="12"/>
  <c r="BF198" i="12" s="1"/>
  <c r="BC195" i="12"/>
  <c r="BE195" i="12" s="1"/>
  <c r="BC193" i="12"/>
  <c r="BE193" i="12" s="1"/>
  <c r="BG193" i="12" s="1"/>
  <c r="BC197" i="12"/>
  <c r="BE197" i="12" s="1"/>
  <c r="BC194" i="12"/>
  <c r="BE194" i="12" s="1"/>
  <c r="BC198" i="12"/>
  <c r="BE198" i="12" s="1"/>
  <c r="BD154" i="12"/>
  <c r="BF154" i="12" s="1"/>
  <c r="BD152" i="12"/>
  <c r="BF152" i="12" s="1"/>
  <c r="BD151" i="12"/>
  <c r="BF151" i="12" s="1"/>
  <c r="BH151" i="12" s="1"/>
  <c r="BC153" i="12"/>
  <c r="BE153" i="12" s="1"/>
  <c r="BC155" i="12"/>
  <c r="BE155" i="12" s="1"/>
  <c r="BD156" i="12"/>
  <c r="BF156" i="12" s="1"/>
  <c r="BC151" i="12"/>
  <c r="BE151" i="12" s="1"/>
  <c r="BG151" i="12" s="1"/>
  <c r="BI151" i="12" s="1"/>
  <c r="BD153" i="12"/>
  <c r="BF153" i="12" s="1"/>
  <c r="BD155" i="12"/>
  <c r="BF155" i="12" s="1"/>
  <c r="BC154" i="12"/>
  <c r="BE154" i="12" s="1"/>
  <c r="BC156" i="12"/>
  <c r="BE156" i="12" s="1"/>
  <c r="BC152" i="12"/>
  <c r="BE152" i="12" s="1"/>
  <c r="BD290" i="12"/>
  <c r="BF290" i="12" s="1"/>
  <c r="BC291" i="12"/>
  <c r="BE291" i="12" s="1"/>
  <c r="BD292" i="12"/>
  <c r="BF292" i="12" s="1"/>
  <c r="BD294" i="12"/>
  <c r="BF294" i="12" s="1"/>
  <c r="BD289" i="12"/>
  <c r="BF289" i="12" s="1"/>
  <c r="BH289" i="12" s="1"/>
  <c r="BC292" i="12"/>
  <c r="BE292" i="12" s="1"/>
  <c r="BD293" i="12"/>
  <c r="BF293" i="12" s="1"/>
  <c r="BC290" i="12"/>
  <c r="BE290" i="12" s="1"/>
  <c r="BC289" i="12"/>
  <c r="BE289" i="12" s="1"/>
  <c r="BG289" i="12" s="1"/>
  <c r="BC293" i="12"/>
  <c r="BE293" i="12" s="1"/>
  <c r="BC294" i="12"/>
  <c r="BE294" i="12" s="1"/>
  <c r="BD291" i="12"/>
  <c r="BF291" i="12" s="1"/>
  <c r="BC157" i="12"/>
  <c r="BE157" i="12" s="1"/>
  <c r="BG157" i="12" s="1"/>
  <c r="BD159" i="12"/>
  <c r="BF159" i="12" s="1"/>
  <c r="BD162" i="12"/>
  <c r="BF162" i="12" s="1"/>
  <c r="BD158" i="12"/>
  <c r="BF158" i="12" s="1"/>
  <c r="BD160" i="12"/>
  <c r="BF160" i="12" s="1"/>
  <c r="BD157" i="12"/>
  <c r="BF157" i="12" s="1"/>
  <c r="BH157" i="12" s="1"/>
  <c r="BC161" i="12"/>
  <c r="BE161" i="12" s="1"/>
  <c r="BC159" i="12"/>
  <c r="BE159" i="12" s="1"/>
  <c r="BD161" i="12"/>
  <c r="BF161" i="12" s="1"/>
  <c r="BC162" i="12"/>
  <c r="BE162" i="12" s="1"/>
  <c r="BC160" i="12"/>
  <c r="BE160" i="12" s="1"/>
  <c r="BC158" i="12"/>
  <c r="BE158" i="12" s="1"/>
  <c r="BD148" i="12"/>
  <c r="BF148" i="12" s="1"/>
  <c r="BD147" i="12"/>
  <c r="BF147" i="12" s="1"/>
  <c r="BD149" i="12"/>
  <c r="BF149" i="12" s="1"/>
  <c r="BD150" i="12"/>
  <c r="BF150" i="12" s="1"/>
  <c r="BD145" i="12"/>
  <c r="BF145" i="12" s="1"/>
  <c r="BH145" i="12" s="1"/>
  <c r="BC147" i="12"/>
  <c r="BE147" i="12" s="1"/>
  <c r="BC150" i="12"/>
  <c r="BE150" i="12" s="1"/>
  <c r="BC146" i="12"/>
  <c r="BE146" i="12" s="1"/>
  <c r="BC145" i="12"/>
  <c r="BE145" i="12" s="1"/>
  <c r="BG145" i="12" s="1"/>
  <c r="BC149" i="12"/>
  <c r="BE149" i="12" s="1"/>
  <c r="BC148" i="12"/>
  <c r="BE148" i="12" s="1"/>
  <c r="BD146" i="12"/>
  <c r="BF146" i="12" s="1"/>
  <c r="BD107" i="12"/>
  <c r="BF107" i="12" s="1"/>
  <c r="BD105" i="12"/>
  <c r="BF105" i="12" s="1"/>
  <c r="BC107" i="12"/>
  <c r="BE107" i="12" s="1"/>
  <c r="BC103" i="12"/>
  <c r="BE103" i="12" s="1"/>
  <c r="BG103" i="12" s="1"/>
  <c r="BD106" i="12"/>
  <c r="BF106" i="12" s="1"/>
  <c r="BC105" i="12"/>
  <c r="BE105" i="12" s="1"/>
  <c r="BD104" i="12"/>
  <c r="BF104" i="12" s="1"/>
  <c r="BD108" i="12"/>
  <c r="BF108" i="12" s="1"/>
  <c r="BC104" i="12"/>
  <c r="BE104" i="12" s="1"/>
  <c r="BD103" i="12"/>
  <c r="BF103" i="12" s="1"/>
  <c r="BH103" i="12" s="1"/>
  <c r="BC108" i="12"/>
  <c r="BE108" i="12" s="1"/>
  <c r="BC106" i="12"/>
  <c r="BE106" i="12" s="1"/>
  <c r="BI127" i="12"/>
  <c r="BG13" i="12"/>
  <c r="BH7" i="12"/>
  <c r="BD359" i="12"/>
  <c r="BF359" i="12" s="1"/>
  <c r="BD358" i="12"/>
  <c r="BF358" i="12" s="1"/>
  <c r="BD357" i="12"/>
  <c r="BF357" i="12" s="1"/>
  <c r="BD360" i="12"/>
  <c r="BF360" i="12" s="1"/>
  <c r="BD356" i="12"/>
  <c r="BF356" i="12" s="1"/>
  <c r="BC359" i="12"/>
  <c r="BE359" i="12" s="1"/>
  <c r="BC355" i="12"/>
  <c r="BE355" i="12" s="1"/>
  <c r="BG355" i="12" s="1"/>
  <c r="BD355" i="12"/>
  <c r="BF355" i="12" s="1"/>
  <c r="BH355" i="12" s="1"/>
  <c r="BC357" i="12"/>
  <c r="BE357" i="12" s="1"/>
  <c r="BC358" i="12"/>
  <c r="BE358" i="12" s="1"/>
  <c r="BC356" i="12"/>
  <c r="BE356" i="12" s="1"/>
  <c r="BC360" i="12"/>
  <c r="BE360" i="12" s="1"/>
  <c r="BD77" i="12"/>
  <c r="BF77" i="12" s="1"/>
  <c r="BD74" i="12"/>
  <c r="BF74" i="12" s="1"/>
  <c r="BD76" i="12"/>
  <c r="BF76" i="12" s="1"/>
  <c r="BC78" i="12"/>
  <c r="BE78" i="12" s="1"/>
  <c r="BD78" i="12"/>
  <c r="BF78" i="12" s="1"/>
  <c r="BC73" i="12"/>
  <c r="BE73" i="12" s="1"/>
  <c r="BG73" i="12" s="1"/>
  <c r="BC75" i="12"/>
  <c r="BE75" i="12" s="1"/>
  <c r="BC76" i="12"/>
  <c r="BE76" i="12" s="1"/>
  <c r="BD73" i="12"/>
  <c r="BF73" i="12" s="1"/>
  <c r="BH73" i="12" s="1"/>
  <c r="BC74" i="12"/>
  <c r="BE74" i="12" s="1"/>
  <c r="BD75" i="12"/>
  <c r="BF75" i="12" s="1"/>
  <c r="BC77" i="12"/>
  <c r="BE77" i="12" s="1"/>
  <c r="BD176" i="12"/>
  <c r="BF176" i="12" s="1"/>
  <c r="BD180" i="12"/>
  <c r="BF180" i="12" s="1"/>
  <c r="BD179" i="12"/>
  <c r="BF179" i="12" s="1"/>
  <c r="BD178" i="12"/>
  <c r="BF178" i="12" s="1"/>
  <c r="BD175" i="12"/>
  <c r="BF175" i="12" s="1"/>
  <c r="BH175" i="12" s="1"/>
  <c r="BD177" i="12"/>
  <c r="BF177" i="12" s="1"/>
  <c r="BC180" i="12"/>
  <c r="BE180" i="12" s="1"/>
  <c r="BC175" i="12"/>
  <c r="BE175" i="12" s="1"/>
  <c r="BG175" i="12" s="1"/>
  <c r="BC177" i="12"/>
  <c r="BE177" i="12" s="1"/>
  <c r="BC179" i="12"/>
  <c r="BE179" i="12" s="1"/>
  <c r="BC178" i="12"/>
  <c r="BE178" i="12" s="1"/>
  <c r="BC176" i="12"/>
  <c r="BE176" i="12" s="1"/>
  <c r="BD95" i="12"/>
  <c r="BF95" i="12" s="1"/>
  <c r="BD93" i="12"/>
  <c r="BF93" i="12" s="1"/>
  <c r="BD96" i="12"/>
  <c r="BF96" i="12" s="1"/>
  <c r="BD91" i="12"/>
  <c r="BF91" i="12" s="1"/>
  <c r="BH91" i="12" s="1"/>
  <c r="BC96" i="12"/>
  <c r="BE96" i="12" s="1"/>
  <c r="BD94" i="12"/>
  <c r="BF94" i="12" s="1"/>
  <c r="BC94" i="12"/>
  <c r="BE94" i="12" s="1"/>
  <c r="BC91" i="12"/>
  <c r="BE91" i="12" s="1"/>
  <c r="BG91" i="12" s="1"/>
  <c r="BD92" i="12"/>
  <c r="BF92" i="12" s="1"/>
  <c r="BC93" i="12"/>
  <c r="BE93" i="12" s="1"/>
  <c r="BC92" i="12"/>
  <c r="BE92" i="12" s="1"/>
  <c r="BC95" i="12"/>
  <c r="BE95" i="12" s="1"/>
  <c r="BC70" i="12"/>
  <c r="BE70" i="12" s="1"/>
  <c r="BC67" i="12"/>
  <c r="BE67" i="12" s="1"/>
  <c r="BG67" i="12" s="1"/>
  <c r="BC72" i="12"/>
  <c r="BE72" i="12" s="1"/>
  <c r="BC71" i="12"/>
  <c r="BE71" i="12" s="1"/>
  <c r="BC69" i="12"/>
  <c r="BE69" i="12" s="1"/>
  <c r="BC68" i="12"/>
  <c r="BE68" i="12" s="1"/>
  <c r="BD68" i="12"/>
  <c r="BF68" i="12" s="1"/>
  <c r="BD67" i="12"/>
  <c r="BF67" i="12" s="1"/>
  <c r="BH67" i="12" s="1"/>
  <c r="BD69" i="12"/>
  <c r="BF69" i="12" s="1"/>
  <c r="BD71" i="12"/>
  <c r="BF71" i="12" s="1"/>
  <c r="BD72" i="12"/>
  <c r="BF72" i="12" s="1"/>
  <c r="BD70" i="12"/>
  <c r="BF70" i="12" s="1"/>
  <c r="BD352" i="12"/>
  <c r="BF352" i="12" s="1"/>
  <c r="BC352" i="12"/>
  <c r="BE352" i="12" s="1"/>
  <c r="BD354" i="12"/>
  <c r="BF354" i="12" s="1"/>
  <c r="BC351" i="12"/>
  <c r="BE351" i="12" s="1"/>
  <c r="BD353" i="12"/>
  <c r="BF353" i="12" s="1"/>
  <c r="BC353" i="12"/>
  <c r="BE353" i="12" s="1"/>
  <c r="BC354" i="12"/>
  <c r="BE354" i="12" s="1"/>
  <c r="BC350" i="12"/>
  <c r="BE350" i="12" s="1"/>
  <c r="BC349" i="12"/>
  <c r="BE349" i="12" s="1"/>
  <c r="BG349" i="12" s="1"/>
  <c r="BD349" i="12"/>
  <c r="BF349" i="12" s="1"/>
  <c r="BH349" i="12" s="1"/>
  <c r="BD351" i="12"/>
  <c r="BF351" i="12" s="1"/>
  <c r="BD350" i="12"/>
  <c r="BF350" i="12" s="1"/>
  <c r="BD215" i="12"/>
  <c r="BF215" i="12" s="1"/>
  <c r="BD212" i="12"/>
  <c r="BF212" i="12" s="1"/>
  <c r="BC214" i="12"/>
  <c r="BE214" i="12" s="1"/>
  <c r="BC215" i="12"/>
  <c r="BE215" i="12" s="1"/>
  <c r="BD211" i="12"/>
  <c r="BF211" i="12" s="1"/>
  <c r="BH211" i="12" s="1"/>
  <c r="BC211" i="12"/>
  <c r="BE211" i="12" s="1"/>
  <c r="BG211" i="12" s="1"/>
  <c r="BD214" i="12"/>
  <c r="BF214" i="12" s="1"/>
  <c r="BC213" i="12"/>
  <c r="BE213" i="12" s="1"/>
  <c r="BD216" i="12"/>
  <c r="BF216" i="12" s="1"/>
  <c r="BD213" i="12"/>
  <c r="BF213" i="12" s="1"/>
  <c r="BC216" i="12"/>
  <c r="BE216" i="12" s="1"/>
  <c r="BC212" i="12"/>
  <c r="BE212" i="12" s="1"/>
  <c r="BC271" i="12"/>
  <c r="BE271" i="12" s="1"/>
  <c r="BG271" i="12" s="1"/>
  <c r="BD271" i="12"/>
  <c r="BF271" i="12" s="1"/>
  <c r="BH271" i="12" s="1"/>
  <c r="BD272" i="12"/>
  <c r="BF272" i="12" s="1"/>
  <c r="BD273" i="12"/>
  <c r="BF273" i="12" s="1"/>
  <c r="BC275" i="12"/>
  <c r="BE275" i="12" s="1"/>
  <c r="BD276" i="12"/>
  <c r="BF276" i="12" s="1"/>
  <c r="BC274" i="12"/>
  <c r="BE274" i="12" s="1"/>
  <c r="BC273" i="12"/>
  <c r="BE273" i="12" s="1"/>
  <c r="BD275" i="12"/>
  <c r="BF275" i="12" s="1"/>
  <c r="BC272" i="12"/>
  <c r="BE272" i="12" s="1"/>
  <c r="BD274" i="12"/>
  <c r="BF274" i="12" s="1"/>
  <c r="BC276" i="12"/>
  <c r="BE276" i="12" s="1"/>
  <c r="AN257" i="10"/>
  <c r="AP257" i="10" s="1"/>
  <c r="AN258" i="10"/>
  <c r="AP258" i="10" s="1"/>
  <c r="AN253" i="10"/>
  <c r="AP253" i="10" s="1"/>
  <c r="AN254" i="10"/>
  <c r="AP254" i="10" s="1"/>
  <c r="AN256" i="10"/>
  <c r="AP256" i="10" s="1"/>
  <c r="AN255" i="10"/>
  <c r="AP255" i="10" s="1"/>
  <c r="BD116" i="12"/>
  <c r="BF116" i="12" s="1"/>
  <c r="BD117" i="12"/>
  <c r="BF117" i="12" s="1"/>
  <c r="BD119" i="12"/>
  <c r="BF119" i="12" s="1"/>
  <c r="BC116" i="12"/>
  <c r="BE116" i="12" s="1"/>
  <c r="BC119" i="12"/>
  <c r="BE119" i="12" s="1"/>
  <c r="BC115" i="12"/>
  <c r="BE115" i="12" s="1"/>
  <c r="BG115" i="12" s="1"/>
  <c r="BD118" i="12"/>
  <c r="BF118" i="12" s="1"/>
  <c r="BC117" i="12"/>
  <c r="BE117" i="12" s="1"/>
  <c r="BC120" i="12"/>
  <c r="BE120" i="12" s="1"/>
  <c r="BD120" i="12"/>
  <c r="BF120" i="12" s="1"/>
  <c r="BD115" i="12"/>
  <c r="BF115" i="12" s="1"/>
  <c r="BH115" i="12" s="1"/>
  <c r="BC118" i="12"/>
  <c r="BE118" i="12" s="1"/>
  <c r="BD133" i="12"/>
  <c r="BF133" i="12" s="1"/>
  <c r="BH133" i="12" s="1"/>
  <c r="BD136" i="12"/>
  <c r="BF136" i="12" s="1"/>
  <c r="BD134" i="12"/>
  <c r="BF134" i="12" s="1"/>
  <c r="BD135" i="12"/>
  <c r="BF135" i="12" s="1"/>
  <c r="BD138" i="12"/>
  <c r="BF138" i="12" s="1"/>
  <c r="BC133" i="12"/>
  <c r="BE133" i="12" s="1"/>
  <c r="BG133" i="12" s="1"/>
  <c r="BC135" i="12"/>
  <c r="BE135" i="12" s="1"/>
  <c r="BC138" i="12"/>
  <c r="BE138" i="12" s="1"/>
  <c r="BC137" i="12"/>
  <c r="BE137" i="12" s="1"/>
  <c r="BC136" i="12"/>
  <c r="BE136" i="12" s="1"/>
  <c r="BD137" i="12"/>
  <c r="BF137" i="12" s="1"/>
  <c r="BC134" i="12"/>
  <c r="BE134" i="12" s="1"/>
  <c r="BD229" i="12"/>
  <c r="BF229" i="12" s="1"/>
  <c r="BH229" i="12" s="1"/>
  <c r="BD233" i="12"/>
  <c r="BF233" i="12" s="1"/>
  <c r="BD231" i="12"/>
  <c r="BF231" i="12" s="1"/>
  <c r="BD232" i="12"/>
  <c r="BF232" i="12" s="1"/>
  <c r="BD234" i="12"/>
  <c r="BF234" i="12" s="1"/>
  <c r="BD230" i="12"/>
  <c r="BF230" i="12" s="1"/>
  <c r="BC231" i="12"/>
  <c r="BE231" i="12" s="1"/>
  <c r="BC233" i="12"/>
  <c r="BE233" i="12" s="1"/>
  <c r="BC230" i="12"/>
  <c r="BE230" i="12" s="1"/>
  <c r="BC232" i="12"/>
  <c r="BE232" i="12" s="1"/>
  <c r="BC234" i="12"/>
  <c r="BE234" i="12" s="1"/>
  <c r="BC229" i="12"/>
  <c r="BE229" i="12" s="1"/>
  <c r="BG229" i="12" s="1"/>
  <c r="BD126" i="12"/>
  <c r="BF126" i="12" s="1"/>
  <c r="BD121" i="12"/>
  <c r="BF121" i="12" s="1"/>
  <c r="BH121" i="12" s="1"/>
  <c r="BD123" i="12"/>
  <c r="BF123" i="12" s="1"/>
  <c r="BD125" i="12"/>
  <c r="BF125" i="12" s="1"/>
  <c r="BD122" i="12"/>
  <c r="BF122" i="12" s="1"/>
  <c r="BD124" i="12"/>
  <c r="BF124" i="12" s="1"/>
  <c r="BC124" i="12"/>
  <c r="BE124" i="12" s="1"/>
  <c r="BC126" i="12"/>
  <c r="BE126" i="12" s="1"/>
  <c r="BC123" i="12"/>
  <c r="BE123" i="12" s="1"/>
  <c r="BC122" i="12"/>
  <c r="BE122" i="12" s="1"/>
  <c r="BC125" i="12"/>
  <c r="BE125" i="12" s="1"/>
  <c r="BC121" i="12"/>
  <c r="BE121" i="12" s="1"/>
  <c r="BG121" i="12" s="1"/>
  <c r="BG7" i="12"/>
  <c r="BD110" i="12"/>
  <c r="BF110" i="12" s="1"/>
  <c r="BD112" i="12"/>
  <c r="BF112" i="12" s="1"/>
  <c r="BD109" i="12"/>
  <c r="BF109" i="12" s="1"/>
  <c r="BH109" i="12" s="1"/>
  <c r="BC110" i="12"/>
  <c r="BE110" i="12" s="1"/>
  <c r="BC111" i="12"/>
  <c r="BE111" i="12" s="1"/>
  <c r="BD111" i="12"/>
  <c r="BF111" i="12" s="1"/>
  <c r="BC109" i="12"/>
  <c r="BE109" i="12" s="1"/>
  <c r="BG109" i="12" s="1"/>
  <c r="BD114" i="12"/>
  <c r="BF114" i="12" s="1"/>
  <c r="BC114" i="12"/>
  <c r="BE114" i="12" s="1"/>
  <c r="BC113" i="12"/>
  <c r="BE113" i="12" s="1"/>
  <c r="BD113" i="12"/>
  <c r="BF113" i="12" s="1"/>
  <c r="BC112" i="12"/>
  <c r="BE112" i="12" s="1"/>
  <c r="BD323" i="12"/>
  <c r="BF323" i="12" s="1"/>
  <c r="BD319" i="12"/>
  <c r="BF319" i="12" s="1"/>
  <c r="BH319" i="12" s="1"/>
  <c r="BD324" i="12"/>
  <c r="BF324" i="12" s="1"/>
  <c r="BD322" i="12"/>
  <c r="BF322" i="12" s="1"/>
  <c r="BD320" i="12"/>
  <c r="BF320" i="12" s="1"/>
  <c r="BD321" i="12"/>
  <c r="BF321" i="12" s="1"/>
  <c r="BC322" i="12"/>
  <c r="BE322" i="12" s="1"/>
  <c r="BC320" i="12"/>
  <c r="BE320" i="12" s="1"/>
  <c r="BC321" i="12"/>
  <c r="BE321" i="12" s="1"/>
  <c r="BC324" i="12"/>
  <c r="BE324" i="12" s="1"/>
  <c r="BC323" i="12"/>
  <c r="BE323" i="12" s="1"/>
  <c r="BC319" i="12"/>
  <c r="BE319" i="12" s="1"/>
  <c r="BG319" i="12" s="1"/>
  <c r="BD268" i="12"/>
  <c r="BF268" i="12" s="1"/>
  <c r="BD270" i="12"/>
  <c r="BF270" i="12" s="1"/>
  <c r="BD267" i="12"/>
  <c r="BF267" i="12" s="1"/>
  <c r="BD269" i="12"/>
  <c r="BF269" i="12" s="1"/>
  <c r="BD266" i="12"/>
  <c r="BF266" i="12" s="1"/>
  <c r="BD265" i="12"/>
  <c r="BF265" i="12" s="1"/>
  <c r="BH265" i="12" s="1"/>
  <c r="BC269" i="12"/>
  <c r="BE269" i="12" s="1"/>
  <c r="BC268" i="12"/>
  <c r="BE268" i="12" s="1"/>
  <c r="BC265" i="12"/>
  <c r="BE265" i="12" s="1"/>
  <c r="BG265" i="12" s="1"/>
  <c r="BC267" i="12"/>
  <c r="BE267" i="12" s="1"/>
  <c r="BC270" i="12"/>
  <c r="BE270" i="12" s="1"/>
  <c r="BC266" i="12"/>
  <c r="BE266" i="12" s="1"/>
  <c r="BD362" i="12"/>
  <c r="BF362" i="12" s="1"/>
  <c r="BD364" i="12"/>
  <c r="BF364" i="12" s="1"/>
  <c r="BD366" i="12"/>
  <c r="BF366" i="12" s="1"/>
  <c r="BD361" i="12"/>
  <c r="BF361" i="12" s="1"/>
  <c r="BH361" i="12" s="1"/>
  <c r="BC364" i="12"/>
  <c r="BE364" i="12" s="1"/>
  <c r="BC365" i="12"/>
  <c r="BE365" i="12" s="1"/>
  <c r="BD365" i="12"/>
  <c r="BF365" i="12" s="1"/>
  <c r="BC362" i="12"/>
  <c r="BE362" i="12" s="1"/>
  <c r="BC363" i="12"/>
  <c r="BE363" i="12" s="1"/>
  <c r="BD363" i="12"/>
  <c r="BF363" i="12" s="1"/>
  <c r="BC366" i="12"/>
  <c r="BE366" i="12" s="1"/>
  <c r="BC361" i="12"/>
  <c r="BE361" i="12" s="1"/>
  <c r="BG361" i="12" s="1"/>
  <c r="BC45" i="12"/>
  <c r="BE45" i="12" s="1"/>
  <c r="BC47" i="12"/>
  <c r="BE47" i="12" s="1"/>
  <c r="BC48" i="12"/>
  <c r="BE48" i="12" s="1"/>
  <c r="BC43" i="12"/>
  <c r="BE43" i="12" s="1"/>
  <c r="BG43" i="12" s="1"/>
  <c r="BC46" i="12"/>
  <c r="BE46" i="12" s="1"/>
  <c r="BC44" i="12"/>
  <c r="BE44" i="12" s="1"/>
  <c r="BD45" i="12"/>
  <c r="BF45" i="12" s="1"/>
  <c r="BD46" i="12"/>
  <c r="BF46" i="12" s="1"/>
  <c r="BD48" i="12"/>
  <c r="BF48" i="12" s="1"/>
  <c r="BD47" i="12"/>
  <c r="BF47" i="12" s="1"/>
  <c r="BD44" i="12"/>
  <c r="BF44" i="12" s="1"/>
  <c r="BD43" i="12"/>
  <c r="BF43" i="12" s="1"/>
  <c r="BH43" i="12" s="1"/>
  <c r="BI43" i="12" s="1"/>
  <c r="BD191" i="12"/>
  <c r="BF191" i="12" s="1"/>
  <c r="BD192" i="12"/>
  <c r="BF192" i="12" s="1"/>
  <c r="BD190" i="12"/>
  <c r="BF190" i="12" s="1"/>
  <c r="BC192" i="12"/>
  <c r="BE192" i="12" s="1"/>
  <c r="BC189" i="12"/>
  <c r="BE189" i="12" s="1"/>
  <c r="BC187" i="12"/>
  <c r="BE187" i="12" s="1"/>
  <c r="BG187" i="12" s="1"/>
  <c r="BC191" i="12"/>
  <c r="BE191" i="12" s="1"/>
  <c r="BD188" i="12"/>
  <c r="BF188" i="12" s="1"/>
  <c r="BD189" i="12"/>
  <c r="BF189" i="12" s="1"/>
  <c r="BD187" i="12"/>
  <c r="BF187" i="12" s="1"/>
  <c r="BH187" i="12" s="1"/>
  <c r="BI187" i="12" s="1"/>
  <c r="BC188" i="12"/>
  <c r="BE188" i="12" s="1"/>
  <c r="BC190" i="12"/>
  <c r="BE190" i="12" s="1"/>
  <c r="BD314" i="12"/>
  <c r="BF314" i="12" s="1"/>
  <c r="BD313" i="12"/>
  <c r="BF313" i="12" s="1"/>
  <c r="BH313" i="12" s="1"/>
  <c r="BC316" i="12"/>
  <c r="BE316" i="12" s="1"/>
  <c r="BD316" i="12"/>
  <c r="BF316" i="12" s="1"/>
  <c r="BD317" i="12"/>
  <c r="BF317" i="12" s="1"/>
  <c r="BD315" i="12"/>
  <c r="BF315" i="12" s="1"/>
  <c r="BD318" i="12"/>
  <c r="BF318" i="12" s="1"/>
  <c r="BC313" i="12"/>
  <c r="BE313" i="12" s="1"/>
  <c r="BG313" i="12" s="1"/>
  <c r="BC314" i="12"/>
  <c r="BE314" i="12" s="1"/>
  <c r="BC315" i="12"/>
  <c r="BE315" i="12" s="1"/>
  <c r="BC317" i="12"/>
  <c r="BE317" i="12" s="1"/>
  <c r="BC318" i="12"/>
  <c r="BE318" i="12" s="1"/>
  <c r="BD144" i="12"/>
  <c r="BF144" i="12" s="1"/>
  <c r="BD142" i="12"/>
  <c r="BF142" i="12" s="1"/>
  <c r="BD143" i="12"/>
  <c r="BF143" i="12" s="1"/>
  <c r="BD141" i="12"/>
  <c r="BF141" i="12" s="1"/>
  <c r="BC141" i="12"/>
  <c r="BE141" i="12" s="1"/>
  <c r="BD139" i="12"/>
  <c r="BF139" i="12" s="1"/>
  <c r="BH139" i="12" s="1"/>
  <c r="BC142" i="12"/>
  <c r="BE142" i="12" s="1"/>
  <c r="BC140" i="12"/>
  <c r="BE140" i="12" s="1"/>
  <c r="BD140" i="12"/>
  <c r="BF140" i="12" s="1"/>
  <c r="BC143" i="12"/>
  <c r="BE143" i="12" s="1"/>
  <c r="BC144" i="12"/>
  <c r="BE144" i="12" s="1"/>
  <c r="BC139" i="12"/>
  <c r="BE139" i="12" s="1"/>
  <c r="BG139" i="12" s="1"/>
  <c r="BD219" i="12"/>
  <c r="BF219" i="12" s="1"/>
  <c r="BD222" i="12"/>
  <c r="BF222" i="12" s="1"/>
  <c r="BD217" i="12"/>
  <c r="BF217" i="12" s="1"/>
  <c r="BH217" i="12" s="1"/>
  <c r="BC217" i="12"/>
  <c r="BE217" i="12" s="1"/>
  <c r="BG217" i="12" s="1"/>
  <c r="BC219" i="12"/>
  <c r="BE219" i="12" s="1"/>
  <c r="BC220" i="12"/>
  <c r="BE220" i="12" s="1"/>
  <c r="BD220" i="12"/>
  <c r="BF220" i="12" s="1"/>
  <c r="BC221" i="12"/>
  <c r="BE221" i="12" s="1"/>
  <c r="BD218" i="12"/>
  <c r="BF218" i="12" s="1"/>
  <c r="BC218" i="12"/>
  <c r="BE218" i="12" s="1"/>
  <c r="BC222" i="12"/>
  <c r="BE222" i="12" s="1"/>
  <c r="BD221" i="12"/>
  <c r="BF221" i="12" s="1"/>
  <c r="BI163" i="12"/>
  <c r="BC29" i="12"/>
  <c r="BE29" i="12" s="1"/>
  <c r="BC25" i="12"/>
  <c r="BE25" i="12" s="1"/>
  <c r="BG25" i="12" s="1"/>
  <c r="BC30" i="12"/>
  <c r="BE30" i="12" s="1"/>
  <c r="BC28" i="12"/>
  <c r="BE28" i="12" s="1"/>
  <c r="BC26" i="12"/>
  <c r="BE26" i="12" s="1"/>
  <c r="BC27" i="12"/>
  <c r="BE27" i="12" s="1"/>
  <c r="BD27" i="12"/>
  <c r="BF27" i="12" s="1"/>
  <c r="BD29" i="12"/>
  <c r="BF29" i="12" s="1"/>
  <c r="BD30" i="12"/>
  <c r="BF30" i="12" s="1"/>
  <c r="BD25" i="12"/>
  <c r="BF25" i="12" s="1"/>
  <c r="BH25" i="12" s="1"/>
  <c r="BD26" i="12"/>
  <c r="BF26" i="12" s="1"/>
  <c r="BD28" i="12"/>
  <c r="BF28" i="12" s="1"/>
  <c r="BD87" i="12"/>
  <c r="BF87" i="12" s="1"/>
  <c r="BD89" i="12"/>
  <c r="BF89" i="12" s="1"/>
  <c r="BC85" i="12"/>
  <c r="BE85" i="12" s="1"/>
  <c r="BG85" i="12" s="1"/>
  <c r="BC86" i="12"/>
  <c r="BE86" i="12" s="1"/>
  <c r="BD90" i="12"/>
  <c r="BF90" i="12" s="1"/>
  <c r="BC89" i="12"/>
  <c r="BE89" i="12" s="1"/>
  <c r="BD85" i="12"/>
  <c r="BF85" i="12" s="1"/>
  <c r="BH85" i="12" s="1"/>
  <c r="BI85" i="12" s="1"/>
  <c r="BD86" i="12"/>
  <c r="BF86" i="12" s="1"/>
  <c r="BC87" i="12"/>
  <c r="BE87" i="12" s="1"/>
  <c r="BD88" i="12"/>
  <c r="BF88" i="12" s="1"/>
  <c r="BC88" i="12"/>
  <c r="BE88" i="12" s="1"/>
  <c r="BC90" i="12"/>
  <c r="BE90" i="12" s="1"/>
  <c r="BC63" i="12"/>
  <c r="BE63" i="12" s="1"/>
  <c r="BC65" i="12"/>
  <c r="BE65" i="12" s="1"/>
  <c r="BC61" i="12"/>
  <c r="BE61" i="12" s="1"/>
  <c r="BG61" i="12" s="1"/>
  <c r="BC66" i="12"/>
  <c r="BE66" i="12" s="1"/>
  <c r="BC64" i="12"/>
  <c r="BE64" i="12" s="1"/>
  <c r="BC62" i="12"/>
  <c r="BE62" i="12" s="1"/>
  <c r="BD61" i="12"/>
  <c r="BF61" i="12" s="1"/>
  <c r="BH61" i="12" s="1"/>
  <c r="BD66" i="12"/>
  <c r="BF66" i="12" s="1"/>
  <c r="BD64" i="12"/>
  <c r="BF64" i="12" s="1"/>
  <c r="BD63" i="12"/>
  <c r="BF63" i="12" s="1"/>
  <c r="BD65" i="12"/>
  <c r="BF65" i="12" s="1"/>
  <c r="BD62" i="12"/>
  <c r="BF62" i="12" s="1"/>
  <c r="BD250" i="12"/>
  <c r="BF250" i="12" s="1"/>
  <c r="BD249" i="12"/>
  <c r="BF249" i="12" s="1"/>
  <c r="BD251" i="12"/>
  <c r="BF251" i="12" s="1"/>
  <c r="BD252" i="12"/>
  <c r="BF252" i="12" s="1"/>
  <c r="BC252" i="12"/>
  <c r="BE252" i="12" s="1"/>
  <c r="BD247" i="12"/>
  <c r="BF247" i="12" s="1"/>
  <c r="BH247" i="12" s="1"/>
  <c r="BC251" i="12"/>
  <c r="BE251" i="12" s="1"/>
  <c r="BC247" i="12"/>
  <c r="BE247" i="12" s="1"/>
  <c r="BG247" i="12" s="1"/>
  <c r="BD248" i="12"/>
  <c r="BF248" i="12" s="1"/>
  <c r="BC248" i="12"/>
  <c r="BE248" i="12" s="1"/>
  <c r="BC249" i="12"/>
  <c r="BE249" i="12" s="1"/>
  <c r="BC250" i="12"/>
  <c r="BE250" i="12" s="1"/>
  <c r="BD239" i="12"/>
  <c r="BF239" i="12" s="1"/>
  <c r="BD237" i="12"/>
  <c r="BF237" i="12" s="1"/>
  <c r="BD240" i="12"/>
  <c r="BF240" i="12" s="1"/>
  <c r="BC240" i="12"/>
  <c r="BE240" i="12" s="1"/>
  <c r="BD236" i="12"/>
  <c r="BF236" i="12" s="1"/>
  <c r="BC236" i="12"/>
  <c r="BE236" i="12" s="1"/>
  <c r="BC237" i="12"/>
  <c r="BE237" i="12" s="1"/>
  <c r="BC239" i="12"/>
  <c r="BE239" i="12" s="1"/>
  <c r="BD235" i="12"/>
  <c r="BF235" i="12" s="1"/>
  <c r="BH235" i="12" s="1"/>
  <c r="BC238" i="12"/>
  <c r="BE238" i="12" s="1"/>
  <c r="BD238" i="12"/>
  <c r="BF238" i="12" s="1"/>
  <c r="BC235" i="12"/>
  <c r="BE235" i="12" s="1"/>
  <c r="BG235" i="12" s="1"/>
  <c r="BD338" i="12"/>
  <c r="BF338" i="12" s="1"/>
  <c r="BD339" i="12"/>
  <c r="BF339" i="12" s="1"/>
  <c r="BD341" i="12"/>
  <c r="BF341" i="12" s="1"/>
  <c r="BC341" i="12"/>
  <c r="BE341" i="12" s="1"/>
  <c r="BD342" i="12"/>
  <c r="BF342" i="12" s="1"/>
  <c r="BC337" i="12"/>
  <c r="BE337" i="12" s="1"/>
  <c r="BG337" i="12" s="1"/>
  <c r="BD340" i="12"/>
  <c r="BF340" i="12" s="1"/>
  <c r="BC340" i="12"/>
  <c r="BE340" i="12" s="1"/>
  <c r="BC339" i="12"/>
  <c r="BE339" i="12" s="1"/>
  <c r="BD337" i="12"/>
  <c r="BF337" i="12" s="1"/>
  <c r="BH337" i="12" s="1"/>
  <c r="BC338" i="12"/>
  <c r="BE338" i="12" s="1"/>
  <c r="BC342" i="12"/>
  <c r="BE342" i="12" s="1"/>
  <c r="BD280" i="12"/>
  <c r="BF280" i="12" s="1"/>
  <c r="BD278" i="12"/>
  <c r="BF278" i="12" s="1"/>
  <c r="BD279" i="12"/>
  <c r="BF279" i="12" s="1"/>
  <c r="BD277" i="12"/>
  <c r="BF277" i="12" s="1"/>
  <c r="BH277" i="12" s="1"/>
  <c r="BC280" i="12"/>
  <c r="BE280" i="12" s="1"/>
  <c r="BD282" i="12"/>
  <c r="BF282" i="12" s="1"/>
  <c r="BD281" i="12"/>
  <c r="BF281" i="12" s="1"/>
  <c r="BC281" i="12"/>
  <c r="BE281" i="12" s="1"/>
  <c r="BC277" i="12"/>
  <c r="BE277" i="12" s="1"/>
  <c r="BG277" i="12" s="1"/>
  <c r="BC278" i="12"/>
  <c r="BE278" i="12" s="1"/>
  <c r="BC282" i="12"/>
  <c r="BE282" i="12" s="1"/>
  <c r="BC279" i="12"/>
  <c r="BE279" i="12" s="1"/>
  <c r="BC42" i="12"/>
  <c r="BE42" i="12" s="1"/>
  <c r="BC39" i="12"/>
  <c r="BE39" i="12" s="1"/>
  <c r="BC37" i="12"/>
  <c r="BE37" i="12" s="1"/>
  <c r="BG37" i="12" s="1"/>
  <c r="BC41" i="12"/>
  <c r="BE41" i="12" s="1"/>
  <c r="BC38" i="12"/>
  <c r="BE38" i="12" s="1"/>
  <c r="BD40" i="12"/>
  <c r="BF40" i="12" s="1"/>
  <c r="BC40" i="12"/>
  <c r="BE40" i="12" s="1"/>
  <c r="BD42" i="12"/>
  <c r="BF42" i="12" s="1"/>
  <c r="BD41" i="12"/>
  <c r="BF41" i="12" s="1"/>
  <c r="BD39" i="12"/>
  <c r="BF39" i="12" s="1"/>
  <c r="BD37" i="12"/>
  <c r="BF37" i="12" s="1"/>
  <c r="BH37" i="12" s="1"/>
  <c r="BI37" i="12" s="1"/>
  <c r="BD38" i="12"/>
  <c r="BF38" i="12" s="1"/>
  <c r="BD284" i="12"/>
  <c r="BF284" i="12" s="1"/>
  <c r="BD286" i="12"/>
  <c r="BF286" i="12" s="1"/>
  <c r="BD283" i="12"/>
  <c r="BF283" i="12" s="1"/>
  <c r="BH283" i="12" s="1"/>
  <c r="BD287" i="12"/>
  <c r="BF287" i="12" s="1"/>
  <c r="BC284" i="12"/>
  <c r="BE284" i="12" s="1"/>
  <c r="BD285" i="12"/>
  <c r="BF285" i="12" s="1"/>
  <c r="BC285" i="12"/>
  <c r="BE285" i="12" s="1"/>
  <c r="BC286" i="12"/>
  <c r="BE286" i="12" s="1"/>
  <c r="BC283" i="12"/>
  <c r="BE283" i="12" s="1"/>
  <c r="BG283" i="12" s="1"/>
  <c r="BD288" i="12"/>
  <c r="BF288" i="12" s="1"/>
  <c r="BC287" i="12"/>
  <c r="BE287" i="12" s="1"/>
  <c r="BC288" i="12"/>
  <c r="BE288" i="12" s="1"/>
  <c r="BD343" i="12"/>
  <c r="BF343" i="12" s="1"/>
  <c r="BH343" i="12" s="1"/>
  <c r="BD348" i="12"/>
  <c r="BF348" i="12" s="1"/>
  <c r="BD346" i="12"/>
  <c r="BF346" i="12" s="1"/>
  <c r="BD344" i="12"/>
  <c r="BF344" i="12" s="1"/>
  <c r="BD345" i="12"/>
  <c r="BF345" i="12" s="1"/>
  <c r="BD347" i="12"/>
  <c r="BF347" i="12" s="1"/>
  <c r="BC344" i="12"/>
  <c r="BE344" i="12" s="1"/>
  <c r="BC347" i="12"/>
  <c r="BE347" i="12" s="1"/>
  <c r="BC345" i="12"/>
  <c r="BE345" i="12" s="1"/>
  <c r="BC343" i="12"/>
  <c r="BE343" i="12" s="1"/>
  <c r="BG343" i="12" s="1"/>
  <c r="BC348" i="12"/>
  <c r="BE348" i="12" s="1"/>
  <c r="BC346" i="12"/>
  <c r="BE346" i="12" s="1"/>
  <c r="BD254" i="12"/>
  <c r="BF254" i="12" s="1"/>
  <c r="BD255" i="12"/>
  <c r="BF255" i="12" s="1"/>
  <c r="BD257" i="12"/>
  <c r="BF257" i="12" s="1"/>
  <c r="BC257" i="12"/>
  <c r="BE257" i="12" s="1"/>
  <c r="BC256" i="12"/>
  <c r="BE256" i="12" s="1"/>
  <c r="BC254" i="12"/>
  <c r="BE254" i="12" s="1"/>
  <c r="BD256" i="12"/>
  <c r="BF256" i="12" s="1"/>
  <c r="BD253" i="12"/>
  <c r="BF253" i="12" s="1"/>
  <c r="BH253" i="12" s="1"/>
  <c r="BC258" i="12"/>
  <c r="BE258" i="12" s="1"/>
  <c r="BD258" i="12"/>
  <c r="BF258" i="12" s="1"/>
  <c r="BC255" i="12"/>
  <c r="BE255" i="12" s="1"/>
  <c r="BC253" i="12"/>
  <c r="BE253" i="12" s="1"/>
  <c r="BG253" i="12" s="1"/>
  <c r="BD336" i="12"/>
  <c r="BF336" i="12" s="1"/>
  <c r="BD334" i="12"/>
  <c r="BF334" i="12" s="1"/>
  <c r="BD332" i="12"/>
  <c r="BF332" i="12" s="1"/>
  <c r="BD333" i="12"/>
  <c r="BF333" i="12" s="1"/>
  <c r="BD335" i="12"/>
  <c r="BF335" i="12" s="1"/>
  <c r="BD331" i="12"/>
  <c r="BF331" i="12" s="1"/>
  <c r="BH331" i="12" s="1"/>
  <c r="BC334" i="12"/>
  <c r="BE334" i="12" s="1"/>
  <c r="BC331" i="12"/>
  <c r="BE331" i="12" s="1"/>
  <c r="BG331" i="12" s="1"/>
  <c r="BC336" i="12"/>
  <c r="BE336" i="12" s="1"/>
  <c r="BC332" i="12"/>
  <c r="BE332" i="12" s="1"/>
  <c r="BC333" i="12"/>
  <c r="BE333" i="12" s="1"/>
  <c r="BC335" i="12"/>
  <c r="BE335" i="12" s="1"/>
  <c r="BD300" i="12"/>
  <c r="BF300" i="12" s="1"/>
  <c r="BD298" i="12"/>
  <c r="BF298" i="12" s="1"/>
  <c r="BC298" i="12"/>
  <c r="BE298" i="12" s="1"/>
  <c r="BD299" i="12"/>
  <c r="BF299" i="12" s="1"/>
  <c r="BD297" i="12"/>
  <c r="BF297" i="12" s="1"/>
  <c r="BC295" i="12"/>
  <c r="BE295" i="12" s="1"/>
  <c r="BG295" i="12" s="1"/>
  <c r="BD296" i="12"/>
  <c r="BF296" i="12" s="1"/>
  <c r="BC300" i="12"/>
  <c r="BE300" i="12" s="1"/>
  <c r="BC296" i="12"/>
  <c r="BE296" i="12" s="1"/>
  <c r="BC299" i="12"/>
  <c r="BE299" i="12" s="1"/>
  <c r="BD295" i="12"/>
  <c r="BF295" i="12" s="1"/>
  <c r="BH295" i="12" s="1"/>
  <c r="BC297" i="12"/>
  <c r="BE297" i="12" s="1"/>
  <c r="BI325" i="12"/>
  <c r="AS25" i="10"/>
  <c r="AS19" i="10"/>
  <c r="BJ43" i="6"/>
  <c r="BK43" i="6" s="1"/>
  <c r="BJ46" i="6"/>
  <c r="BK46" i="6" s="1"/>
  <c r="BJ23" i="6"/>
  <c r="BK23" i="6" s="1"/>
  <c r="BJ19" i="6"/>
  <c r="BK19" i="6" s="1"/>
  <c r="BJ39" i="6"/>
  <c r="BK39" i="6" s="1"/>
  <c r="BJ16" i="6"/>
  <c r="BK16" i="6" s="1"/>
  <c r="BJ59" i="6"/>
  <c r="BK59" i="6" s="1"/>
  <c r="BJ27" i="6"/>
  <c r="BK27" i="6" s="1"/>
  <c r="BJ12" i="6"/>
  <c r="BK12" i="6" s="1"/>
  <c r="BJ30" i="6"/>
  <c r="BK30" i="6" s="1"/>
  <c r="AP139" i="10"/>
  <c r="AP163" i="10"/>
  <c r="AP187" i="10"/>
  <c r="AP223" i="10"/>
  <c r="AP247" i="10"/>
  <c r="AP31" i="10"/>
  <c r="AP85" i="10"/>
  <c r="AP109" i="10"/>
  <c r="AP133" i="10"/>
  <c r="AP157" i="10"/>
  <c r="AP217" i="10"/>
  <c r="AT337" i="10"/>
  <c r="AU337" i="10" s="1"/>
  <c r="AP361" i="10"/>
  <c r="AP67" i="10"/>
  <c r="AP91" i="10"/>
  <c r="AP115" i="10"/>
  <c r="AP271" i="10"/>
  <c r="AP295" i="10"/>
  <c r="AP319" i="10"/>
  <c r="AP343" i="10"/>
  <c r="AP43" i="10"/>
  <c r="AP55" i="10"/>
  <c r="AP13" i="10"/>
  <c r="AP79" i="10"/>
  <c r="AP103" i="10"/>
  <c r="AP127" i="10"/>
  <c r="AP151" i="10"/>
  <c r="AP175" i="10"/>
  <c r="AP235" i="10"/>
  <c r="AP283" i="10"/>
  <c r="AP355" i="10"/>
  <c r="AP25" i="10"/>
  <c r="AR25" i="10" s="1"/>
  <c r="AP37" i="10"/>
  <c r="AP19" i="10"/>
  <c r="AR19" i="10" s="1"/>
  <c r="AP73" i="10"/>
  <c r="AP97" i="10"/>
  <c r="AP121" i="10"/>
  <c r="AP169" i="10"/>
  <c r="AP193" i="10"/>
  <c r="AP205" i="10"/>
  <c r="AP277" i="10"/>
  <c r="BD7" i="6"/>
  <c r="BE7" i="6" s="1"/>
  <c r="BF7" i="6" s="1"/>
  <c r="BI61" i="12" l="1"/>
  <c r="AR181" i="10"/>
  <c r="AR13" i="10"/>
  <c r="AT13" i="10" s="1"/>
  <c r="AU13" i="10" s="1"/>
  <c r="BI31" i="12"/>
  <c r="AR229" i="10"/>
  <c r="BI313" i="12"/>
  <c r="BI103" i="12"/>
  <c r="AS43" i="10"/>
  <c r="BI235" i="12"/>
  <c r="BI121" i="12"/>
  <c r="BI271" i="12"/>
  <c r="BI349" i="12"/>
  <c r="BI73" i="12"/>
  <c r="AS325" i="10"/>
  <c r="AT325" i="10" s="1"/>
  <c r="AU325" i="10" s="1"/>
  <c r="AS61" i="10"/>
  <c r="AT61" i="10" s="1"/>
  <c r="AU61" i="10" s="1"/>
  <c r="AS319" i="10"/>
  <c r="AS271" i="10"/>
  <c r="AS133" i="10"/>
  <c r="AS169" i="10"/>
  <c r="AS211" i="10"/>
  <c r="AT211" i="10" s="1"/>
  <c r="AU211" i="10" s="1"/>
  <c r="AS253" i="10"/>
  <c r="AS115" i="10"/>
  <c r="AS85" i="10"/>
  <c r="AS175" i="10"/>
  <c r="AS139" i="10"/>
  <c r="AS103" i="10"/>
  <c r="AS49" i="10"/>
  <c r="AS163" i="10"/>
  <c r="AS67" i="10"/>
  <c r="AS283" i="10"/>
  <c r="AS187" i="10"/>
  <c r="AS301" i="10"/>
  <c r="AS181" i="10"/>
  <c r="AT181" i="10" s="1"/>
  <c r="AU181" i="10" s="1"/>
  <c r="AS79" i="10"/>
  <c r="AS109" i="10"/>
  <c r="AS157" i="10"/>
  <c r="AS121" i="10"/>
  <c r="AS91" i="10"/>
  <c r="AS223" i="10"/>
  <c r="AS73" i="10"/>
  <c r="AS151" i="10"/>
  <c r="AS55" i="10"/>
  <c r="AS313" i="10"/>
  <c r="AT313" i="10" s="1"/>
  <c r="AU313" i="10" s="1"/>
  <c r="AS247" i="10"/>
  <c r="AS307" i="10"/>
  <c r="AT307" i="10" s="1"/>
  <c r="AU307" i="10" s="1"/>
  <c r="AS193" i="10"/>
  <c r="AS97" i="10"/>
  <c r="AS217" i="10"/>
  <c r="AS145" i="10"/>
  <c r="AT145" i="10" s="1"/>
  <c r="AU145" i="10" s="1"/>
  <c r="AS127" i="10"/>
  <c r="AS37" i="10"/>
  <c r="AS295" i="10"/>
  <c r="AS199" i="10"/>
  <c r="AS241" i="10"/>
  <c r="AT241" i="10" s="1"/>
  <c r="AU241" i="10" s="1"/>
  <c r="AS7" i="10"/>
  <c r="AS289" i="10"/>
  <c r="AR7" i="10"/>
  <c r="AS277" i="10"/>
  <c r="AS205" i="10"/>
  <c r="AS235" i="10"/>
  <c r="AS259" i="10"/>
  <c r="AT259" i="10" s="1"/>
  <c r="AU259" i="10" s="1"/>
  <c r="AS229" i="10"/>
  <c r="AT229" i="10" s="1"/>
  <c r="AU229" i="10" s="1"/>
  <c r="AS265" i="10"/>
  <c r="AT265" i="10" s="1"/>
  <c r="AU265" i="10" s="1"/>
  <c r="AT49" i="10"/>
  <c r="AU49" i="10" s="1"/>
  <c r="BI295" i="12"/>
  <c r="BI247" i="12"/>
  <c r="BI133" i="12"/>
  <c r="BI169" i="12"/>
  <c r="AS31" i="10"/>
  <c r="BI13" i="12"/>
  <c r="BI343" i="12"/>
  <c r="BI217" i="12"/>
  <c r="BI241" i="12"/>
  <c r="BI49" i="12"/>
  <c r="BI7" i="12"/>
  <c r="BI145" i="12"/>
  <c r="BI289" i="12"/>
  <c r="BI331" i="12"/>
  <c r="BI253" i="12"/>
  <c r="BI277" i="12"/>
  <c r="BI139" i="12"/>
  <c r="BI265" i="12"/>
  <c r="BI319" i="12"/>
  <c r="BI211" i="12"/>
  <c r="BI175" i="12"/>
  <c r="BI193" i="12"/>
  <c r="BI79" i="12"/>
  <c r="BI109" i="12"/>
  <c r="BI283" i="12"/>
  <c r="BI115" i="12"/>
  <c r="BI67" i="12"/>
  <c r="BI91" i="12"/>
  <c r="BI355" i="12"/>
  <c r="BI259" i="12"/>
  <c r="BI55" i="12"/>
  <c r="BI337" i="12"/>
  <c r="BI25" i="12"/>
  <c r="BI361" i="12"/>
  <c r="BI229" i="12"/>
  <c r="BI157" i="12"/>
  <c r="BI19" i="12"/>
  <c r="AR355" i="10"/>
  <c r="AT355" i="10" s="1"/>
  <c r="AU355" i="10" s="1"/>
  <c r="AR127" i="10"/>
  <c r="AR295" i="10"/>
  <c r="AR85" i="10"/>
  <c r="AR277" i="10"/>
  <c r="AR193" i="10"/>
  <c r="AR97" i="10"/>
  <c r="AR37" i="10"/>
  <c r="AR103" i="10"/>
  <c r="AR43" i="10"/>
  <c r="AR271" i="10"/>
  <c r="AR67" i="10"/>
  <c r="AT67" i="10" s="1"/>
  <c r="AU67" i="10" s="1"/>
  <c r="AR289" i="10"/>
  <c r="AR157" i="10"/>
  <c r="AR31" i="10"/>
  <c r="AR163" i="10"/>
  <c r="AR151" i="10"/>
  <c r="AR301" i="10"/>
  <c r="AR205" i="10"/>
  <c r="AR55" i="10"/>
  <c r="AT55" i="10" s="1"/>
  <c r="AU55" i="10" s="1"/>
  <c r="AR91" i="10"/>
  <c r="AR217" i="10"/>
  <c r="AR253" i="10"/>
  <c r="AR169" i="10"/>
  <c r="AT169" i="10" s="1"/>
  <c r="AU169" i="10" s="1"/>
  <c r="AR73" i="10"/>
  <c r="AR283" i="10"/>
  <c r="AR175" i="10"/>
  <c r="AR79" i="10"/>
  <c r="AT79" i="10" s="1"/>
  <c r="AU79" i="10" s="1"/>
  <c r="AR343" i="10"/>
  <c r="AT343" i="10" s="1"/>
  <c r="AU343" i="10" s="1"/>
  <c r="AR199" i="10"/>
  <c r="AR361" i="10"/>
  <c r="AT361" i="10" s="1"/>
  <c r="AU361" i="10" s="1"/>
  <c r="AR133" i="10"/>
  <c r="AT133" i="10" s="1"/>
  <c r="AU133" i="10" s="1"/>
  <c r="AR247" i="10"/>
  <c r="AR139" i="10"/>
  <c r="AR319" i="10"/>
  <c r="AT319" i="10" s="1"/>
  <c r="AU319" i="10" s="1"/>
  <c r="AR115" i="10"/>
  <c r="AT115" i="10" s="1"/>
  <c r="AU115" i="10" s="1"/>
  <c r="AR109" i="10"/>
  <c r="AT109" i="10" s="1"/>
  <c r="AU109" i="10" s="1"/>
  <c r="AR223" i="10"/>
  <c r="AR121" i="10"/>
  <c r="AR235" i="10"/>
  <c r="AR187" i="10"/>
  <c r="AT19" i="10"/>
  <c r="AU19" i="10" s="1"/>
  <c r="AT25" i="10"/>
  <c r="AU25" i="10" s="1"/>
  <c r="BG7" i="6"/>
  <c r="BH7" i="6" s="1"/>
  <c r="AT187" i="10" l="1"/>
  <c r="AU187" i="10" s="1"/>
  <c r="AT85" i="10"/>
  <c r="AU85" i="10" s="1"/>
  <c r="AT121" i="10"/>
  <c r="AU121" i="10" s="1"/>
  <c r="AT253" i="10"/>
  <c r="AU253" i="10" s="1"/>
  <c r="AT271" i="10"/>
  <c r="AU271" i="10" s="1"/>
  <c r="AT217" i="10"/>
  <c r="AU217" i="10" s="1"/>
  <c r="AT301" i="10"/>
  <c r="AU301" i="10" s="1"/>
  <c r="AT157" i="10"/>
  <c r="AU157" i="10" s="1"/>
  <c r="AT43" i="10"/>
  <c r="AU43" i="10" s="1"/>
  <c r="AT31" i="10"/>
  <c r="AU31" i="10" s="1"/>
  <c r="AT283" i="10"/>
  <c r="AU283" i="10" s="1"/>
  <c r="AT91" i="10"/>
  <c r="AU91" i="10" s="1"/>
  <c r="AT103" i="10"/>
  <c r="AU103" i="10" s="1"/>
  <c r="AT139" i="10"/>
  <c r="AU139" i="10" s="1"/>
  <c r="AT151" i="10"/>
  <c r="AU151" i="10" s="1"/>
  <c r="AT7" i="10"/>
  <c r="AU7" i="10" s="1"/>
  <c r="AT175" i="10"/>
  <c r="AU175" i="10" s="1"/>
  <c r="AT295" i="10"/>
  <c r="AU295" i="10" s="1"/>
  <c r="AT199" i="10"/>
  <c r="AU199" i="10" s="1"/>
  <c r="AT277" i="10"/>
  <c r="AU277" i="10" s="1"/>
  <c r="AT247" i="10"/>
  <c r="AU247" i="10" s="1"/>
  <c r="AT73" i="10"/>
  <c r="AU73" i="10" s="1"/>
  <c r="AT289" i="10"/>
  <c r="AU289" i="10" s="1"/>
  <c r="AT235" i="10"/>
  <c r="AU235" i="10" s="1"/>
  <c r="AT163" i="10"/>
  <c r="AU163" i="10" s="1"/>
  <c r="AT37" i="10"/>
  <c r="AU37" i="10" s="1"/>
  <c r="AT205" i="10"/>
  <c r="AU205" i="10" s="1"/>
  <c r="AT97" i="10"/>
  <c r="AU97" i="10" s="1"/>
  <c r="AT223" i="10"/>
  <c r="AU223" i="10" s="1"/>
  <c r="AT193" i="10"/>
  <c r="AU193" i="10" s="1"/>
  <c r="AT127" i="10"/>
  <c r="AU127" i="10" s="1"/>
  <c r="BJ7" i="6"/>
  <c r="BK7" i="6" s="1"/>
</calcChain>
</file>

<file path=xl/comments1.xml><?xml version="1.0" encoding="utf-8"?>
<comments xmlns="http://schemas.openxmlformats.org/spreadsheetml/2006/main">
  <authors>
    <author>DIGITAL EXITO</author>
  </authors>
  <commentList>
    <comment ref="O6" authorId="0" shapeId="0">
      <text>
        <r>
          <rPr>
            <b/>
            <sz val="9"/>
            <color indexed="81"/>
            <rFont val="Tahoma"/>
            <family val="2"/>
          </rPr>
          <t>MJD:</t>
        </r>
        <r>
          <rPr>
            <sz val="9"/>
            <color indexed="81"/>
            <rFont val="Tahoma"/>
            <family val="2"/>
          </rPr>
          <t xml:space="preserve">
Para una CORRECTA descripción del Control, remitirse a la Hoja CONTROLES</t>
        </r>
      </text>
    </comment>
  </commentList>
</comments>
</file>

<file path=xl/comments2.xml><?xml version="1.0" encoding="utf-8"?>
<comments xmlns="http://schemas.openxmlformats.org/spreadsheetml/2006/main">
  <authors>
    <author>DIGITAL EXITO</author>
    <author>Usuario de Windows</author>
  </authors>
  <commentList>
    <comment ref="BJ4" authorId="0" shapeId="0">
      <text>
        <r>
          <rPr>
            <b/>
            <sz val="9"/>
            <color indexed="81"/>
            <rFont val="Tahoma"/>
            <family val="2"/>
          </rPr>
          <t>DIGITAL EXITO:</t>
        </r>
        <r>
          <rPr>
            <sz val="9"/>
            <color indexed="81"/>
            <rFont val="Tahoma"/>
            <family val="2"/>
          </rPr>
          <t xml:space="preserve">
Diligenciar cuando la medida de respuesta sea diferente a </t>
        </r>
        <r>
          <rPr>
            <b/>
            <i/>
            <sz val="14"/>
            <color indexed="81"/>
            <rFont val="Tahoma"/>
            <family val="2"/>
          </rPr>
          <t>Asumir el Riesgo</t>
        </r>
      </text>
    </comment>
    <comment ref="M6" authorId="1" shapeId="0">
      <text>
        <r>
          <rPr>
            <b/>
            <sz val="16"/>
            <color indexed="81"/>
            <rFont val="Tahoma"/>
            <family val="2"/>
          </rPr>
          <t xml:space="preserve">MJD:
</t>
        </r>
        <r>
          <rPr>
            <sz val="16"/>
            <color indexed="81"/>
            <rFont val="Tahoma"/>
            <family val="2"/>
          </rPr>
          <t>Remitirse a la pestaña Probabilidad Seguridad Informac</t>
        </r>
      </text>
    </comment>
    <comment ref="O6" authorId="1" shapeId="0">
      <text>
        <r>
          <rPr>
            <b/>
            <sz val="18"/>
            <color indexed="81"/>
            <rFont val="Tahoma"/>
            <family val="2"/>
          </rPr>
          <t>MJD:</t>
        </r>
        <r>
          <rPr>
            <sz val="18"/>
            <color indexed="81"/>
            <rFont val="Tahoma"/>
            <family val="2"/>
          </rPr>
          <t xml:space="preserve">
Remitirse a la Guía de Administración de Riesgos - G-MC-04 para la tabla de Impactos de Riesgos de Seguridad Digital</t>
        </r>
      </text>
    </comment>
    <comment ref="U6" authorId="0" shapeId="0">
      <text>
        <r>
          <rPr>
            <b/>
            <sz val="9"/>
            <color indexed="81"/>
            <rFont val="Tahoma"/>
            <family val="2"/>
          </rPr>
          <t>MJD:</t>
        </r>
        <r>
          <rPr>
            <sz val="9"/>
            <color indexed="81"/>
            <rFont val="Tahoma"/>
            <family val="2"/>
          </rPr>
          <t xml:space="preserve">
Para una CORRECTA descripción del Control, remitirse a la Hoja CONTROLES</t>
        </r>
      </text>
    </comment>
    <comment ref="BG6" authorId="1" shapeId="0">
      <text>
        <r>
          <rPr>
            <b/>
            <sz val="9"/>
            <color indexed="81"/>
            <rFont val="Tahoma"/>
            <family val="2"/>
          </rPr>
          <t xml:space="preserve">Ministerio de Justicia y del Derecho: </t>
        </r>
        <r>
          <rPr>
            <sz val="9"/>
            <color indexed="81"/>
            <rFont val="Tahoma"/>
            <family val="2"/>
          </rPr>
          <t>Revisar la pestaña de probabilidad de seg. De la información</t>
        </r>
        <r>
          <rPr>
            <sz val="9"/>
            <color indexed="81"/>
            <rFont val="Tahoma"/>
            <family val="2"/>
          </rPr>
          <t xml:space="preserve">
</t>
        </r>
      </text>
    </comment>
    <comment ref="BH6" authorId="1" shapeId="0">
      <text>
        <r>
          <rPr>
            <b/>
            <sz val="9"/>
            <color indexed="81"/>
            <rFont val="Tahoma"/>
            <family val="2"/>
          </rPr>
          <t>Ministerio de Justicia y del Derecho:</t>
        </r>
        <r>
          <rPr>
            <sz val="9"/>
            <color indexed="81"/>
            <rFont val="Tahoma"/>
            <family val="2"/>
          </rPr>
          <t xml:space="preserve">
Revisar Guía de  administración de riesgos del Ministerio de Justicia y del Derecho</t>
        </r>
      </text>
    </comment>
  </commentList>
</comments>
</file>

<file path=xl/sharedStrings.xml><?xml version="1.0" encoding="utf-8"?>
<sst xmlns="http://schemas.openxmlformats.org/spreadsheetml/2006/main" count="3966" uniqueCount="1471">
  <si>
    <t>Tipo de Proceso</t>
  </si>
  <si>
    <t>Procesos</t>
  </si>
  <si>
    <t>Objetivos</t>
  </si>
  <si>
    <t>Tipo_de_Riesgo</t>
  </si>
  <si>
    <t>Clase de Causa</t>
  </si>
  <si>
    <t>Probabilidad</t>
  </si>
  <si>
    <t>Impacto</t>
  </si>
  <si>
    <t>Opciones_de_Manejo</t>
  </si>
  <si>
    <t>Control_Existente</t>
  </si>
  <si>
    <t>Evaluación</t>
  </si>
  <si>
    <t>Medidas_de_Respuesta</t>
  </si>
  <si>
    <t>Solidez Controles</t>
  </si>
  <si>
    <t>Objetivos Estratégicos</t>
  </si>
  <si>
    <t>Estratégico</t>
  </si>
  <si>
    <t xml:space="preserve">Gestión del Conocimiento </t>
  </si>
  <si>
    <t>Riesgo Estratégico</t>
  </si>
  <si>
    <t>Interna</t>
  </si>
  <si>
    <t>Raro</t>
  </si>
  <si>
    <t>Insignificante</t>
  </si>
  <si>
    <t>Aceptar el Riesgo</t>
  </si>
  <si>
    <t>Preventivo</t>
  </si>
  <si>
    <t>Rara Vez</t>
  </si>
  <si>
    <t>Rara vezInsignificante</t>
  </si>
  <si>
    <t>Bajo</t>
  </si>
  <si>
    <t>Asumir el riesgo</t>
  </si>
  <si>
    <t>Fuerte</t>
  </si>
  <si>
    <r>
      <t>1. </t>
    </r>
    <r>
      <rPr>
        <sz val="11"/>
        <color rgb="FF212529"/>
        <rFont val="Arial"/>
        <family val="2"/>
      </rPr>
      <t>Fortalecer el sistema de justicia para que sea accesible, oportuno y cercano al ciudadano.</t>
    </r>
  </si>
  <si>
    <t>Gestión de la Información y las comunicaciones</t>
  </si>
  <si>
    <t>Proveer información oportuna, confiable, veraz y accesible a clientes internos y externos del Ministerio de Justicia y del Derecho.</t>
  </si>
  <si>
    <t>Riesgo Operativo</t>
  </si>
  <si>
    <t>Externa</t>
  </si>
  <si>
    <t>Improbable</t>
  </si>
  <si>
    <t>Menor</t>
  </si>
  <si>
    <t>Evitar el Riesgo</t>
  </si>
  <si>
    <t>Correctivo</t>
  </si>
  <si>
    <t>Rara vezMenor</t>
  </si>
  <si>
    <t>Moderado</t>
  </si>
  <si>
    <t xml:space="preserve"> Reducir el riesgo</t>
  </si>
  <si>
    <r>
      <t>2. </t>
    </r>
    <r>
      <rPr>
        <sz val="11"/>
        <color rgb="FF212529"/>
        <rFont val="Arial"/>
        <family val="2"/>
      </rPr>
      <t>Formular y coordinar la política pública en materia de justicia transicional, en el marco de la reconciliación nacional.</t>
    </r>
  </si>
  <si>
    <t>Gestión de la Relación con los Grupos de Interés</t>
  </si>
  <si>
    <t>Gestionar la relación con los grupos de interés del Ministerio de Justicia y del Derecho, mediante el diseño y desarrollo de instrumentos, actividades y estrategias de servicio y participación ciudadana, la atención de sus requerimientos y la promoción del gobierno abierto. Con el propósito de contribuir a la generación de valor público en la Entidad, en alineación con los objetivos institucionales y las buenas prácticas nacionales e internacionales</t>
  </si>
  <si>
    <t>Riesgo Financiero</t>
  </si>
  <si>
    <t>Moderada</t>
  </si>
  <si>
    <t>Compartir el Riesgo</t>
  </si>
  <si>
    <t>Posible</t>
  </si>
  <si>
    <t>Rara vezModerado</t>
  </si>
  <si>
    <t>Alto</t>
  </si>
  <si>
    <t>Reducir el riesgo</t>
  </si>
  <si>
    <t>Débil</t>
  </si>
  <si>
    <r>
      <t>3. </t>
    </r>
    <r>
      <rPr>
        <sz val="11"/>
        <color rgb="FF212529"/>
        <rFont val="Arial"/>
        <family val="2"/>
      </rPr>
      <t>Liderar la formulación, implementación y seguimiento de las políticas en materia criminal y penitenciaria</t>
    </r>
  </si>
  <si>
    <t>Mejora Integral de la Gestión Institucional</t>
  </si>
  <si>
    <t xml:space="preserve">Coordinar y administrar la implementación del Sistema Integrado de Gestión del Ministerio de Justicia y de Derecho, con el fin de 
asegurar su mejora contlnua, conveniencia, eficacia y eficiencia conforme con los estándares adoptados. </t>
  </si>
  <si>
    <t>Riesgo de Cumplimiento</t>
  </si>
  <si>
    <t>Probable</t>
  </si>
  <si>
    <t>Mayor</t>
  </si>
  <si>
    <t>Reducir el Riesgo</t>
  </si>
  <si>
    <t>Rara vezMayor</t>
  </si>
  <si>
    <t>Extremo</t>
  </si>
  <si>
    <t>Evitar el riesgo</t>
  </si>
  <si>
    <r>
      <t>4. </t>
    </r>
    <r>
      <rPr>
        <sz val="11"/>
        <color rgb="FF212529"/>
        <rFont val="Arial"/>
        <family val="2"/>
      </rPr>
      <t>Consolidar la política integral de drogas, su implementación y evaluación.</t>
    </r>
  </si>
  <si>
    <t>Direccionamiento y Planeación Institucional</t>
  </si>
  <si>
    <t xml:space="preserve">Orientar la gestion de la entidad y del sector para que las acciones se deriven de una planeación eficiente y articulada que optimice 
el uso de los recursos en el logro de los objetivos institucionales. </t>
  </si>
  <si>
    <t>Riesgo de Tecnología</t>
  </si>
  <si>
    <t>Casi seguro</t>
  </si>
  <si>
    <t>Catastrófico</t>
  </si>
  <si>
    <t>Rara vezCatastrófico</t>
  </si>
  <si>
    <r>
      <t>5. </t>
    </r>
    <r>
      <rPr>
        <sz val="11"/>
        <color rgb="FF212529"/>
        <rFont val="Arial"/>
        <family val="2"/>
      </rPr>
      <t>Afianzar una gestión institucional innovadora y ética, soportada en el desarrollo humano y la participación ciudadana.</t>
    </r>
  </si>
  <si>
    <t>Misional</t>
  </si>
  <si>
    <t>Gestión contra la Criminalidad y la Reincidencia</t>
  </si>
  <si>
    <t>Riesgo de Imagen</t>
  </si>
  <si>
    <t>ImprobableInsignificante</t>
  </si>
  <si>
    <t>Formulación y Seguimiento de las Políticas Públicas</t>
  </si>
  <si>
    <t>Formularlos criterios,parámetros o lineamientos generales elegidos para abordar las prioridades de la agenda pública en materia de justicia y del derecho y orientar las decisiones respecto a una necesidad o situación de interés público en las materias de competencia del sector de Justicia y del Derecho;hacer seguimiento a las acciones definidas para su implementación o desarrollo y efectuar los ajustes que se requieran.</t>
  </si>
  <si>
    <t>ImprobableMenor</t>
  </si>
  <si>
    <t>Formulación y Seguimiento de Proyectos Normativos</t>
  </si>
  <si>
    <t>Formular proyectos de actos normativos de acuerdo con las políticas que orientan el sector Justicia y del Derecho,que sirven de herramienta para cumplir con los objetivos del Ministerio en beneficio de la comunidad y partes interesadas de acuerdo con el ordenamiento jurídico vigente.</t>
  </si>
  <si>
    <t>ImprobableModerado</t>
  </si>
  <si>
    <t>Acceso a la Justicia</t>
  </si>
  <si>
    <t>ImprobableMayor</t>
  </si>
  <si>
    <t>Fortalecimiento del Principio de Seguridad Jurídica</t>
  </si>
  <si>
    <t>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t>
  </si>
  <si>
    <t>ImprobableCatastrófico</t>
  </si>
  <si>
    <t>Apoyo</t>
  </si>
  <si>
    <t>Gestión Administrativa</t>
  </si>
  <si>
    <t>Fijar los lineamientos, parámetros y actividades requeridas para garantizar la gestión de los servicios administrativos, logísticos y la administración de los bienes necesario para la operación del Ministerio de Justicia y del Derecho.</t>
  </si>
  <si>
    <t>PosibleInsignificante</t>
  </si>
  <si>
    <t>Gestión Financiera</t>
  </si>
  <si>
    <t>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t>
  </si>
  <si>
    <t>PosibleMenor</t>
  </si>
  <si>
    <t>Gestión de las Tecnologías y la Información</t>
  </si>
  <si>
    <t>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t>
  </si>
  <si>
    <t>PosibleModerado</t>
  </si>
  <si>
    <t>Gestión Contractual</t>
  </si>
  <si>
    <t>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t>
  </si>
  <si>
    <t>PosibleMayor</t>
  </si>
  <si>
    <t>Gestión Jurídica</t>
  </si>
  <si>
    <t>Apoyar a las diferentes dependencias de la Entidad y del Sector Justicia en el cumplimiento de su función administrativa, emitir conceptos jurídicos, defender y representar jurídicamente al Ministerio de Justicia y del Derecho</t>
  </si>
  <si>
    <t>PosibleCatastrófico</t>
  </si>
  <si>
    <t>Gestión Documental</t>
  </si>
  <si>
    <t>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t>
  </si>
  <si>
    <t>ProbableInsignificante</t>
  </si>
  <si>
    <t>Gestión del Talento Humano</t>
  </si>
  <si>
    <t>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t>
  </si>
  <si>
    <t>ProbableMenor</t>
  </si>
  <si>
    <t>Seguimiento y Evaluación</t>
  </si>
  <si>
    <t>Evaluar y/o hacer seguimiento a la planeación, ejecución y control en la gestión de los procesos (SIG), programas, planes y proyectos del Ministerio de Justicia y del Derecho para el mejoramiento continuo de la gestión de la Entidad.</t>
  </si>
  <si>
    <t>ProbableModerado</t>
  </si>
  <si>
    <t>ProbableMayor</t>
  </si>
  <si>
    <t>ProbableCatastrófico</t>
  </si>
  <si>
    <t>Casi seguroInsignificante</t>
  </si>
  <si>
    <t>Casi seguroMenor</t>
  </si>
  <si>
    <t>Calificación de Impacto</t>
  </si>
  <si>
    <t>Evidencia</t>
  </si>
  <si>
    <t>Ejecución del Control</t>
  </si>
  <si>
    <t>Control</t>
  </si>
  <si>
    <t>Casi seguroModerado</t>
  </si>
  <si>
    <t>Si</t>
  </si>
  <si>
    <t>Completa</t>
  </si>
  <si>
    <t>Siempre</t>
  </si>
  <si>
    <t>Casi seguroMayor</t>
  </si>
  <si>
    <t>No</t>
  </si>
  <si>
    <t>Incompleta</t>
  </si>
  <si>
    <t>Algunas Veces</t>
  </si>
  <si>
    <t>Detectivo</t>
  </si>
  <si>
    <t>Casi seguroCatastrófico</t>
  </si>
  <si>
    <t>No existe</t>
  </si>
  <si>
    <t>No se ejecuta</t>
  </si>
  <si>
    <t>Detectivo/Correctivo</t>
  </si>
  <si>
    <t>Código: F-MC-G04-01
Versión: 5</t>
  </si>
  <si>
    <t>Herramienta de Riesgos de Gestión</t>
  </si>
  <si>
    <t>Vigencia</t>
  </si>
  <si>
    <t>IDENTIFICACIÓN DEL RIESGO</t>
  </si>
  <si>
    <t>ÁNALISIS DEL RIESGO</t>
  </si>
  <si>
    <t>EVALUACIÓN DEL RIESGO</t>
  </si>
  <si>
    <t>MEDIDAS DE RESPUESTA</t>
  </si>
  <si>
    <t>Riesgo Inherente</t>
  </si>
  <si>
    <t>CONTROLES</t>
  </si>
  <si>
    <t>Diseño del Control</t>
  </si>
  <si>
    <t>Solidez Individual de cada Control</t>
  </si>
  <si>
    <t>Solidez del Conjunto de Controles</t>
  </si>
  <si>
    <t>Riesgo Residual</t>
  </si>
  <si>
    <t>Seguimiento 1</t>
  </si>
  <si>
    <t>Seguimiento 2</t>
  </si>
  <si>
    <t>Seguimiento 3</t>
  </si>
  <si>
    <t>N°</t>
  </si>
  <si>
    <t>PROCESO</t>
  </si>
  <si>
    <t>OBJETIVO DEL PROCESO</t>
  </si>
  <si>
    <t xml:space="preserve"> RIESGO</t>
  </si>
  <si>
    <t>Tipo de Riesgo</t>
  </si>
  <si>
    <t>OBJETIVOS ESTRATÉGICOS RELACIONADOS</t>
  </si>
  <si>
    <t>CAUSA</t>
  </si>
  <si>
    <t>Clasificación de la Causa</t>
  </si>
  <si>
    <t>CONSECUENCIAS</t>
  </si>
  <si>
    <t>PROBABILIDAD</t>
  </si>
  <si>
    <t>IMPACTO</t>
  </si>
  <si>
    <t xml:space="preserve">EVALUACIÓN </t>
  </si>
  <si>
    <t>DESCRIPCIÓN DEL CONTROL</t>
  </si>
  <si>
    <t>Causa que ataca</t>
  </si>
  <si>
    <t>CLASE DE CONTROL EXISTENTE</t>
  </si>
  <si>
    <t>1. ¿Existe un responsable asignado de la ejecución?</t>
  </si>
  <si>
    <t>2. ¿El responsable tiene la autoridad y adecuada segregación de funciones en la ejecución del control?</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</si>
  <si>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</si>
  <si>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</si>
  <si>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</si>
  <si>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</si>
  <si>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</si>
  <si>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Total Diseño de Control</t>
  </si>
  <si>
    <t>RANGO DE CALIFICACIÓN DEL DISEÑO</t>
  </si>
  <si>
    <t>NIVEL DE EJECUCIÓN DEL CONTROL</t>
  </si>
  <si>
    <t>RANGO DE CALIFICACIÓN DE LA EJECUCIÓN</t>
  </si>
  <si>
    <t>SOLIDEZ INDIVIDUAL DE CADA CONTROL</t>
  </si>
  <si>
    <t>Total Solidez Individual</t>
  </si>
  <si>
    <t xml:space="preserve">Promedio de los Controles de  Riesgo </t>
  </si>
  <si>
    <t xml:space="preserve">CALIFICACIÓN DE LA SOLIDEZ DEL CONJUNTO DE CONTROLES </t>
  </si>
  <si>
    <t>Casillas que mueve en Probabilidad</t>
  </si>
  <si>
    <t>Casillas que mueve en Impacto</t>
  </si>
  <si>
    <t>OPCIONES DE MANEJO</t>
  </si>
  <si>
    <t>Inoportunidad en la realización del tramité Beneficio Jurídico de Indulto</t>
  </si>
  <si>
    <t>1. Fortalecer el sistema de justicia para que sea accesible, oportuno y cercano al ciudadano.</t>
  </si>
  <si>
    <t>Demora en el proceso de revisión del acto administrativo</t>
  </si>
  <si>
    <t>Acción de tutela</t>
  </si>
  <si>
    <t>El profesional designado para el tramité de la Dirección de Justicia Transicional, semanalmente luego de haber remitido para revisón el acto administrativo, a fin de evitar demoras que puedan entorpecer el tramité, realizará un seguimiento al proceso de revisión, para lo cual solicitará información al responsable del mismo sobre el avance del proceso. Si en el momento de realizar el seguimiento, se evidencia una demora superior a 5 días hábiles por parte del responsable de la revisión, se notificará de esta situación al líder de la Dirección de Justicia Transicional, el cual enviara un memorando reiterando la solicitud de revisión. Evidencia: Hoja de ruta del tramité
Estado de la solicitud en el sistema de Información Interinstitucional de Justicia Transicional 
Memorandos remitidos a las areas involucradas en el proceso de revisión
Reiteración de la solicitud en los casos a los que haya lugar</t>
  </si>
  <si>
    <t>Demora en la notificación del acto administrativo al interno por parte de la oficina jurídica del centro penintenciario</t>
  </si>
  <si>
    <t>Habeas Corpus</t>
  </si>
  <si>
    <t>El profesional designado para el tramité de la Dirección de Justicia Transicional, semanalmente luego de haber remitido a la oficinina jurídica del centro penintenciario para notificación del acto administrativo, a fin de evitar demoras que puedan entorpecer el tramité, realizará un seguimiento al proceso de notificación, para lo cual solicitará información a la oficina jurídica del centro penintenciario, Si en el momento de realizar el seguimiento, se evidencia una demora superior a 5 días hábiles por parte de la oficina jurídica del centro penintenciario, se notificará de esta situación al líder de la Dirección de Justicia Transicional, el cual enviara un oficio reiterando la solicitud de notificación. Evidencia: Hoja de ruta del tramité
Estado de la solicitud en el sistema de Información Interinstitucional de Justicia Transicional 
Oficios remitidos a la oficina jurídica del centro peninteciario 
Reiteración de la solicitud en los casos a los que haya lugar</t>
  </si>
  <si>
    <t>Requerimiento o intervención de un ente de control</t>
  </si>
  <si>
    <t>Realizar o líquidar pagos de forma inadecuada</t>
  </si>
  <si>
    <t xml:space="preserve">Errores por acción u omisión de la información en el registro en las cuentas de cobro
</t>
  </si>
  <si>
    <t xml:space="preserve">Requerimiento por partes de Emtes de Control.
</t>
  </si>
  <si>
    <t>El contador y la persona asignada de tesorería, cada vez que se liquida y se tramita para pago una cuenta de cobro, a fin de evitar errores en la liquidación de estas cuentas, verifica que la documentación este completa, que sea acorde a la forma de pago descrita en el contrato, verifica los requisitos de persona natural (planilla Seguidad Social y Deducciones) y que la obligación sea coherente con esta documentación. En caso de encontrar información faltante o inconsistente, devuelve de forma inmediata a la persona asignada a la revisión anterior para una posterior correción de ser necesaria Evidencia:  Firma y visto bueno del contador en la cuenta de cobro
Tramité en tesorería (Cuenta de cobro para pago)
Devolución de la cuenta de cobro en los casos en los que aplique</t>
  </si>
  <si>
    <t>Falta de actualización en materia tributaria.</t>
  </si>
  <si>
    <t xml:space="preserve">Investigación Disciplinaria
</t>
  </si>
  <si>
    <t>El funcionario asignado por el Grupo de Gestión Financiera, cada vez que se presente un cambio normativo que afecte el proceso de liquidación de cuentas de cobro,  a fin de evitar errores en la liquidación de estas cuentas y fortalecer las competencias del personal a cargo del proceso, realiza un proceso de socialización y sensibilización al equipo de trabajo, teniendo en cuenta estos cambios. En caso de que al momento de la ejecución de la actividad hayase un faltante de citados mayor o igual a la tercera parte , se deberá o re programar la actividad o realizarla una segunda vez, si aún después de esto se sigue presentando inasistencia se enviará por correo electrónico la información a los no asistentes para su consulta Evidencia:
Asistencia a la socialización y sensibilización
Programación de los eventos
Envío del material por correo electrónico</t>
  </si>
  <si>
    <t>Sobreacumulación de cuentas de cobro muy cerca del plazo final para su liquidación y pago</t>
  </si>
  <si>
    <t>Sanciones pecuniarias</t>
  </si>
  <si>
    <t>La persona responsable de tesorería, una vez se aprueba el PAC y luego de identificadas las solicitudes de este con recursos significativos dentro del PAC mensual, a fin de informar la aprobación del monto y las fechas máximas establecidas para la solicitud de pago, envía una comunicación al responsable de la solicitud con los plazos máximos establecidos para la solicitud de radicación de pago, con copia al jefe de area. Si luego de cinco (5) días hábiles, no se cuenta con la cuenta de cobro radicada por parte del solicitante del PAC, se reitarara la solicitud copiando esta a la secretaria general, informando así mismo la fecha de la primera solicitud o adjuntando esta. Evidencia:
Comunicación al solicitante informando montos y plazos
Respuesta del solicitante (Cuenta de cobro radicada)
Reiteración de la solicitud en los casos en que sea necesario</t>
  </si>
  <si>
    <t>Inexistencia de un sistema que permita automatizar algunas tareas relacionadas con la liquidación</t>
  </si>
  <si>
    <r>
      <t xml:space="preserve">El contador y la persona asignada de tesorería, cada vez que se liquida y se tramita para pago una cuenta de cobro, a fin de evitar errores en la liquidación de estas cuentas, verifica que la documentación este completa, que sea acorde a la forma de pago descrita en el contrato, verifica los requisitos de persona natural (planilla Seguidad Social y Deducciones) y que la obligación sea coherente con esta documentación. En caso de encontrar información faltante o inconsistente, devuelve de forma inmediata a la persona asignada a la revisión anterior para una posterior correción de ser necesaria Evidencia:  Firma y visto bueno del contador en la cuenta de cobro
Tramité en tesorería (Cuenta de cobro para pago)
Devolución de la cuenta de cobro en los casos en los que aplique
</t>
    </r>
    <r>
      <rPr>
        <b/>
        <sz val="11"/>
        <color theme="1"/>
        <rFont val="Abadi"/>
        <family val="2"/>
      </rPr>
      <t>El siguiente control NO mitiga la causa de Inexistencia de un sistema que permita automatizar algunas tareas relacionadas con la liquidación, pero permite realizar la labor de revisión manualmente. Así mismo el proces de Gestión Financiera viene realizando la gestión ante la DTGIJ de solicitud de implermntación de un aplicativo o software que mitigaría la causa identificada pero la respuesta ha sido negativa por parte de esta.</t>
    </r>
  </si>
  <si>
    <t>Presentar información inexacta o inoportuna en los Estados Financieros.</t>
  </si>
  <si>
    <t>Entrega tardía de la información por parte de las dependencias generadoras</t>
  </si>
  <si>
    <t xml:space="preserve">Requerimiento por parte de los entes de control
</t>
  </si>
  <si>
    <t>La persona responsable de la conciliación designada por el líder del grupo de gestión financiera, mensualmente a fin de evitar la entrega tardía de la informaicón por parte de las dependencias generadoras, requiere la información a las areás para los diferentes estados financieros, atendiendo los plazos establecidos en la circular interna. Si pasados los primeros días del mes siguiente, no se ha recibido información de las areás se reitera la solicitud adjuntando la circular. Si luego de la reiteración no se recibe información, se deja constancia del hecho en las revelaciones de los estados financieros y se comunicara a la secretaría general sobre el evento. Evidencia:
Solicitud de información inicial
Reiteración de la solicitud en los casos que sea necesaria
Comunicación a Secretaría General en los casos requeridos
Revelaciones de los estados financieros</t>
  </si>
  <si>
    <t>Entrega incompleta o inconsistente por parte de las dependencias generadoras</t>
  </si>
  <si>
    <t xml:space="preserve">Investigación disciplinaria
</t>
  </si>
  <si>
    <t>La persona responsable de la conciliación designada por el líder del grupo de gestión financiera, mensualmente a fin de detectar errores en la información remitida por las areás, realiza la conciliación e identifica posibles cifras con diferencias. Si al momento de realizar la conciliación detecta cifras con diferencias, se solicita aclaración o verificación de estas al areá responsable de forma inmediata, de no surtirse este proceso se deja la anotación en la respectiva conciliación, para ser subsanada en el mes siguiente. Evidencia:
Reporte de información recibida
Conciliación
Registros Contables
Anotaciones en las conciliaciones en los casos que se requiera</t>
  </si>
  <si>
    <t>Entrega de reportes o tableros de control de información de forma inconsistente o inoportuna</t>
  </si>
  <si>
    <t>La fuente no realiza la actualización periódica de los datos entregados para el reporte</t>
  </si>
  <si>
    <t>Pérdida de credibilidad</t>
  </si>
  <si>
    <t>La Subdirección de Gestión de la Información, trimestralmente, a fin de verificar el cumplimiento de las condiciones previamente pactadas, realiza seguimiento al convenio o acuerdo de intercambio de información. En caso de encontrar incumplimiento de las condiciones  pactadas en el convenio o acuerdo, el Ministerio debe generar la alerta a la fuente de información para que esta tome las medidas correspondientes. Evidencia: Informes de seguimiento
Alertas en el caso que así lo amerite
Respectiva respuesta de la fuente de información ante las alertas generadas</t>
  </si>
  <si>
    <t>5. Afianzar una gestión institucional innovadora y ética, soportada en el desarrollo humano y la participación ciudadana.</t>
  </si>
  <si>
    <t xml:space="preserve">Interpretación errónea de los datos entregados </t>
  </si>
  <si>
    <t>Quejas de los usuarios</t>
  </si>
  <si>
    <t>El profesional designado de la  Subdirección de Gestión de la Información, al menos una vez al año, para evitar interpretación errónea de los datos y fortalecer la consistencia de los mismos, socializara los lineamientos para análisis y calidad de los datos tanto para las áreas misionales como para la subdirección. La socialización se podrá realizar por estos medios: mailing, intranet, reuniones. En caso de que al momento de socializar los lineamientos haya una ausencia mayor o igual a la tercera parte, se enviará a los ausentes las memorias y el material utilizado en la reunión. Evidencia: Asistencia a la socialización, material utilizado en la reunión y memorias.</t>
  </si>
  <si>
    <t>Demora en la entrega de información por parte de la fuente</t>
  </si>
  <si>
    <t xml:space="preserve">Decisiones erróneas </t>
  </si>
  <si>
    <t>La fuente realiza la entrega con errores de calidad en los datos a la Subdirección de Gestión de Información</t>
  </si>
  <si>
    <t>La Dirección de Métodos Alternativos de Solución de Conflictos, al menos una vez al año, para actualizar el conocimiento de los grupos de interés del Sistema de Información de la Conciliación, el Arbitraje y la amigable composición SICAAC en temas normativos y del manejo de la operación estadística, realiza un programa de entrenamiento al equipo OECED o a una muestra de grupos de interés involucrados en la operación estadística de la concilación en derecho. En caso de que al momento de realizar el entrenamiento se presente una ausencia mayor o igual a la cuarta parte, se realizará el proceso de divulgación de la información a todos los invitados al programa de entrenamiento. Evidencia: Asistencia al programa de entrenamiento
Envío de la información base del programa de entrenamiento</t>
  </si>
  <si>
    <t>Indisponibilidad de un bien o servicio de tecnología</t>
  </si>
  <si>
    <t>Falencia en el proceso pre contractual de servicios y bienes tecnologicos</t>
  </si>
  <si>
    <t>Afectación de la imagen institucional</t>
  </si>
  <si>
    <r>
      <t xml:space="preserve">El profesional designado  cada vez que se va a realizar un contrato con un proveedor de bienes o servicios tecnologicos, a fin de evitar reprocesos  y/o declaratoria desierta en la fase contractual verifica que la documentación de la etapa pre contractual, cumpla con los requerimientos técnicos y financieros. Si en el momento de la revisión se detalla alguna inconsistencia o falla de información, se deberá replantear la documentación exigida de la etapa en cuestión, ya sea estudios previos, cotizaciones, entre otras, para luego volver a iniciar la fase. </t>
    </r>
    <r>
      <rPr>
        <b/>
        <sz val="11"/>
        <color theme="1"/>
        <rFont val="Abadi"/>
        <family val="2"/>
      </rPr>
      <t>Evidencia</t>
    </r>
    <r>
      <rPr>
        <sz val="11"/>
        <color theme="1"/>
        <rFont val="Abadi"/>
        <family val="2"/>
      </rPr>
      <t xml:space="preserve">: Documentación de la etapa pre- contractual en sus diferentes versionamientos, con el Visto bueno de parte del jefe inmediato. </t>
    </r>
  </si>
  <si>
    <t xml:space="preserve">Falta de mantenimento a los bienes y/o actualización de los servicios tecnologicos </t>
  </si>
  <si>
    <t>Multas y sanciones por incumplimiento a las normas vigentes</t>
  </si>
  <si>
    <r>
      <t>El profesional designado como supervisor  y los que hacen parte del equipo de trabajo encargados del control y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</si>
  <si>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Incumplimiento de las políticas de Uso de los Recursos Informáticos y de Seguridad de las Información</t>
  </si>
  <si>
    <t>Ataques ciberneticos  a los servicios tecnologicos del Ministerio</t>
  </si>
  <si>
    <t xml:space="preserve">Incumplimiento en los objetivos y/o misionalidad del Ministerio </t>
  </si>
  <si>
    <r>
      <t xml:space="preserve">La Dirección de Tecnologías cada vez que surja la necesidad de actualizar el plan de seguridad y privacidad de la información, a fin de evitar ataques ciberneticos a los servicios tecnologicos del Ministerio, ejecutara las actividades relacionadas con la actualización y seguira poniendo en práctica las vigentes (Ethical hacking e ingeniería social, Inteligencia de Amenazas, Seguridad Perimetral y Simulación de ataques cibernéticos). Cuando en el desarrollo del plan se encuentre alguna vulnerabilidad o amenaza, se procede a remediarla o a generar un control compensatorio. </t>
    </r>
    <r>
      <rPr>
        <b/>
        <sz val="11"/>
        <color theme="1"/>
        <rFont val="Abadi"/>
        <family val="2"/>
      </rPr>
      <t xml:space="preserve">Evidencia: </t>
    </r>
    <r>
      <rPr>
        <sz val="11"/>
        <color theme="1"/>
        <rFont val="Abadi"/>
        <family val="2"/>
      </rPr>
      <t xml:space="preserve">Resultado de los ejercicios de aplicación del plan
Versionamientos o actualizaciones del plan 
Instrumento de evaluación en MSPI (MINTIC) . </t>
    </r>
  </si>
  <si>
    <t>Pérdida de información contenida en medio electronico</t>
  </si>
  <si>
    <t>Fallas de los dispositivos</t>
  </si>
  <si>
    <r>
      <t>1.El profesional designado como supervisor  y los que hacen parte del equipo de trabajo encargados del control y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</si>
  <si>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Incumplimiento en los objetivos y/o misionalidad del Ministerio</t>
  </si>
  <si>
    <r>
      <t xml:space="preserve">2.La Dirección de Tecnologías cada vez que surja la necesidad de actualizar el plan de seguridad y privacidad de la información, a fin de evitar ataques ciberneticos a los servicios tecnologicos del Ministerio, ejecutara las actividades relacionadas con la actualización y seguira poniendo en práctica las vigentes (Ethical hacking e ingeniería social, Inteligencia de Amenazas, Seguridad Perimetral y Simulación de ataques cibernéticos). Cuando en el desarrollo del plan se encuentre alguna vulnerabilidad o amenaza, se procede a remediarla o a generar un control compensatorio. </t>
    </r>
    <r>
      <rPr>
        <b/>
        <sz val="11"/>
        <color theme="1"/>
        <rFont val="Abadi"/>
        <family val="2"/>
      </rPr>
      <t xml:space="preserve">Evidencia: </t>
    </r>
    <r>
      <rPr>
        <sz val="11"/>
        <color theme="1"/>
        <rFont val="Abadi"/>
        <family val="2"/>
      </rPr>
      <t xml:space="preserve">Resultado de los ejercicios de aplicación del plan
Versionamientos o actualizaciones del plan 
Instrumento de evaluación en MSPI (MINTIC) </t>
    </r>
  </si>
  <si>
    <t>Fallas en el software al momento de realizar las copias de respaldo</t>
  </si>
  <si>
    <r>
      <t>3.El profesional designado como supervisor  y los que hacen parte del equipo de trabajo encargados de hacer el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</si>
  <si>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Desconocimiento en el uso de las herramientas tecnológicas - Errores humanos</t>
  </si>
  <si>
    <t>Requerimientos por parte de entes de control</t>
  </si>
  <si>
    <r>
      <t>4.La persona designada por la Dirección de Tecnologías y Gestión de la Información en Justicia, anualmente a fin de reducir la posibilidad de errores humanos al momento de ejectutar actividades relacionadas con herramientas tecnologicas y fortalecer el conocimiento de las mismas, diseña el plan de uso y apropiación de TIC incluyendo temas de capacitación y fortalecimiento de habilidades en el uso de sistemas y software del MJD Al momento de construir el plan de uso y apropiación, este debera incluir a todo el personal del MJD sin importar la forma de vinculación, así mismo se deberá tener en cuenta los incidentes elevados en mesa de ayuda para la construcción del mismo y colocar especial énfasis en aquellos usuarios que han sido autores de las mismas. Así mismo cuando se realice la actualización o cambio de una herramienta tecnológica que sea de uso común a todo el Ministerio, se deberán programar una serie de capacitaciones que logre la mayor cobertura posible.</t>
    </r>
    <r>
      <rPr>
        <b/>
        <sz val="11"/>
        <color theme="1"/>
        <rFont val="Abadi"/>
        <family val="2"/>
      </rPr>
      <t xml:space="preserve">  Evidencia:</t>
    </r>
    <r>
      <rPr>
        <sz val="11"/>
        <color theme="1"/>
        <rFont val="Abadi"/>
        <family val="2"/>
      </rPr>
      <t xml:space="preserve"> Plan de uso y apropiación, Grabación de las capacitaciones, piezas.</t>
    </r>
  </si>
  <si>
    <t>Entrega incompleta o a destiempo de información oficial a partes interesadas</t>
  </si>
  <si>
    <r>
      <t xml:space="preserve">5. La Dirección de Tecnologías - Uso y apropiación minimo una vez al año, a fin de fortalecer el conocimiento y práctica de los lineamientos del MJD en lo referente a recursos informáticos, socializara y sensibilizara a las personas vinculadas al MJD en la políticas de Uso de los Recursos Informáticos y Seguridad de la Información. Cuando se presente la actualización de la política o ingreso de nuevo personal se requerirá realizar el proceso completo de socialización y sensibilización. </t>
    </r>
    <r>
      <rPr>
        <b/>
        <sz val="11"/>
        <color theme="1"/>
        <rFont val="Abadi"/>
        <family val="2"/>
      </rPr>
      <t xml:space="preserve"> Evidencia:</t>
    </r>
    <r>
      <rPr>
        <sz val="11"/>
        <color theme="1"/>
        <rFont val="Abadi"/>
        <family val="2"/>
      </rPr>
      <t xml:space="preserve"> Piezas o material utilizado para la socialización y divulgación
a las sensibilizaciones. </t>
    </r>
  </si>
  <si>
    <t>Pérdida  de información o archivos del MJD</t>
  </si>
  <si>
    <t xml:space="preserve">
Aplicación inadecuada o desconocimiento de la normatividad archivística 
</t>
  </si>
  <si>
    <t>Traumatismos en la prestación del servicio del GGD</t>
  </si>
  <si>
    <t xml:space="preserve">El Grupo de Gestión Documental realizará mínimo tres (3)  capacitación al año a los funcionarios, Para ampliar los conocimientos en archivo, aplicar los procesos de desarrollo de la función archivística y la gestión documental a través de las herramientas tecnológicas disponibles, Si a la segunda convocatoria el invitado no asiste el coordinador de GGD enviará un reporte al jefe directo con copia a la OCI, Si al final del año alguna dependencia no asistió se llevara como punto en la agenda en el comité de desempeño                                                              para el fortalecimiento de competencias en materia archivística.
Evidencia: Registro de asistencia  </t>
  </si>
  <si>
    <t>Inadecuados  controles de acceso  de documentos</t>
  </si>
  <si>
    <t xml:space="preserve">
Perdida del patrimonio documental 
</t>
  </si>
  <si>
    <t>El GGD, cada vez que exista cambio de personal que tuviese acceso al archivo de gestión remitirá un correo electrónico al Grupo de Gestión Administrativa al supervisor del contrato de vigilancia con los datos de las personas autorizadas para ingresar, adicional se realizará un registro en el formato establecido, que permita evidenciar quienes tuvieron acceso al archivo de gestión. cuando ocurra el ingreso de personal no autorizado, se debe reportar mediante correo electrónico de forma inmediata al GGA, SG y la OCI para tomar las medidas correspondientes. 
Evidencia: Correo electrónico  y Formato establecido.</t>
  </si>
  <si>
    <t>Falta de Implementación del sistema Integrado de Conservación Documental e Infraestructura inadecuada para la correcto almacenamiento de los soportes Documentales.</t>
  </si>
  <si>
    <t xml:space="preserve">Deterioro de los documentos </t>
  </si>
  <si>
    <t>El profesional del Grupo de Gestión Documental realizara actividades periódicas durante todo el año para garantizar la adecuada conservación de los soportes y medios, así como de los espacios de almacenamiento y custodia de los documentosverificando que la infraestructura cuente con espacios óptimos y  salvaguardar los documentos y  desarrollaando las actividades específicas, descritas en las planes de Conservación y Preservación Documental, La no implementación del SIC a largo plazo puede ocasionar perdida de la información contenida en los diferentes soportes de la entidad.
Evidencia: Formatos asistencia a las capacitaciones de temas del SIC. (F-THDE-02-04)
 Formato de inspección de sistemas de almacenamiento e instalaciones físicas. (F-GD-G01-13) y Formato Monitoreo y Control F-GD-G01-16
Formato Control Factores Biológicos F-GD-G01-15</t>
  </si>
  <si>
    <t xml:space="preserve">
No cumplimiento del cronograma de Transferencia Documental Primarias
</t>
  </si>
  <si>
    <t>Acumulación de archivo en las oficinas productoras</t>
  </si>
  <si>
    <t>El líder del Proceso de Transferencias Documentales Anualmente Con el fin de la liberar espacios en cada dependencia y ayudar en la correcta administración de los expedientes, 
Elabora y socializa el cronograma de trasferencias con las dependencias, La dependencia deberá elaborar un Memorando solicitando prórroga para la entrega de la transferencia la cual será aprobada por el GGD, en caso de que no se cumpla el GGD  debe remitir un memorando a la dependencia con copia a la OCI  para que se justifique la no realización de la Transferencia y el incumplimiento para reporte de Indicadores de Gestión., El líder del proceso de las transferencias documentales previo a la fecha de entrega se comunicará con la dependencia para brindar asistencia técnica si se requiere. 
Evidencias: formato único de inventario documental FUID y acta de entrega y memorando si se requiere, Listados de Asistencia</t>
  </si>
  <si>
    <t xml:space="preserve">Falta de oportunidad en la radicación y entrega de las comunicaciones oficiales </t>
  </si>
  <si>
    <t>Direccionamiento erroneo de las comunicaones por la falta de actualización en las tipoligias documentales por las dependencias del MJD</t>
  </si>
  <si>
    <t>Atraso en tiempos  de respuestas por las dependencias</t>
  </si>
  <si>
    <t>El Grupo de Gestión Documental Cada año, a fin de generar una adecuada distribución de correspondencia al interior de la entidad, Programara una serie de Capacitaciones con cada dependencia sobre las tipologías documentales de su competencia ,En caso de que las personas  citadas a la capacitación  no asistiesen a estas el Coordinador GGD debe realizar la solicitud a la dependencia en donde se presentó inasistencia mediante Memorando informando la fecha y hora  de la nueva capacitación  haciendo énfasis en una posible obligatoriedad. Evidencia: Evidencia: Registro de asistencia Memorando y programación de Capacitaciones</t>
  </si>
  <si>
    <t>Falta de seguimiento adecuado y control en la recepción y distribución de las comunicaciones.</t>
  </si>
  <si>
    <t>Las comunicaciones no llegan tiempo a su destinatario, y presentan falencias en la captura de información.</t>
  </si>
  <si>
    <t>El Grupo de Gestión Documental, diariamente genera un informe en 3 cortes 10:30, 14:30, 17:30 determina los puntos  frágiles del proceso,  de acuerdo a los distintos puntos de acción,detallando de manera cuantitativa la calidad del proceso , con el fin de conocer y diagnosticar la labor del personal del mesa de entrada, Por lo que  realiza un muestreo de  un 45% de la radicación diaria, automatizando la distribución y permitiendo la validación en tiempo real, logrando determinar alertas tempranas, mediante un sistema desarrollado en VBA y con gestor de bases de datos de ACCESS y Power bi,  para que de esta manera la coordinación GGD,  y demás actores del proceso, puedan ver datos estadisticos generales y especificos de la operación, se tiene acceso desde cualquier medio electrónico (Celular, PC) realizando alimentaciones en línea y acciones que mitigan las posibles falencias con las personas que presenten alguna devilidad  Evidencia: Informe Power bi</t>
  </si>
  <si>
    <t>Incumplimiento de los términos establecidos para responder PQRD a los grupos de interés del Ministerio</t>
  </si>
  <si>
    <t>A.  Falta de conocimiento por parte de servidores y contratistas para el correcto manejo del Sistema de Gestión Documental que soporta la gestión de las PQRSD</t>
  </si>
  <si>
    <t>Investigaciones Disciplinarias</t>
  </si>
  <si>
    <t>El Grupo de Gestión Documental al menos una vez al año a fin de fortalecer el conocimiento sobre el  manejo de la herramienta para el tramité de PQRSD, realizará una capacitación sobre el uso adecuado del Sistema de Gestión Documental, según los lineamientos del Manual de Archivo y Correspondencia de la Entidad, a servidores y contratistas de las diferentes dependencias, En caso de que las personas  citadas a la capacitación  no asistiesen a estas el Coordinador del GGD debe realizar la solicitud a la dependencia en donde se presentó inasistencia mediante Memorando informando la fecha y hora  de la nueva capacitación haciendo énfasis en una posible obligatoriedad. Evidencia: Registro de asistencia Memorando y programación de Capacitaciones</t>
  </si>
  <si>
    <t xml:space="preserve">B. Incorrecto reparto de las PQRSD a las dependencias a través del Sistema de Gestión Documental.
</t>
  </si>
  <si>
    <t>Demandas contra la entidad</t>
  </si>
  <si>
    <r>
      <t xml:space="preserve">El Grupo de Gestión Documental Cada año, a fin de generar una adecuada distribución de correspondencia al interior de la entidad, Programara una serie de Capacitaciones con cada dependencia sobre las tipologías documentales de su competencia ,En caso de que las personas  citadas a la capacitación  no asistiesen a estas el Coordinador GGD debe realizar la solicitud a la dependencia en donde se presentó inasistencia mediante Memorando informando la fecha y hora  de la nueva capacitación  haciendo énfasis en una posible obligatoriedad. </t>
    </r>
    <r>
      <rPr>
        <b/>
        <sz val="11"/>
        <color theme="1"/>
        <rFont val="Abadi"/>
        <family val="2"/>
      </rPr>
      <t>Evidencia</t>
    </r>
    <r>
      <rPr>
        <sz val="11"/>
        <color theme="1"/>
        <rFont val="Abadi"/>
        <family val="2"/>
      </rPr>
      <t>: Registro de asistencia Memorando y programación de Capacitaciones</t>
    </r>
  </si>
  <si>
    <t>C. Inadecuado seguimiento a la respuesta de las PQRSD dentro de las dependencias, en su rol de primera línea de defensa.</t>
  </si>
  <si>
    <t>Pérdida de credibilidad institucional.</t>
  </si>
  <si>
    <t>Los enlaces de PQRSD de las dependencias una vez al mes, para generar alertas tempranas respecto al cumplimiento de los términos de las PQRSD, realizarán seguimientos internos a la gestión de estas, de acuerdo con las directrices del Grupo de  Servicio al Ciudadano En caso de que el enlace de PQRSD no realice el seguimiento, el GSC procedera a hacer un requerimiento al líder de la dependencia para que este de cumplimiento a la tarea asignada. Si al momento de realizar el seguimiento, el enlace detalla PQRSD próximas a vencerse, de forma inmediata informará a la persona responsable en EPX de esta situación para evitar su vencimiento Evidencia: Correos electronicos de seguimiento de los enlaces, Requerimiento al líder de la dependencia y correo del enlace al responsable con las alertas de próximos vencimientos</t>
  </si>
  <si>
    <t>C. Inadecuado seguimiento a la respuesta de las PQRD dentro de las dependencias, en su rol de primera línea de defensa.</t>
  </si>
  <si>
    <t>D. Falta de autocontrol de los colaboradores (servidores y contratistas) del Ministerio  para dar respuesta a las PQRSD recibidas de manera oportuna</t>
  </si>
  <si>
    <t>Vulneración de los derechos fundamentales de petición y de acceso a la información que tienen los ciudadanos.</t>
  </si>
  <si>
    <t>El Grupo de Servicio al Ciudadano una vez publicado el informe trimestral de PQRD, para promover el autocontrol de los colaboradores en el tema, realizará el reconocimiento institucional de las tres (3) dependencias con los mejores desempeños en cada periodo de medición, a trávés de su divulgación vía mailing interno. En caso de que se presenten empates se incluirán en el reconocimiento y si una dependencia presenta una reducción significativa (más del 10%) en sus resultados se enviará un correo alertando sobre la situación para la revisión interna de esta. Evidencia: Mailing (correos electronicos) con socialización del reconocimiento y las alertas en el caso de ser requeridas.</t>
  </si>
  <si>
    <t>D. Falta de autocontrol de los colaboradores (servidores y contratistas) del Ministerio  para dar respuesta a las PQRD recibidas de manera oportuna</t>
  </si>
  <si>
    <t>E. Indebido seguimiento y control en la atención de PQRD por parte del GSC</t>
  </si>
  <si>
    <t>Incumplimiento de funciones del grupo establecidas en la Resolución 685 de 2017.</t>
  </si>
  <si>
    <t>El Grupo de Servicio al Ciudadano semanalmente, con el fin de generar alertas oportunas a las dependencias de la Entidad y en su rol de segunda línea de defensa, enviará correo electrónico a todas las dependencias que tengan PQRS asignadas, sobre próximos vencimientos de términos para responder. En caso de que el destinatario se encuentre en alguna situación administrativa que signifique su no lectura, se remitirá el reporte al personal asignado por el enlace. Evidencia:  Reporte de EPX enviados a los enlaces o al personal asignado según el caso Se encuentra contenido en Gestión de requerimientos de grupos de interés</t>
  </si>
  <si>
    <t>El Grupo de Servicio al Ciudadano trimestralmente para realizar control y seguimiento del estado  de PQRSD realizara un informe sobre estas, el cual publicará en la página WEB y se llevará al Comité Institucional de Gestión y Desempeño En caso de que se identifiquen Incumplimiento en términos de respuesta se realizará el envío de un reporte a la OCID y así mismo se realizará una divulgación con las diferentes dependencias sobre los resultados del informe.
 Evidencia:  Informe del estado de las PQRSD, correo electrónico enviado a la OCID, Acta de Comité, correo electrónico con el informe enviado a las diferentes dependencias objeto de análisis Se encuentra contenido en Gestión de requerimientos de grupos de interés</t>
  </si>
  <si>
    <t xml:space="preserve">Incumplimiento de los términos procesales establecidos en la Ley para presentar las intervenciones en los Procesos de control de constitucionalidad y legalidad a cargo de la DDDOJ ante la Corte Constitucional y el Consejo de Estado  </t>
  </si>
  <si>
    <t>Fallas en la supervisión de los términos</t>
  </si>
  <si>
    <t>Deterioro de la imagen institucional</t>
  </si>
  <si>
    <t xml:space="preserve">El funcionario designado luego de fijadas en lista las demandas de la Corte Constitucional o notificadas las demandas o actuaciones del Consejo de Estado, a fin de evitar el incumplimiento de los términos en aquellos procesos en los que la intervención es obligatoria o se ha decidido previamente,confirma mediante las páginas Web de la Corte Constitucional y el Consejo de Estado y la WEB de las secretarías generales de ambas instituciones los términos de los procesos,  excepto durante la vacancia judicial. En caso de encontrar diferencias entre los términos se procede a su correción en el formato del Ministerio. Evidencia: Formatos de control de vencimientos de términos procesales de Corte Constitucional y Consejo de Estado F-ANSJ-02-06(V1) F-ANSJ-02-07(V1) . Acta de validación de vencimientos F-THDE-02-04                                                                                                                                                                                                                                </t>
  </si>
  <si>
    <t>No justificar la no intervención oportunamente de un proceso por orden superior</t>
  </si>
  <si>
    <t xml:space="preserve">El abogado desgnado, cada vez posterior al ánalisis del proceso en donde se decida no intervenir, para dejar la trazabilidad de la gestión del mismo y justificar el proceder del Ministerio, proyecta un memorando de No Intervención para la firma de la dirección. Si la dirección determina que se debe intervenir, se procede a realizar la intervención. Evidencia: Memorando u respuesta al proceso asignado.                            </t>
  </si>
  <si>
    <t>Fallas en los sistemas de apoyo necesarios para el desarrollo de las actividades</t>
  </si>
  <si>
    <t>El abogado designado  cada vez posterior al ánalisis del proceso en donde se decida intervenir a fin de evitar posibles incumplimientos en los terminos por fallas en los sistemas de apoyo proyectara la respuesta para la firma de la dirección, con antelación suficiente a la fecha de vencimiento de términos  En caso de tener proyectada la respuesta pero esta no se firme dentro de un termino razonable, se procedera a generar una alerta para la revisión de la misma. Evidencia: Respuesta proyectada, firmada y radicada.</t>
  </si>
  <si>
    <t>Olvido por parte del funcionario designado</t>
  </si>
  <si>
    <t>Investigación de carácter disciplinarios para el funcionario</t>
  </si>
  <si>
    <t xml:space="preserve">Fallas en el seguimiento y verificación de los pronunciamientos judiciales de fondo de la Corte Constitucional y el Consejo de Estado, que incidan en el ordenamiento jurídico y sean proferidos en los procesos de control de constitucionalidad y legalidad en que interviene la DDDOJ. </t>
  </si>
  <si>
    <t>Que el seguimiento no se haga de forma oportuna</t>
  </si>
  <si>
    <t>El funcionario designado semanalmente a fin de evitar que el seguimiento no se realice de forma oportuna, actualiza  el Cuadro de control procesal de Corte Constitucional, excepto durante la vacancia judicial. Cuando al actualizar el cuadro encuentre una situación que merezca ser comunicada, se informara esta a la dirección Evidencia: Cuadro de control procesal de la Corte Constitucional F-SJ-02-01</t>
  </si>
  <si>
    <t>Que el seguimiento no refleje la realidad</t>
  </si>
  <si>
    <t>Afectación de la seguridad jurídica</t>
  </si>
  <si>
    <t>El funcionario designado quincenalmente a fin de evitar que el seguimiento no se realice de forma oportuna, actualiza  el Cuadro de control procesal del Consejo de Estado, excepto durante la vacancia judicial. Cuando al actualizar el cuadro encuentre una situación que merezca ser comunicada, se informara esta a la dirección. Evidencia: Cuadro de control procesal de Consejo de Estado F-SJ-02-02</t>
  </si>
  <si>
    <t xml:space="preserve">El funcionario designado revisa y reporta mensualmente al Director las novedades jurisprudenciales del Consejo de Estado en los procesos de nulidad de actos de carácter general expedidos por el Gobierno, a medida que éstos se publican en la página web del Consejo. El reporte se envía al director o directora de la DDDOJ por correo electrónico. El control no se hace durante la vacancia judicial. Evidencia: Registro-Correo electrónico.                                                                                                                                                </t>
  </si>
  <si>
    <t>Inexactitud en la información normativa que se carga en la base de datos del sistema SUIN - JURISCOL, frente a la información publicada por quienes las producen.</t>
  </si>
  <si>
    <t>Incorrecta aplicación de la guía  vigente para el cargue de la información, por parte del personal que alimenta el Sistema SUIN - JURISCOL</t>
  </si>
  <si>
    <t>No se fortalece el principio de seguridad jurídica del país</t>
  </si>
  <si>
    <t>El funcionario designado, al menos una vez al año, a fin de fortalecer el conocimiento de la guía vigente para el cargue de la información en el Sistema SUIN-JURISCOL, realiza capacitaciones o talleres al equipo y nuevo personal asignado. Si al momento de realizar la capacitación o taller se presenta una inasistencia mayor o igual a la tercera parte de los citados, se deberá realizar un segundo ejercicio para de esta manera poder dar cobertura a la totalidad del personal invitado, si aún despues de la segunda citación se sigue presentando inasistencia, se enviará a través de correo la guía para conocimiento de los no asistentes. Evidencia: Asistencia a la capacitación o taller 
Presentación - Material utilizado en la capacitación o taller
Programación de las capacitaciones
Envío de la guía a los no asistentes cuando así sea necesario</t>
  </si>
  <si>
    <t>Dificultad o imposibilidad de obtener y usar la información normativa publicada en el Diario Oficial por problemas con la suscripción con la Imprenta Nacional.</t>
  </si>
  <si>
    <t>Pérdida de imagen del SUIN y del Ministerio de Justicia y del Derecho</t>
  </si>
  <si>
    <t xml:space="preserve">El profesional designado de la DDDOJ, cada vez que se requiere la suscripción al Diario Oficial con la Imprenta Nacional, para evitar demoras en el proceso pre-contractual, establece un cronograma con tiempos y responsables donde se detallen todas las actividades que se deban realizar para llevar a buen término el proceso pre-contractual. Si se presenta una situación que impida el cumplimiento de alguna actividad en la fecha establecida se deberá modificar el cronograma para que este se ajuste a las nuevas fechas sin perder los plazos límites establecidos inicialmente. Evidencia: Cronograma interno de trabajo 
Seguimiento al cronograma interno de trabajo
Modificaciones del cronograma
Entrega de la documentación a gestión contractual                                                                                              </t>
  </si>
  <si>
    <t xml:space="preserve"> Fallas en la herramienta tecnológica que afecten el correcto funcionamiento del sistema</t>
  </si>
  <si>
    <t xml:space="preserve">El funcionario designado, cada que se presente un incidente, a fin de detectar posibles fallas en la herramienta tecnológica y corregir cuando sea posible,  informará a la DTGIJ y al proveedor sobre los mismos, para que estos sean tenidos en cuenta en los mantenimientos que esta Dirección realiza. Si al momento de detectar los incidentes, se puede resolver este por parte de la DDDOJ se procederá a remediarlo de forma inmediata y posteriormente se comunicará a la DTGIJ. Evidencia: Registro de incidentes en el sistema de mesa de ayuda ARANDA y sistema de mesa de ayuda del proveedor
Solución de ser posible del mismo por parte de la DDDOJ
</t>
  </si>
  <si>
    <t>Desactualización del contenido cargado en el Sistema SUIN Juríscol frente a la programación del cargue.</t>
  </si>
  <si>
    <t>Incumplimiento del cargue por parte del funcionario designado</t>
  </si>
  <si>
    <t xml:space="preserve">El funcionario designado, mensualmente a fin de llevar un control de las tareas asignadas y evitar un incumplimiento en el cargue por parte de los funcionarios asignados a las tareas, hara seguimiento a la programación donde se revisará el avance de esta. Si al momento de hacer el seguimiento se identifica una norma no cargada en el sistema, se hace el respectivo requerimiento al funcionario designado para que este realice el cargue, si por alguna razón el funcionario no puede realizar el cargue se designara a un nuevo funcionario quien debera realizar el cargue en el menor tiempo posible. Evidencia: Formato Control General
Correos electronicos 
Reasignación del cargue de ser necesario
</t>
  </si>
  <si>
    <t xml:space="preserve">Inconsistencia en los Informe de auditoría </t>
  </si>
  <si>
    <t>Los procesos auditados arrojan información errada o inoportuna.</t>
  </si>
  <si>
    <t>informes inconsistentes</t>
  </si>
  <si>
    <t xml:space="preserve">El Auditor Líder de la OCI cada vez que haya un proceso de auditoría,  genera una carta de representación a través de la herramienta EPX, en la cual el auditado pone de presente que la información que habrá de entregar es confiable, oportuna y completa. En caso de que el auditado hago caso omiso a la entrega del documento a través de correo electronico se le reitera la solicitud. Evidencia: Carta remitida por los responsable de los procesos </t>
  </si>
  <si>
    <t>si</t>
  </si>
  <si>
    <t>Desconocimiento de los procesos y procedimientos por parte de los auditores</t>
  </si>
  <si>
    <t>Toma de decisiones erradas</t>
  </si>
  <si>
    <t xml:space="preserve">El jefe de la OCI, anualmente realizará sesión de capacitación  a todos los integrantes del equipo auditor con el fin de reforzar los conocimientos de procesos y procedimiento. En caso de que uno de los integrantes del equipo no pueda asistir, la capacitacion sera reprogramada dentro del mismo mes de programación. Evidencia: Control de asistencia firmado por cada uno de los asistentes y los temas tratados y conclusion de la reunion.                                                                                                                                                              </t>
  </si>
  <si>
    <t>Análisis incompleto de la información realizada por parte del auditor</t>
  </si>
  <si>
    <t>Desviación en los resultados de la auditoria</t>
  </si>
  <si>
    <t>El Jefe de la OCI enfoca al auditor, previo al desarrollo de la auditoría, y a la vez, revisa el informe preliminar y sus papeles de trabajo, cada vez que se desarrolla una auditoria y antes de ser remitido a las partes interesadas con el  fin de evitar imprecisiones en el contenido del mismo. Lo lee, analiza y en caso de observar inconsistencias solicita. através de correo electrónico las justificaciones o correcciones al auditor para realizar los respectivos ajustes al informe. Evidencia: Correo electrónico con la revisan realizada al informe</t>
  </si>
  <si>
    <t>Análisis incompleto de la información realizado por parte del auditor</t>
  </si>
  <si>
    <t>Incumplimiento de la planeacion de auditorías</t>
  </si>
  <si>
    <t>Falta de colaboración por parte del proceso que se va auditar para la ejecución de la auditoría.</t>
  </si>
  <si>
    <t>Procesos sin un adecuado mejoramiento continuo</t>
  </si>
  <si>
    <t>El auditor líder de la OCI cada vez que haya un proceso auditor,  genera una carta de representación a través de la herramienta EPX, en la cual el auditado pone de presente que la información que habrá de entregar es confiable, oportuna y completa. En caso de que el auditado hago caso omiso a la entrega del documento a través de correo electrónico se le reitera la solicitud. Evidencia: Carta remitida por los responsable de los procesos</t>
  </si>
  <si>
    <t>Situaciones fortuitas o atención de situaciones no previstas</t>
  </si>
  <si>
    <t>Reprogramación de las auditorias ya programadas</t>
  </si>
  <si>
    <t>El jefe de la OCI presentará anualmente al CICCI - para su aprobación- el documento metodológico que contiene los lineamientos para el establecimiento del Plan Anual de Auditoría. Incorporando componentes como: introducción, objetivo, alcance, fuentes de criterios, conocimiento de la entidad, alienación con la planeación estratégica, determinación del universo de auditoría y del plan de auditoria, en caso de que algunos de los elementos que constituyen el documento metologico falte o se tenga que actualizar este será presentado nuevamente al CICCI para la aprobación del ajuste al plan anual Evidencia: Acta de aprobación del plan anual.</t>
  </si>
  <si>
    <t>Requerimientos internos no previstos</t>
  </si>
  <si>
    <t>Inadecuada planeación del trabajo de auditoría.</t>
  </si>
  <si>
    <t>El grupo de profesionales junto con el jefe de la Oficina realizan reuniones mensuales de seguimiento a la gestión de acuerdo con la programación anual, con el fin de revisar el avance de actividades a cargo de cada profesional y establecer tiempos para su cumplimiento. En caso de que uno de los integrantes del equipo no pueda asistir, la capacitación será reprogramada dentro del mismo mes de programación. Evidencia: Control de asistencia firmado por cada uno de los asistentes y los temas tratados y conclusión de la reunión.</t>
  </si>
  <si>
    <t>Incumplimiento de metodología del proceso de formulación de políticas públicas competencia del Ministerio de Justicia y el Derecho.</t>
  </si>
  <si>
    <t>Desconocimiento de la metodología de formulación de políticas públicas</t>
  </si>
  <si>
    <t>Hallazgo por parte de Entes de Control</t>
  </si>
  <si>
    <t>El funcionario o contratista designado por cada viceministerio, al menos dos veces al año, a fin de fortalecer el conocimiento en la metodología vigente para la formulación de política pública, realiza capacitación y divulgación de la misma a los funcionarios encargados de formular política pública. Si al momento de realizar la capacitación, el personal asistente es menor a la tercera parte, se deberá reprogramar la capacitación o realizar un proceso de divulgación de la metodología a los no asistentes para de esta forma lograr la cobertura total de las personas involucradas en este proceso Evidencia: 
Asistencia a capacitación
Metodología divulgada 
Diligenciamiento del plan de Formulación de Políticas Públicas</t>
  </si>
  <si>
    <t>Desconocimiento de la metodología</t>
  </si>
  <si>
    <t>2. Formular y coordinar la política pública en materia de justicia transicional, en el marco de la reconciliación nacional.</t>
  </si>
  <si>
    <t xml:space="preserve">Tiempos limitados o insuficientes </t>
  </si>
  <si>
    <t>Incumplimiento de la misionalidad de la entidad</t>
  </si>
  <si>
    <t>Los viceministros en coordinación con los directores, cada vez que se vaya a formular política pública, a fin de controlar los tiempos y poder actuar frente a situaciones que impidan el oportuno desarrollo de las actividades, establece un cronograma con fechas y responsables para cada una de las etapas del proceso de formulación de política. Si en el transcurso de las labores se presenta algún factor externo o interno que impida el oportuno cumplimiento de los tiempos previamente establecidos se procederá a modificar el cronograma a fin de poder adelantar las actividades en los tiempos requeridos y que impidan el incumplimiento de las actividades de la metodología de formulación. Evidencia: 
Cronograma de actividades
Modificaciones al cronograma con sus respectivas justificaciones</t>
  </si>
  <si>
    <t>3. Liderar la formulación, implementación y seguimiento de las políticas en materia criminal y penitenciaria</t>
  </si>
  <si>
    <t>Falta de competencias específicas en las temáticas para la formulación de política pública.</t>
  </si>
  <si>
    <t>Pérdida de imagen institucional</t>
  </si>
  <si>
    <t xml:space="preserve">Los viceministros en coordinación con los directores, cada vez que se vaya a formular política pública, a fin de seleccionar al personal más idóneo para las temáticas a tratar en la formulación de políticas públicas y teniendo en cuenta el manual de funciones del Ministerio, procederá a distribuir internamente ya sea el proceso completo de formulación o las actividades relacionadas en la metodología al personal a cargo. Si en el proceso de distribución de actividades o temáticas, se presenta una deficiencia en conocimientos o experiencia interna se podrá recurrir a una entidad externa o a expertos, para solicitar el apoyo requerido. Evidencia: 
Cronograma de actividades con responsables definidos según sus competencias
Solicitud de apoyo o colaboración para una actividad o temática específica </t>
  </si>
  <si>
    <t>4. Consolidar la política integral de drogas, su implementación y evaluación.</t>
  </si>
  <si>
    <t>Retrasos o incumplimientos en la suscripción y/o ejecución de los contratos</t>
  </si>
  <si>
    <t>Fallas en la entrega de la documentación para la suscripción del contrato</t>
  </si>
  <si>
    <t xml:space="preserve">No se puedan prestar a tiempo los servicios requeridos para la Entidad. </t>
  </si>
  <si>
    <t>El enlace de contratación de cada dependencia cada vez que se va a efectuar la suscripción de un contrato verifica que la información suministrada por el contratista corresponda con los requisitos establecidos,  a través de una lista de chequeo la cual debera consultar en el SIG,  donde están los documentos requeridos y la revisión con la información física suministrada por el contratista. En caso de encontrar documentación faltante, requiere al contratista a través de correo electronico el suministro de la documentación faltante o incompleta para poder continuar con el proceso de contratación, en un plazo prudente de tal forma que no se retrase el proceso de suscripción. Evidencia: la lista de chequeo diligenciada, la información de la carpeta del contraista y los correos a que hubo lugar en donde solicitó la información faltante o incompleta (en los casos que aplique).</t>
  </si>
  <si>
    <t>Incumplimientos técnicos , legales y/o financieros en la elaboración de estudios previos y documentos soporte.</t>
  </si>
  <si>
    <t>Requerimientos de los entes de control</t>
  </si>
  <si>
    <t>El profesional encargado de adelantar la contratación, cada vez que se va a efectuar la suscripción de un contrato, verifica que la información radicada por parte de cada dependencia corresponda con los requisitos establecidos,  a través de una lista de chequeo la cual debera consultar en el SIG,  donde están los documentos requeridos y la revisión con la información física suministrada por el contratista. En caso de encontrar documentación faltante, requiere al enlace a través de correo electronico el suministro de la documentación faltante o incompleta para poder continuar con el proceso de contratación, en un plazo prudente de tal forma que no se retrase el proceso de suscripción. Evidencia: la lista de chequeo diligenciada, la información de la carpeta del contratista y los correos a que hubo lugar en donde solicitó la información faltante o incompleta (en los casos que aplique).</t>
  </si>
  <si>
    <t>Debilidad en el proceso de seguimiento a la ejecución de los contratos</t>
  </si>
  <si>
    <t>Afectación presupuestal al Plan Anual Mensualizado de Caja - PAC</t>
  </si>
  <si>
    <t>El profesional en derecho del grupo de gestión contractual, cada vez que se va a efectuar la suscripción de un contrato, a fin de verificar que el proceso pre contractual cumpla con los requisitos técnicos, legales y financieros, revisa los estudios previos y los documentos soporte de la contratación. En caso de encontrar inconsistencias o información faltante y si el hecho es subsanable se solicita la modificación o complemento a la dependencia responsable en un plazo prudente de tal forma que no se retrase el proceso de suscripción. Si por otro lado la situación no es subsanable, se hace devolución de la documentación completa junto a un memorando donde se explican las razones de esta decisión y se solicita la modificación de la documentación existente. Evidencia: 
Ajustes solicitados a la dependencia (en los casos que aplique)
Correos electrónicos de las dependencias con los respectivos ajustes
Devolución de la documentación con el memorando (en los casos que aplique)</t>
  </si>
  <si>
    <t>Incumplimiento de la ejecución presupuestal del Ministerio</t>
  </si>
  <si>
    <t>Divulgar información confusa e inoportuna</t>
  </si>
  <si>
    <t>Uso de lenguaje técnico que impida su entendimiento por el público en general</t>
  </si>
  <si>
    <t>Pérdida de credibilidad de la entidad</t>
  </si>
  <si>
    <t>El periodista a cargo de la respectiva publicación, cada vez que se va a publicar un documento o información técnica, a fin de aclarar la temática, revisar la terminología utilizada y evitar imprecisiones en la información a divulgar, solicita asesoría con la fuente primaria de la información o documentación. En caso de evidenciar algún término de díficil comprensión, o que la lectura de la información o documentación es confusa se procederá a realizar una modificación sin perder el sentido lógico ni de fondo de la misma. Estas modificaciones serán aprobadas por la fuente primaria de la información previo a su publicación o divulgación. Evidencia: Documentación o información en sus diferentes versiones
Documentación o información publicada</t>
  </si>
  <si>
    <t xml:space="preserve">Se reciba de manera tardía la información oficial para publicación </t>
  </si>
  <si>
    <t>Quejas por parte de los usuarios</t>
  </si>
  <si>
    <t>El grupo de profesionales de la Oficina de Prensa y Comunicaciones, diariamente, para producir y difundir la información de manera oportuna deberá consultar sus fuentes asignadas. Las fuentes asignadas pueden remitirse en cualquier momento para producir y solicitar la divulgación de información al grupo de profesionales de la Oficina de Prensa y Comunicaciones, sin perjuicio de la consulta diaria por parte de este último. Evidencia: Consulta por parte del grupo profesionales de la Oficina de Prensa y Comunicaciones
Solicitud de produción o divulgación por parte de la fuente</t>
  </si>
  <si>
    <t>Desconocimiento del manual de comunicaciones por parte del personal de la Oficina de Prensa y Comunicaciones</t>
  </si>
  <si>
    <t>Aumento de Peticiones o solicitudes de información por falta de claridad en las publicaciones</t>
  </si>
  <si>
    <t xml:space="preserve">El profesional designado de la Oficina de Prensa y Comunicaciones, minimo dos veces al año, a fin de fortalecer el conocimiento sobre el Manual de comunicaciones y resolver dudas o evitar confusiones en su interpretación, socializará este al equipo de trabajo de la Oficina. Cuando en el proceso de socialización no asista una tercera parte del equipo de trabajo, se deberá programar una segunda fecha para los no asistentes, a fin de dar cobertura a la totalidad del equipo. Evidencia: Asistencia a la socialización
Programación de las capacitaciones según el caso </t>
  </si>
  <si>
    <t>Formular proyectos de actos normativos que no cumplan con el ordenamiento jurídico vigente.</t>
  </si>
  <si>
    <t>Desconocimiento del ordenamiento jurídico para la producción de los proyectos de actos normativos.</t>
  </si>
  <si>
    <t xml:space="preserve">Reproceso </t>
  </si>
  <si>
    <t>El funcionario o contratista designado por cada director, al menos una vez al año, a fin de fortalecer el conocimiento en el ordenamiento jurídico vigente para la producción de proyectos de actos normativos , realiza capacitación y divulgación de las mismas a los funcionarios encargados de llevar a cabo este proceso. Si al momento de realizar la capacitación, el personal asistente es menor a la tercera parte, se deberá reprogramar la capacitación o realizar un proceso de divulgación del ordenamiento jurídico vigente a los no asistentes para de esta forma lograr la cobertura total de las personas involucradas en este proceso. De ser posible, esta capacitación y divulgación se realizará en conjunto entre direcciones. Evidencia: 
Asistencia a capacitación
Ordenamiento Jurídico divulgado</t>
  </si>
  <si>
    <t>Deficiencias en el proceso de revisión previa de los proyectos de actos normativos.</t>
  </si>
  <si>
    <t>Suspensión, nulidad, incosntitucionalidad, constitucionalidad condicionada, contra los actos normativos</t>
  </si>
  <si>
    <t>El grupo de actuaciones administrativas, cada vez que reciba por parte de las Direcciones proyectos normativos que requieran la firma del despacho del ministro o de la presidencia de la República, verifica los requisitos previamente establecidos y revisa la viabilidad jurídica, y se registran en el formato de actuaciones administrativas, En caso de no cumplir con los requisitos o cuando se tenga alguna observación que deba ser subsanada, se devuelve el proyecto de acto normativo a la dependencia que lo proyecte para que esta realice las modificaciones del caso. Evidencia:Formato de Registro de actuaciones administrativas
Correos electronicos de la radicación, devolución del proyecto en el caso que sea necesario.
Memorandos remisorios</t>
  </si>
  <si>
    <t>Daño antijurídico</t>
  </si>
  <si>
    <t xml:space="preserve">La DDDOJ cada vez que se solicite concepto de constitucionalidad, a fin de evitar posibles vicios de inconstitucionalidad del proyecto normativo, revisa que el proyecto se ajuste a los parametros de la Constitución Política y emite el concepto de acuerdo a los resultados de esta revisión. En caso de encontrar algún vicio, se devuelve el proyecto normativo con su respectivo concepto desfavorable, donde se hace mención expresa a las situaciones observadas, para las correcciones del caso. Evidencia:Concepto de constitucionalidad
Memorandos remisorios </t>
  </si>
  <si>
    <t>Contestar los requerimientos jurídicos por fiuera de los términos legales o no contestarlos (Consultas al Consejo de Estado, Revisiones de Actos Administrativos, Conceptos)</t>
  </si>
  <si>
    <t>Dificultad de recopilación de la información y documentación necesaria para proyectar las respuestas</t>
  </si>
  <si>
    <t>Reclamaciones o quejas de los usuarios</t>
  </si>
  <si>
    <t>El profesional designado, diariamente, con el fin de verificar los términos de respuesta y generar las alertas de seguimiento y  asimismo, verificar la competencia del Grupo de Actuaciones Administrativas, para dar trámite a la solicitud y el término legal para hacerlo, cuando proceda, registra en las matrices diseñadas los requerimientos recibidos por parte de las diferentes dependencias. Si al momento de realizar la verificación determina que los requerimientos son competencia de otra dependencia interna, se realiza la respectiva reasignación de los requerimientos. Evidencia: 
Matriz de consultas del Consejo de Estado
Matriz de actuaciones administrativas
Matriz de solicitudes generales (Conceptos Jurídicos)
Reasignación de los requerimientos cuanda haya lugar</t>
  </si>
  <si>
    <t>C. Inadecuado seguimiento a la respuesta de los requerimientos jurídicos dentro de las dependencias, en su rol de primera línea de defensa.</t>
  </si>
  <si>
    <t xml:space="preserve">B. Incorrecto reparto de los requerimientos jurídicos a las dependencias a través del Sistema de Gestión Documental.
</t>
  </si>
  <si>
    <t xml:space="preserve">El Coordinador del Grupo de Actuaciones Administrativas  semanalmente, con el fin de verificar los términos de respuesta y generar las alertas de vencimiento, realiza seguimiento a las matrices diseñadas para tal fin. Si al momento de realizar el seguimiento identifica alguna inconsistencia o un requerimiento próximo a vencerse, genera las alertas inmediatas para que se priorice la respuesta de estos. Evidencia: 
Matriz de consultas del Consejo de Estado
Matriz de actuaciones administrativas
Matriz de solicitudes generales (Conceptos Jurídicos)
Alertas que genera el Coordinador de GAA a través de correo electronico
</t>
  </si>
  <si>
    <t>Investigaciones penales o disciplinarias</t>
  </si>
  <si>
    <t>El funcionario encargado cada que se presente un requerimiento, a fin de determinar si se necesita o no documentacion o informacion adicional, revisa el requerimiento jurídico cumpliendo con los procedimientos establecidos. Si al momento de realizar la revisión determina la necesidad de contar con documentación o información adicional, prioriza la obtención de estos elementos, si además luego de la revisión concluye que no es posible resolver la petición dentro del termino legal vigente se debe informar esta circunstancia al peticionario, antes del vencimiento de los términos expresando los motivos de la demora y señalando a la vez el plazo en que se dará respuesta. Evidencia: 
Solicitud de información o documentación a las dependencias o entidades 
Respuesta justificando las razones de demora al peticionario</t>
  </si>
  <si>
    <t>Demora en la entrega de información por parte de las áreas</t>
  </si>
  <si>
    <t>Los funcionarios designados del Grupo de Actuaciones administrativas cuando se requiera, a fin de fortalecer la adecuada distribución de correspondencia al interior del Ministerio, capacitarán al grupo de gestión Documental (mesa de entrada) y al Grupo de Servicio al Ciudadano sobre los temas de competencia del GAA. Si al momento de realizar la capacitación se presentase ausencia mayoritaria de algun grupo, se deberá emitir un lineamiento general sobre términos y competencias los cuales han sido tratados en el ejercicio de la capacitación, el cual se remitira a los no asistentes. Evidencia: 
Asistencia de capacitaciones
Lineamiento general remitido a traves de correo electronico a los no asistentes</t>
  </si>
  <si>
    <t>Inoportuna Gestión De Las Actividades De Cobro.</t>
  </si>
  <si>
    <t>Falta de envío oportuno y con calidad del título ejecutivo, por parte de las áreas generadoras</t>
  </si>
  <si>
    <t>Pérdida de oportunidad en el recaudo de los recursos a favor de la Nación</t>
  </si>
  <si>
    <t xml:space="preserve">El coordinador del Grupo de Actuaciones Administrativas al menos una vez al mes, para identificar las actuaciones e impulsos de la gestión de cobro de cada obligación, realiza seguimiento a las obligaciones recibidas y en gestión de cobro. Si al momento de la revisión, se identifica inactividad procesal, se remitirá solicitud o correo electrónico o memorando para la priorización de estos procesos al abogado encargado. Evidencia: 
Matriz de Cobro Coactivo donde se incluye la revisión
Actas de reuniones de seguimiento
Correos, comunicaciones o memorandos solicitando la priorización del proceso cuando haya lugar.
</t>
  </si>
  <si>
    <t>Inactividad procesal dentro de las actuaciones administrativas de gestión de cobro.</t>
  </si>
  <si>
    <t>Incumplimiento en las metas y objetivos de la Dirección Jurídica</t>
  </si>
  <si>
    <t xml:space="preserve">El coordinador del Grupo de Actuaciones Administrativas mensualmente, para identificar las actuaciones e impulsos desarrollados, frente a la gestión de cobro de cada obligación, realiza el cruce entre las obligaciones remitidas por las areas emisoras del título vs el reporte de obligaciones registrado en las matrices de seguimiento de los procesos. Si al momento del cruce, identifica alguna situación que pueda llevar a la prescripción de la acción de cobro o a la pérdida de ejecutoriedad del acto administrativo, identifica los títulos que no han sido enviados a gestión de cobro y los prioriza para adelantar el cobro correspondiente. Evidencia: 
Matriz de Cobro Coactivo
Correos de remisión de información
Devolución del título al abogado para la gestión correspondiente
</t>
  </si>
  <si>
    <t>Falta de seguimiento a los procesos de cobro coactivo</t>
  </si>
  <si>
    <t>Sanciones de los organos de control al Ministerio</t>
  </si>
  <si>
    <t>Efectuar calificaciones de los riesgos procesales inoportunamente o con errores.</t>
  </si>
  <si>
    <t>Fallas en el seguimiento al cargue y registro en el sistema E-kogui de la calificación de los riesgos procesales.</t>
  </si>
  <si>
    <t>Afectación de la ejecución presupuestal</t>
  </si>
  <si>
    <t xml:space="preserve">El coordinador del Grupo de Defensa Jurídica, al menos dos veces al semesre, a fin de confrontar la información del E-kogui vs la consignada en el formato de consolidación procesal, realiza seguimiento a las calificaciones de los riesgos procesales,  Si al momento del seguimiento identifica diferencias entre la información registrada en E-kogui vs la consignada en el registro de consolidación procesal, procederá a solicitar al abogado encargado la actualización y verificación de esta información, tanto en E-kogui como en el formato. Evidencia: 
Formato de consolidación procesal
Comunicación con la comparación realizada
Solicitud de actualización y verificación, cuando sea el caso
</t>
  </si>
  <si>
    <t>Desactualización del estado del proceso por parte de los apoderados en los formatos establecidos y en E-kogui.</t>
  </si>
  <si>
    <t>Requerimientos por parte de los entes de control</t>
  </si>
  <si>
    <t xml:space="preserve">El coordinador del Grupo de Defensa Jurídica, al menos dos veces al semesre, a fin de confrontar la información del E-kogui vs la consignada en el formato de consolidación procesal, realiza seguimiento a las calificaciones de los riesgos procesales,  Si al momento del seguimiento identifica diferencias entre la información registrada en E-kogui vs la consignada en el registro de consolidación procesal, procederá a solicitar al abogado encargado la actualización y verificación de esta información, tanto en E-kogui como en el formato. Evidencia: 
Formato de información consolidada procesal
Comunicación con la comparación realizada
Solicitud de actualización y verificación, cuando sea el caso
</t>
  </si>
  <si>
    <t>Fallas en E-kogui que elimina  registros ya incorporados.</t>
  </si>
  <si>
    <t>Investigación disciplinaria</t>
  </si>
  <si>
    <t>El abogado apoderado, semanalmente, a fin de verificar que los datos registrados se encuentren vigentes y actualizados,   realiza revisión del E-kogui y de los procesos a cargo, mediante la comparación del formato: Información consolidada procesal vs información del E-kogui, Si al momento de realizar la revisión encuentra información incosistente o no actualizada, realiza la solicitud a la Agencia Nacional de Defensa Jurídica del Estado para que esta realice las correcciones respectivas en el aplicativo Evidencia: 
Formato de información consolidada procesal
Formato de inclusión y exclusión enviado a la ANDJ en los casos que sea necesario
Respuesta de la ANDJ en los casos donde se solicite alguna modificación</t>
  </si>
  <si>
    <t>Errores al realizar el reporte de calificación del riesgo en Ekogui.</t>
  </si>
  <si>
    <t>Vencimiento de términos en los procesos contenciosos y conciliaciones en los que es parte el Ministerio de Justicia y del Derecho</t>
  </si>
  <si>
    <t>Falta de seguimiento a las notificaciones de los procesos contenciosos y a las conciliaciones</t>
  </si>
  <si>
    <t>Pérdida de oportunidad en la defensa de los intereses de la Nación</t>
  </si>
  <si>
    <t xml:space="preserve">El coordinador del Grupo de Defensa juridica, mensualmente  realiza un seguimiento a los términos de los procesos contenciosos y de las conciliaciones en los que es parte el Ministerio de Justicia y del Derecho en los registros realizados por los apoderados en los formatos preestablecidos en los procedimientos y en el eKOGUI. Si al momento de realizar el seguimiento, identifica procesos contenciosos o conciliatorios próximos a vencerse, prioriza estos procesos para adelantar los tramites correspondientes según el estado del proceso  Evidencia: 
Formatos establecidos en los procesos
Correos con alertas de vencimiento </t>
  </si>
  <si>
    <t>Falta de seguimiento de los apoderados y del coordinador al registro de información procesal y E-kogui</t>
  </si>
  <si>
    <t>Daño Jurídico</t>
  </si>
  <si>
    <t>Investigaciones disciplinarias contra los funcionarios</t>
  </si>
  <si>
    <t>Inoportunidad en el pago de sentencias y conciliaciones en contra de la entidad</t>
  </si>
  <si>
    <t>Falta de seguimiento al cargue de la información en el registro de información procesal y en E-kogui</t>
  </si>
  <si>
    <t>Deterioro de la imagen del Ministerio</t>
  </si>
  <si>
    <t xml:space="preserve">El coordinador del Grupo de Defensa Jurídica, al menos dos veces al semestre, a fin de priorizar los pagos de las sentencias y conciliaciones, realiza seguimiento a las calificaciones de los riesgos procesales contenidas en E-kogui y en los formatos de consolidación procesal.  Si al momento del seguimiento identifica la obligación de pago de una sentencia o conciliación próxima a realizarse, procederá a solicitar al abogado la información para la solicitud del PAC en financiera para el tramité correspondiente. Evidencia: 
Formato de consolidación procesal
Comunicación al abogado 
Solicitud de PAC
</t>
  </si>
  <si>
    <t>Demora en la entrega de información a financiera para el respectivo pago</t>
  </si>
  <si>
    <t>Detrimento patrimonial por la causación de intereses moratorios</t>
  </si>
  <si>
    <t>Los abogados del Grupo de Defensa Jurídica   mensualmente, para identificar los pagos de las sentencias  y conciliaciones en contra del MJD,  al momento de realizar la actualizacion de la información en el sistema  E-Kogui  y en los formatos preestablecidos en los procedimientos pueden detectar sentencias y conciliaciones con pagos próximos a realizarse. Si al momento de actualizar la información, identifica que existen pagos próximos a realizarse, debera informar al coordinador del Grupo, para que este realice las gestiones internas presupuestales a las que haya lugar  Evidencia: 
Matriz de contingencias procesales 
Informes E-Kogui 
Correo electronico al coordinador informando los pagos proximos a realizarse detectados</t>
  </si>
  <si>
    <t>No realizar el traslado de las solicitudes de visita al Sistema de Responsabilidad Penal para Adolescentes - SRPA y al Sistema Penintenciario y carcelario que no son competencia del Ministerio de Justicia y el Derecho.</t>
  </si>
  <si>
    <t xml:space="preserve">Olvido por parte del personal de la solicitud </t>
  </si>
  <si>
    <t>Afectación en las capacidades de atención de las entidades que conforman el sistema nacional penintenciario y carcelario</t>
  </si>
  <si>
    <t>El coordinador del grupo penitenciario y carcelario  diariamente, para llevar un control de las solicitudes que llegan a la dirección y el debido proceso de respuesta a las mismas cuando no son competencia del ministerio, realizara un seguimiento a través de un cuadro de control donde se consigna si son o no competencia del ministerio y el paso a seguir. Si en el momento de realizar el seguimiento, se identifican solicitudes recibidas el día anterior que no han sido trasladadas se debe realizar el traslado de forma inmediata, informando a las entidades que recibirán la solicitud para que la prioricen, así mismo se deberá informar de la situación al Director quien podrá realizar un requerimiento al funcionario que no ha realizado el traslado. Evidencia: Cuadro de Control debidamente diligenciado
Notificación del traslado
Traslado a traves de fuentes oficiales</t>
  </si>
  <si>
    <t>Falta de conocimiento de las obligaciones misionales por parte del personal asociado a la Dirección de Política Criminal y Penintenciaria</t>
  </si>
  <si>
    <t>Investigaciones disciplinarias</t>
  </si>
  <si>
    <t>El coordinador del grupo penitenciario y carcelario  semanalmente, para llevar un control de las solicitudes que llegan a la dirección y el debido proceso de respuesta a las mismas cuando no son competencia del ministerio, realizara un seguimiento a través de un cuadro de control donde se consigna si son o no competencia del ministerio y el paso a seguir. Si en el momento de realizar el seguimiento, se identifican solicitudes recibidas la semana anterior que no han sido trasladadas se debe realizar el traslado de forma inmediata, informando a las entidades que recibirán la solicitud para que la prioricen, así mismo se deberá informar de la situación al Director quien podrá realizar un requerimiento al funcionario que no ha realizado el traslado. Evidencia: Cuadro de Control debidamente diligenciado
Notificación del traslado
Traslado a traves de fuentes oficiales</t>
  </si>
  <si>
    <t>Desconocimiento de la normatividad asociada</t>
  </si>
  <si>
    <t>El funcionario designado por el líder de la Dirección de política Criminal y penintenciaria, al menos una vez cada semestre, a fin de fortalecer el conocimiento en las obligaciones misionales de la Dirección, especialmente en los temas relacionados con el Sistema Penintenciario y Carcelario y el SRPA y así mismo en la normatividad asociada al proceso, realizara un proceso de sensibilización y capacitación a todo el personal de la DPCP,  En caso de que al momento de la ejecución de la actividad hayase un faltante de citados mayor o igual a la tercera parte , se deberá o re programar la actividad o realizarla una segunda vez, si aún después de esto se sigue presentando inasistencia se enviará por correo electrónico la información a los no asistentes para su consulta. Evidencia: Asistencia a la capacitación y sensibilización
Envío del material por correo electrónico
Programación de los eventos 
Re programación en los casos que sea necesario</t>
  </si>
  <si>
    <t>No realizar el seguimiento a las visitas realizadas ni a los compromisos establecidos que son competencia del Ministerio</t>
  </si>
  <si>
    <t>Fallas en el seguimiento a las visitas y sus respectivos compromisos</t>
  </si>
  <si>
    <t xml:space="preserve">El coordinador del grupo penitenciario y carcelario, cuando se cuente con un reporte de al menos diez visitas realizadas,  a fin de llevar un control sobre los compromisos competencia del Ministerio y los cuales quedarón establecidos en las visitas realizadas a los centros penitenciarios y a los centros del SRPA y evitar el incumplimiento de los mismos, realizara un seguimiento de los compromisos establecidos competencia del Ministerio, en el formato de seguimiento del Sistema Penitenciario y Carcelario y en el formato de seguimiento del SRPA Si al momento de realizar el seguimiento, se identifican compromisos vencidos o próximos a vencerse, se deberá proceder a informar al director, se establezca un plan a seguir para la revisión de los mismos y la delegación a un profesional o grupo de apoyo para que este comience a realizar el seguimiento a estos de forma más estricta. Evidencia: Asistencia a mesas de trabajo
Informes de seguimiento
Planes de acción en los casos en que sean necesarios
Actas de reunión 
</t>
  </si>
  <si>
    <t>Afectación de los derechos de las personas implicadas en los compromisos adquiridos.</t>
  </si>
  <si>
    <t>Incumplimiento de los objetivos del proceso</t>
  </si>
  <si>
    <t>Errores en el proceso de expedición de licencia de cannabis con fines médicos y científicos</t>
  </si>
  <si>
    <t>Errónea interpretación jurídica o técnica de la documentación aportada en la solicitud.</t>
  </si>
  <si>
    <t>El personal designado por la Subdirección de Control y Fiscalización de Sustancias Químicas y Estupefacientes- Grupo Control de Cannabis con fines médicos y Científicos-, para el tema jurídico y para el tema técnico, al menos una vez al año, para minimizar la posibilidad de que se presenten errores de interpretación jurídica o técnica de la documentación aportada a la solicitud de licencias de semillas y cultivo de cannabis, capacitara y sensibilizara al equipo interno de trabajo encargado de evaluar las solicitudes y requisitos en aspectos técnicos y jurídicos Cada vez que se incorpore personal nuevo al proceso, se deberá realizar la capacitación y sensibilización, siempre teniendo en cuenta las cargas internas de trabajo y la programación de la vinculación. Si al momento de realizar la capacitación hay una ausencia de la tercera parte o más de los citados, esta deberá o reprogramarse o realizarse por segunda vez, hasta tanto todo el equipo la reciba, si aún después de un segundo intento de capacitación hay personal que no recibe la capacitación, se realizará una charla personal con los ausentes para solventar dudas y compartir la información de interés del proceso. Al finalizar el proceso de capacitación se deberá entregar el material utilizado a los asistentes para posteriores consultas. Evidencia: Asistencia a la capacitación
Documentación utilizada en la capacitación
Programación de las capacitaciones</t>
  </si>
  <si>
    <t>Errores humanos al momento de realizar el acto administrativo</t>
  </si>
  <si>
    <t>Pérdida de Imagen Institucional</t>
  </si>
  <si>
    <t>El personal designado por la Subdirección de Control y Fiscalización de Sustancias Químicas y Estupefacientes- Grupo Control de Cannabis con fines médicos y Científicos-, para la expedición del Acto Administrativo, cada vez que reciba una solicitud y previo a la elaboración del acto administrativo, para minimizar la posibilidad de que se presenten errores de digitación al momento de realizar el proceso, diligenciará los campos relacionados en un formato de Excel teniendo como única fuente la documentación aportada, la cual será contrastada previo a la expedición del acto administrativo. Si luego del proceso de diligenciamiento del formato y en el momento de la revisión previo a la expedición del acto administrativo, se identican errores o informaicón incongruente, se procede a su inmediata corrección o modificación en el formato, para posteriomente trasladar estos al Acto Administrativo. Evidencia: Formato en Excel con los datos necesarios para la solicitud y elaboración del Acto Administrativo
Revisión del Formato contra la documentación aportada (Versiones del Formato)</t>
  </si>
  <si>
    <t>Requerimientos por parte de Entes de Control</t>
  </si>
  <si>
    <t>Errores en el proceso de expedición del Certificado de Carencia de Informes por Tráfico de Estupefacientes</t>
  </si>
  <si>
    <t xml:space="preserve">Errores en el diligenciamiento de los datos solicitados en la plataforma SICOQ para la solicitud </t>
  </si>
  <si>
    <t>Producto no conforme</t>
  </si>
  <si>
    <t>Los funcionarios designados por la Subdirección de Control y Fiscalización de Sustancias Químicas y Estupefacientes- Grupo Control de Sustancias Químicas- cada vez que se presente una modificación o actualización normativa y/o de la plataforma, a fin de minimizar la posibilidad de errores al momento del diligenciamiento de la información en esta, actualizará el material necesario relacionado con el uso de la plataforma SICOQ y de las Sustancias Químicas (instructivos, manuales, circulares y guías). Dependiendo del impacto en el proceso se debe realizar la modificación o actualización en el menor tiempo posible. Se debe acompañar el proceso de actualización o modificación con capacitaciones a los usuarios, teniendo en cuenta la demanda y la cargas laborales internas. Evidencia: Material actualizado  
Asistencia a las capacitaciones</t>
  </si>
  <si>
    <t>Fallas en el proceso de revisión de los datos diligenciados en la plataforma SICOQ</t>
  </si>
  <si>
    <t>Incumplimiento de las actividades planificadas (Acompañamiento y asistencia tecnica a entes territoriales)</t>
  </si>
  <si>
    <t>Devolución de la documentación requerida para la contratación de personal.</t>
  </si>
  <si>
    <t>Inadecuada implementación de la política de drogas en los territorios</t>
  </si>
  <si>
    <t xml:space="preserve">El asesor jurídico designado para el proceso de contratación de la Dirección de Política de Drogas y Actividades Relacionadas, cada vez que se vaya a realizar el proceso de contratación a traves de la prestación de servicios y previo a la entrega de la documentación a la Secretaría General, a fin de que la documentación e información consignada en la etapa pre contractual este acorde a las necesidades y requerimientos de la dependencia a cargo, revisará y ajustara la información del mismo en los aspectos técnicos y jurídicos. Si al momento de la revisión, se identifica información inconsistente, faltante o que no es clara, procede a la correción de esta, dejando una copia con los cambios realizados. Así mismo puede recibir solicitudes de ajustes por parte del líder de la Dirección. Evidencia: Versionamientos de la documentación asociada a la etapa pre contractual de los contratos
Solicitudes de ajuste a traves de las fuentes de comunicación oficiales </t>
  </si>
  <si>
    <t>Sobredemanda de acompañamiento y asistencia técnica</t>
  </si>
  <si>
    <t>Afectación en la imagen institucional</t>
  </si>
  <si>
    <t>El observatorio de Drogas, cada vez que se genera una actualización de información de los datos públicos en materia de drogas, y a fin de permitirle a los solicitantes del acompañamiento y asistencia técnica contar con información de interés que les permita reducir el número de consultas y de solicitudes al Ministerio, realizará la revisión y cargue de las actualizaciones correspondientes o de nueva información de interés para estos entes. La actualización de la información irá acompañada de una difusión a través de la página web del ministerio y del portal del observatorio. Evidencia: Actualizaciones del observatorio de drogas
Campañas de difusión de las actualizaciones</t>
  </si>
  <si>
    <t>Incumplimiento de los objetivos y metas en el Plan de acción de la Política de drogas</t>
  </si>
  <si>
    <t>Incumplimiento en el desarrollo de los estudios e investigaciones del Observatorio de Drogas</t>
  </si>
  <si>
    <t>Devolución de la documentación requerida para la suscribición de convenios por parte del suscriptor.</t>
  </si>
  <si>
    <t>No contar con la informaicón actualizada para la fromulación adecuadada de la política de drogas</t>
  </si>
  <si>
    <t xml:space="preserve">El asesor jurídico de la Dirección de Política de Drogas y Actividades Relacionadas y/o el asesor de la Subdirección Estratégica y de ánalisis y/o el asesor de la Subdirección de Control y Fiscalización de Sustancias Químicas y Estupefacientes, según el campo de acción del convenio, cada vez que se vaya a suscribir un convenio y previo a la entrega de la documentación a la Secretaría General, a fin de que la documentación e información consignada en el convenio este acorde a las necesidades y requerimientos de la dependencia a cargo, revisa y realiza los ajustes correspondientes a la información del mismo en los aspectos jurídicos. Si al momento de la revisión, se identifica información incongruente, faltante o que no es clara, procede a la correción de esta, dejando una copia con los cambios realizados. Se pueden recibir ajustes por parte del cooperante que deben ser incluidos en esta revisión. Evidencia: Versionamientos de la documentación asociada a la etapa pre contractual de los convenios
Solicitudes de ajuste a traves de las fuentes de comunicación oficiales </t>
  </si>
  <si>
    <t xml:space="preserve">La persona designada experta en temas técnicos de la Dirección de Política de Drogas y Actividades Relacionadas y/o la persona experta designada de la Subdirección Estratégica y de ánalisis y/o la persona experta designada de la Subdirección de Control y Fiscalización de Sustancias Químicas y Estupefacientes, según el campo de acción del convenio, cada vez que se vaya a suscribir un convenio y previo a la entrega de la documentación a la Secretaría General, a fin de que la documentación e información consignada en el convenio este acorde a las necesidades y requerimientos de la dependencia a cargo, revisa la información y realiza los ajustes correspondientes del mismo en los aspectos técnicos. Si al momento de la revisión, se identifica información inconsistente, faltante o que no es clara, procede a la correción de esta, dejando una copia con los cambios realizados. Se pueden recibir ajustes por parte del cooperante que deben ser incluidos en esta revisión. Evidencia: Versionamientos de la documentación asociada a la etapa pre contractual de los convenios
Solicitudes de ajuste a traves de las fuentes de comunicación oficiales </t>
  </si>
  <si>
    <t xml:space="preserve">El asesor jurídico designado para el proceso de contratación de la Dirección de Política de Drogas y Actividades Relacionadas y/o asesor jurídico designado para el proceso de contratación de la Subdirección Estratégica y de ánalisis y/o el asesor jurídico designado para el proceso de contrataciónde la Subdirección de Control y Fiscalización de Sustancias Químicas y Estupefacientes, según el campo de acción del contrato de prestación de servicios, cada vez que se vaya a realizar el proceso de contratación a traves de la prestación de servicios y previo a la entrega de la documentación a la Secretaría General, a fin de que la documentación e información consignada en la documentación pre contractual este acorde a las necesidades y requerimientos de la dependencia a cargo, revisa y ajusta la información del mismo en los aspectos técnicos y jurídicos. Si al momento de la revisión, se identifica información inconsistente, faltante o que no es clara, procede a la correción de esta, dejando una copia con los cambios realizados. Así mismo puede recibir solicitudes de ajustes por parte del líder de la Dirección o las respectivas Subdirecciones. Evidencia: Versionamientos de la documentación asociada a la etapa pre contractual de los contratos
Solicitudes de ajuste a traves de las fuentes de comunicación oficiales </t>
  </si>
  <si>
    <t>Incumplimiento de la función de seguimiento a los compromisos establecidos en el Consejo Nacional de Estupefacientes</t>
  </si>
  <si>
    <t>No contar con la información que provea los insumos técnicos necesarios para la realización de los seguimientos.</t>
  </si>
  <si>
    <t>No dar al número de sesiones previstas en la ley 30 de 1986.
No contar con información para la adecuada toma de decisiones por parte del CNE.
Retraso en el cumplimiento de compromisos adquiridos.</t>
  </si>
  <si>
    <t>El secretario técnico del CNE, a la tercera vez de no recibir respuestas a las solicitudes de información para los seguimientos de los compromisos adquiridos en el marco de las sesiones del CNE, y a fin de poder dejar en evidencia el incumplimiento y a su vez solicitar apoyo para el cumplimiento de esta función como secretaría técnica, remitirá una nueva solicitud de información pero esta vez lo hará con copia al ente de control competente, pidiendo el acompañamiento de este último e informando del incumplimiento. Si luego de realizada la nueva solicitud se recibe respuesta por parte de las entidades, igual se dejará en evidencia el incumplimiento a las solicitudes previas, el cual servirá como prueba en caso que el ente de control decida abrir alguna investigación. Evidencia: Solicitudes anteriores
Solicitud por tercera vez con copia al ente de control correspondiente
Respuesta a la solicitud</t>
  </si>
  <si>
    <t>El contador y la persona asignada de tesorería, cada vez que se liquida y se tramita para pago una cuenta de cobro, a fin de evitar errores en la liquidación de estas cuentas, verifica que la documentación este completa, que sea acorde a la forma de pago descrita en el contrato, verifica los requisitos de persona natural (planilla Seguidad Social y Deducciones) y que la obligación sea coherente con esta documentación. En caso de encontrar información faltante o inconsistente, devuelve de forma inmediata a la persona asignada a la revisión anterior para una posterior correción de ser necesaria Evidencia:  Firma y visto bueno del contador en la cuenta de cobro
Tramité en tesorería (Cuenta de cobro para pago)
Devolución de la cuenta de cobro en los casos en los que aplique
El siguiente control NO mitiga la causa de Inexistencia de un sistema que permita automatizar algunas tareas relacionadas con la liquidación, pero permite realizar la labor de revisión manualmente. Así mismo el proces de Gestión Financiera viene realizando la gestión ante la DTGIJ de solicitud de implermntación de un aplicativo o software que mitigaría la causa identificada pero la respuesta ha sido negativa por parte de esta.</t>
  </si>
  <si>
    <t>Inconsistencias en la liquidación y cargue de la nómina</t>
  </si>
  <si>
    <t>Novedades registradas extemporáneamente</t>
  </si>
  <si>
    <t xml:space="preserve">El grupo interno de nómina de GTH, cada vez que se presenta una novedad que pueda ser incluida en la nómina del mes, a fin de que todas queden causadas en el mes que se reportaron, las revisa y las  ingresa en el sistema; posteriormente se realiza una revisión por parte del líder del proceso en conjunto con quienes realizarón el cargue de las mismas. Si al realizar esta última revisión se encuentran inconsistencias, se procede al ajuste en el sistema y se informa del mismo al líder del proceso. Evidencia: 
Soportes de novedades en formato digital
Soportes de liquidación y cargue de novedades (SIIF, RF, Reporte de Bancos, Libranzas, AFC y AFP, Embargos, entre otros) </t>
  </si>
  <si>
    <t>Fallas del sistema de liquidación de nómina.</t>
  </si>
  <si>
    <t>Afectación de los servicios a los cuales acceden los servidores</t>
  </si>
  <si>
    <t>El contratista cada vez que se presenten inconsistencias detectadas por el grupo de nómina de GTH, a fin de corregir estos fallos, realiza los cambios requeridos en el sistema de liquidación de nómina. Si al momento de realizar los procedimientos para la respectiva correción se encuentra una situación que no es posible enmendar de forma inmediata, el equipo de nómina lo corrige de forma manual, mientras el contratista realiza la corrección en el sistema. Evidencia: Reporte de inconsistencias a traves del sistema con un número de caso, cierre efectivo del caso (corrección), corrección manual cuando sea el caso.</t>
  </si>
  <si>
    <t>Inoportunidad en la entrega de las novedades</t>
  </si>
  <si>
    <t>Requerimientos por parte de los Entes de Control</t>
  </si>
  <si>
    <t>El grupo de nómina de GTH mensualmente, a fin de clasificar las novedades que se liquidaran en el mes y las que se liquidaran de forma posterior, siguiendo la circular establecida por Secretaría General procede a recibir todas las novedades entregadas por las areas, los servidores y terceros, teniendo en cuenta las fechas que se consignan en esta. Si al momento de recibir la novedad esta se encuentra fuera del plazo establecido en la circular puede o causarla en el mes siguiente o registrarla de forma tardía en una nómina adicional, esta última solamente de acuerdo a ciertas excepciones. Evidencia: Acuse de recibido de las novedades . Nómina adicional cuando la situación lo amerité.</t>
  </si>
  <si>
    <t>Errores al digitar la información en el sistema</t>
  </si>
  <si>
    <t>Incumplimiento del Plan Institucional de Capacitación</t>
  </si>
  <si>
    <t>Asignación presupuestal insuficiente.</t>
  </si>
  <si>
    <t>Afectación de los objetivos del Ministerio.</t>
  </si>
  <si>
    <t xml:space="preserve">El profesional designado de Gestión del Talento Humano mensualmente, a fin de lograr la mayor cobertura de tematicas por el PIC, revisa la oferta institucional de otras entidades públicas que capaciten a costo cero, estructura los PAE con personal del Ministerio en tematicas especificas, realiza la gestión con la OAP para la busqueda de recursos en otros rubros que permitan subsanar tematicas susceptibles de certificación. Si al momento de realizar alguna de las labores mencionadas, no se logra cubrir una tematica en especifico, se deja evidencia la gestión, la cual será utilizada como insumo para reportes e informes del area. Evidencia: Confrontación de la Oferta Institucional de otras Entidades Públicas vs el PIC 
Proyectos de Aprendizaje en Equipo
Asignación presupuestal adicional </t>
  </si>
  <si>
    <t>Demoras en el proceso contractual para la contratación de proveedores de servicio de capacitación</t>
  </si>
  <si>
    <t>Afectación presupuestal.</t>
  </si>
  <si>
    <t>El profesional designado de Gestión del Talento Humano, cada vez que se requiere la contratación de una tematica de capacitacion, para evitar demoras en el proceso pre-contractual, establece un cronograma con tiempos y responsables donde se detallen todas las actividades que se deban realizar para llevar a buen término el proceso pre-contractual. Si se presenta una situación que impida el cumplimiento de alguna actividad en la fecha establecida se deberá modificar el cronograma para que este se ajuste a las nuevas fechas sin perder los plazos límites establecidos inicialmente. Evidencia: Cronograma interno de trabajo 
Seguimiento al cronograma interno de trabajo
Modificaciones del cronograma
Entrega de la documentación a gestión contractual</t>
  </si>
  <si>
    <t>Desinterés en la participación de los servidores</t>
  </si>
  <si>
    <t xml:space="preserve">Incumplimiento de lineamiento normativo </t>
  </si>
  <si>
    <t>El coordinador del proceso de Gestión del Talento Humano, cada vez que un funcionario no asista a una capacitación que involucre recursos, a fin de dejar una trazabilidad de la inasistencia y buscar un cambio de cultura al interior del Ministerio sobre este tema, informara tanto al jefe inmediato como al servidor del evento dando a conocer el valor de la capacitación a la cual no se asistió.  Al momento de remitir la comunicación solicitar la confirmación de lectura a fin de dejar en evidencia el envío y recibido del mismo. Evidencia: Correos electrónicos o comunicaciones al jefe inmediato y al servidor
Respuesta por parte de los receptores</t>
  </si>
  <si>
    <t>El coordinador del proceso de Gestión del Talento Humano, previo a una capacitación que involucre recursos a fin de sensibilizar al servidor público sobre la importancia de asistir a la capacitación, envía una comunicación al funcionario inscrito detallando los beneficios de su asistencia y las implicaciones de su inasistencia. Al momento de remitir la comunicación solicitar la confirmación de lectura a fin de dejar en evidencia el envío y recibido del mismo. Evidencia: Correo electrónico o comunicaciones al servidor inscrito
Respuesta por parte del receptor</t>
  </si>
  <si>
    <t>Vinculación de personal sin el cumplimiento de los requisitos mínimos establecidos de formación y experiencia contenidos en el manual de funciones.</t>
  </si>
  <si>
    <t>Falencia en la revisión de requisitos mínimos.</t>
  </si>
  <si>
    <t>Investigaciones disciplianrias y/o fiscales y/o penales
Requerimientos por parte de Entes de Control</t>
  </si>
  <si>
    <t>El  Coordinador del proceso de Gestión del Talento Humano, cada vez  que se vaya a realizar una vinculación de un empleado público, a fin de corroborar la información diligenciada por el profesional encargado de la revisión de los requisitos de formación, experiencia y antecedentes, verificara la información contenida en los siguientes formatos: Cálculo de tiempo de experiencia laboral, certificado de Cumplimiento de requisitos y la información de los siguientes certificados: antecedentes fiscales, disciplinarios y judiciales. Si al momento de hacer la verificación, identifica información que no es clara, esta incorrecta o el aspirante no cumple con los requisitos, se hace el llamado a la revisión por parte del profesional para que este la subsane o la aclare con el aspirante, si luego de este proceso se concluye que el aspirante no cumple con los requisitos, se informará al aspirante y a secretaría general para que se proceda a tomar la decisión del caso. Evidencia: Formato cálculo de tiempo de experiencia laboral, 
Formato certificado de Cumplimiento de requisitos 
Certificados de antecedentes fiscales, disciplinarios y judiciales.
Visto bueno del coordinador.
Comunicaciones al profesional encargado para las correcciones o aclaraciones cuando proceda.
Comunicaciones al aspirante y a secretaría general cuando procedan</t>
  </si>
  <si>
    <t>Incumplimiento del plan de Bienestar y Estímulos</t>
  </si>
  <si>
    <t>El profesional de Gestión Humana cada vez  que se vaya a realizar una actividad que tengamos la mayor participación posible teniendo en cuenta el diagnostico de necesidades, a las actividades de mayor acogida en el año anterior y la propuesta del proveedor se deberá reprogramar la actividad o en su defecto buscar otra actividad que tenga mayor acogida Diagnóstico de necesidades, propuesta presentada por la contratación y las inscripciones realizadas</t>
  </si>
  <si>
    <t>Demoras en el proceso contractual para la contratación de proveedores de bienestar y estímulos.</t>
  </si>
  <si>
    <t>El profesional de Gestión Humana una vez al año contratación de las actividades de Bienestar solicitud de cotización para garantizar que las actividades que se van a contratar se ajuesten al presupuesto asignado si la propuesta no está ajustada al total del prespuesto se debe recotizar hasta que se tenga el valor correspondiente solictud de cotización y presentación de propuestas</t>
  </si>
  <si>
    <t>Inasistencia de los pre inscritos a las actividades de Bienestar</t>
  </si>
  <si>
    <t>El profesional de Gestión Humana por cada actividad garantizar que los inscritos asistan a la actividad se envía correos con todos los parámetros para el desarrollo de la actividad con fecha, hora y logística se malgasta el prespuesto estatal asignado para el desarrollo del Plan de Bienestar correos con indicaciones de la actividad, listas de asistencia y correo solicitando la justificación de no asistencia indicando que se invirtieron recursos del estado y no dio oportunidad a que otro funcionario pudiera participar</t>
  </si>
  <si>
    <t>El profesional de Gestión Humana por cada actividad que todos los funcionarios y sus familiar tengan igualdad de participación mediante correo se informa de la actividad y se lleva a cabo una inscripción  que no cumplirse el cupo o estar sobre pasado se debe hacer los ajustes correspondientes con el contratista correos de inscripción e información al contratista de los inscritos</t>
  </si>
  <si>
    <t>Retrasos en la revisión de la documentación asociada a las solicitudes de comisiones al exterior de servidores públicos.</t>
  </si>
  <si>
    <t>Demoras en la entrega de los documentos por parte del solicitante</t>
  </si>
  <si>
    <t>Que el funcionario no pueda viajar por no allegar la documentación a tiempo.</t>
  </si>
  <si>
    <t>El Técnico administrativo del area, cada vez que el funcionario vaya a realizar un viaje, estará atento a que entregue los docuemntos con suficiente tiempo, de acuerdo a los plazos maximos que exisaten para ello, si los documentos no son allegados a tiempo no será posible subir la información al aplicativo de presidencia. Evidencia: Guia Comisión de servicios al exterior G-THAD-01 G-THAD-01 Versión 3.</t>
  </si>
  <si>
    <t>Entrega incompleta de la documentación por parte del solicitante</t>
  </si>
  <si>
    <t>Que el funcionario no pueda viajar por no allegar la documentación completa.</t>
  </si>
  <si>
    <t>El Técnico administrativo del area, cada vez que el funcionario vaya a realizar un viaje, revisará que los docuemntos entregados esten completos, verificará los documentos de acuerdo a la Guia Comisión de servicios al exterior. Si en el momento de hacer la verificación los documentos estan imcompletos o la información no es clara, se hará el llamado al funcionario para que la subsane y se le recordará los limites de tiempo de entrega para subir la información al aplicativo de presidencia. G-THAD-01 G-THAD-01 Versión 3. (No. 4.1).</t>
  </si>
  <si>
    <t xml:space="preserve">Pérdida de recursos del Ministerio de Justicia y del Derecho por no reconocimiento de incapacidades superiores a dos días. </t>
  </si>
  <si>
    <t>No gestión de la incapacidad por parte del proceso a la EPS</t>
  </si>
  <si>
    <t>Detrimento patrimonial</t>
  </si>
  <si>
    <t>El Profesional del Grupo de Gestión Humana nómina Mensualmente con el propósito de evitar que hayan incapacidades sin radicar en las respectivas EPS. Inicialmente se recibe la incapacidad por correo electrónico o por EPX, se descarga el documento en pdf y se guarda en la carpeta escaner, luego se registra en el cuadro de control de incapacidades, posteriormente se radica en la pàgina web de la EPS y a fin de mes se ingresa en el aplicativo de nòmina. Se hace seguimiento semanalmente hasta que la EPS efectua el desembolso. Si se identifica una incapacidad que no ha sido radicada, se procede a buscar el documento en la historia laboral del funcionario y se empieza el proceso de radicaciòn. la entidad pierde el derecho a exigir el cobro despuès de tres (3) años. Evidencia archivo en excel "Cuadro de control incapacidades" Carpeta compartida Incapacidades.</t>
  </si>
  <si>
    <t>Desconocimiento y/o incumplimiento del procedimiento para la validación de incapacidades por parte de los servidores publicos.</t>
  </si>
  <si>
    <t>El coordinador del Grupo de Gestiòn Humana durante los 4 meses siguientes a su vinculación Con el fin de iniciar al empleado en la integraciòn a la cultura organizacional Ejecuta el proceso de inducción, con una formación y aprendizaje sobre todos los asuntos relacionados con sus dependencias, al igual que sus responsabilidades individuales, sus deberes y sus derechos. Se reorienta la integraciòn del funcionario en la cultura organizacional de acuerdo a los cambios en los asuntos que interfieran en el logro de los objetivos, con actualizaciones acerca de las normas que regulan los procesos. Evidencia: Formato evaluación de satisfacción de las actividades de capacitación F-HTDE-02-05 
Formato Listados de asistencia F-HTDE-02-04</t>
  </si>
  <si>
    <t>Información desactualizada en el Sistema Integrado de Gestión -SIG</t>
  </si>
  <si>
    <t>No tener la ultima versión del documento</t>
  </si>
  <si>
    <t>Uso inadeacuado de la documentación</t>
  </si>
  <si>
    <t>El coordinador del grupo de calidad y transformación organizacional al menos dos veces al año a fin de identificar posible documentación desactualizada o incompleta en el SIG,  realizará verificación de la documentación cargada en el sistema,  en caso de encontrar información incompleta o desactualizada, requerirá a través de correo electrónico al responsable y facilitador del proceso el envió de la información actualizada. Evidencia: correo electrónico solicitando la información, respuesta enviada por el responsable o facilitador del proceso</t>
  </si>
  <si>
    <t>Cargue erroneo de la información en el SIG</t>
  </si>
  <si>
    <t>Errores en los procesos</t>
  </si>
  <si>
    <t>La persona designada o el coordinador del grupo de calidad y transformación organizacional cada vez que se vaya a cargar información en el sistema a fin de evitar el cargue de información erronea o desactualizada,  realizará verificación de los elementos que conforman dicha documentación (versión, paginación, roles, entre otros.), la información contenida en reportes y seguimientos,  en caso de encontrar información  desactualizada o inconsiste  requerirá a través de correo electrónico al responsable y facilitador del proceso el envió de la información corregida o actualizada Evidencia: correo electrónico solicitando corrección de la información, respuesta enviada por el responsable o facilitador del proceso</t>
  </si>
  <si>
    <t>Desconocimiento del proceso a seguir para la actualización de la información.</t>
  </si>
  <si>
    <t>Hallazgos en los resultados de auditoría.</t>
  </si>
  <si>
    <t>La persona designada o el coordinador del grupo de calidad y transformación organizacional al menos una vez al año, a fin de reforzar el conocimiento sobre la forma correcta para la actualización de la documentación o información que conforman el SIG, realizará socialización a todos los facilitadores de los procesos sobre el procedimiento dispuesto para la actualización de la información, en caso de inasistencia de al menos la tercera parte de los citados se reprogramará la socialización o en su defecto a través de correo electrónico se enviará la información del procedimiento. Evidencia: citación a la socialización, asistencia a la socialización, correo</t>
  </si>
  <si>
    <t>Seguimiento inoportuno al sistema integrado de gestión.</t>
  </si>
  <si>
    <t>No reportar información a tiempo por parte de los responsable del proceso</t>
  </si>
  <si>
    <t>La persona designada o el coordinador del grupo de calidad y transformación organizacional trimestralmente a fin de identificar información o documentación desactualizada o incompleta en el SIG, realizará verificación de la información cargada en el sistema, en caso de encontrar información incompleta o desactualizada, requerirá a través de correo electrónico al responsable y facilitador del proceso el envió o cargue de la información actualizada. Evidencia: correo electrónico solicitando la información, respuesta enviada por el responsable o facilitador del proceso</t>
  </si>
  <si>
    <t>Debilidad en la planeación de los reportes o seguimiento</t>
  </si>
  <si>
    <t>Insuficiente información sobre el estado del SIG</t>
  </si>
  <si>
    <t>La persona designada o el coordinador del grupo de calidad y transformación organizacional trimestralmente con el fin de dar cumplimiento a las diferentes actividades relacionadas con el mantenimiento del sistema y permitir un mejor control de los reportes a realizar, hará seguimiento al cronograma establecido para los reportes del SIG, en caso de encontrar incumplimiento o retraso en el envio de la información, requerirá a través de correo electrónico al responsable y facilitador del proceso el envió o cargue de la misma. Evidencia: Cronograma de reporte,  correo electrónico solicitando la información, respuesta enviada por el responsable o facilitador del proceso</t>
  </si>
  <si>
    <t xml:space="preserve">No poder tomar decisiones frente al sistema </t>
  </si>
  <si>
    <t>Inadecuada formulación de los planes y proyectos de inversión  institucionales</t>
  </si>
  <si>
    <t>Definir actividades en los planes y proyectos que no son competencia en terminos de misionalidad de la entidad</t>
  </si>
  <si>
    <t>Incumplir las metas establecidas en el plan estratégico institucional</t>
  </si>
  <si>
    <t>El grupo de gestión de proyectos y presupuesto de la OAP cada vez que se va a formular un proyecto de inversión. verificara que la información reportada por los formuladores cumpla con los requirimientos solicitados por la metodología revisando su diligenciamiento a través del formato de formulación de proyectos de inversión En caso de encontrar información faltante o que no cumpla con los requerimientos, se devuelve al respectivo formulador para su corrección, con el acompañamiento del grupo de gestión de proyectos y presupuesto de la OAP. Evidencia: Formato de Formulación de proyectos de inversión. Correos solicitando la correción y Formato Corregido.</t>
  </si>
  <si>
    <t>Inadecuada aplicación de la metodología para la formulación de los  proyectos de inversión por parte de los formuladores</t>
  </si>
  <si>
    <t>Incorrecta aplicación de los lineamientos por parte de los responsables en el proceso de formulación de la planeación institucional.</t>
  </si>
  <si>
    <t>Incumplimiento del referente estratégico de la entidad.</t>
  </si>
  <si>
    <t>El profesional asignado del grupo de planeación estratégica de la OAP cada vez que se va a realizar la formulación de la planeación verificara que las acciones establecidas sean coherentes con: el PND, los objetivos estratégicos y  la misionalidad de la entidad. mediante mesas de trabajo con las dependencias En caso de encontrar información faltante o que no es coherente, se resuleve de forma inmediata en la mesa de trabajo o de ser necesario se devuelve al respectivo formulador para su corrección luego de su revisión con el líder de la dependencia. Evidencia: Formato del Plan de Acción y del Plan Estratégico. Listados de asistencia. Correo electrónico solicitando la correción y fornatos ajustados</t>
  </si>
  <si>
    <t>Retrasos en la ejecución del presupuesto de inversión por leyendas de previo concepto</t>
  </si>
  <si>
    <t>El profesional asignado del grupo de planeación estratégica de la OAP cada vez que se va a realizar la formulación de la planeación verificara que los lineamientos brindados por esta oficina hayan sido tenidos en cuenta de forma correcta mediante mesas de trabajo con las dependencias En caso de encontrar información faltante o que no cumple con los lineamientos, se resuelve de forma inmediata en la mesa de trabajo o de ser necesario se devuelve al respectivo formulador para su corrección luego de su revisión con el líder de la dependencia. Evidencia: Formato del Plan de Acción y del Plan Estratégico. Listados de asistencia. Correo electrónico solicitando la correción y formatos ajustados</t>
  </si>
  <si>
    <t>Incumplimiento de las metas establecidas en el plan institucional</t>
  </si>
  <si>
    <t>El líder de la OAP previo a la publicación en la página WEB del Ministerio de los diferentes planes y a fin de generar un compromiso con el ejercicio de planeación e informar sobre las actividades responsabilidad de los diferentes procesos llevará a aprobación del Comité Institucional de Gestión y Desempeño, la planeación estratégica e institucional En caso de presentarse comentarios o sugerencias por parte de algún miembro del Comité y de ser posible se resoloverán de forma inmediata en este espacio o de ser necesario, se devolverá al respectivo formulador para su corrección luego de la revisión con el líder de la dependencia. Evidencia: Formato del Plan de Acción y del Plan Estratégico. Actas de comité. Correo electrónicos solicitando la correciones y formatos ajustados</t>
  </si>
  <si>
    <t>Incumplimiento de las metas definidas en los planes y proyectos de inversión institucionales</t>
  </si>
  <si>
    <t>Inadecuada ejecución de recursos de Proyectos de Inversión</t>
  </si>
  <si>
    <t>El Grupo de Gestión de Proyectos y Presupuesto, mensualmente a fin de controlar la ejecución de los proyectos de inversión y generar alertas frente al tema, realizará la revisión de todos los proyectos de inversión, de acuerdo a los parámetros de calidad y oportunidad de la información a los que se hace mención en el Decreto 1082 de 2015, En caso de encontrar inconsistencias o información que no es clara, se debe remitir al responsable del seguimiento las observaciones y ajustes a las que haya lugar mediante correo electronico, a fin de que este las corrija en el Sistema de Seguimiento de Proyectos de Inversión antes del cierre estipulado. Si el ajuste no se realiza en los tiempos estipulados, se registra en un libro de Excel los ajustes solicitados para realizar una nueva solicitud a ser tenida en cuenta en el seguimiento del mes siguiente. Evidencia: Correos electronicos solicitando ajustes, Libro de Excel con ajustes solicitados pero no cumplidos, Correos electronicos con los ajustes.Se encuentra contenido en Formulación y Seguimiento de Proyectos de Inversión</t>
  </si>
  <si>
    <t>Retrasos en la contratación de la entidad</t>
  </si>
  <si>
    <t>Afectación de le ejecución presupuestal de la entidad</t>
  </si>
  <si>
    <t>El Grupo de Gestión de Proyectos y Presupuesto, trimestralmente a fin de informar sobre la ejecución presupuestal y generar recomendaciones o alertas sobre la misma a criterio propio, realiza un informe de seguimiento a la ejecución presupuestal de todas las dependencias del Ministerio de Justicia y el Derecho, incluyendo recursos de crédito externo De detallar algun aspecto sobre el que vale la pena hacer una recomendación o alerta a criterio propio, sera informado a la dependencia responsable y al Comité Institucional de Gestión y Desempeño Evidencia: Informe de seguimiento, Acta de Comité, Correos electronicos informando a las dependencias .Se encuentra contenido en Programación presupuestal y seguimiento a los ingresos y a laejecución de los recursos asignados</t>
  </si>
  <si>
    <t xml:space="preserve">Reprocesos en la gestión interna en la fase de planeación </t>
  </si>
  <si>
    <t>Incumplimiento de las metas asignadas a la entidad en el PND</t>
  </si>
  <si>
    <t>Retrasos en la gestión interna en la fase de ejecución</t>
  </si>
  <si>
    <t xml:space="preserve">Insatisfación de los grupos de valor </t>
  </si>
  <si>
    <t>La Oficina Asesora de Planeación durante la fase de planeación de la entidad asesorara metodologicamente a las dependencias en el diligenciamiento del formato del PAI y el PEI mediante mesas de trabajo  De ser necesario realizar varias mesas de trabajo estas se programaron en el transcurso de la fase de planeación, para resolver dudas sobre el dilingenciamiento del formato  Evidencia: Asistencia a mesas de trabajo, formato del PAI - PEI diligenciado .Se encuentra contenido en Formulación y seguimiento del PAI - Formulación y seguimiento del PES - PEI</t>
  </si>
  <si>
    <t>No atender las solicitudes válidas de repatriación de ciudadanos Colombianos detenidos en el exterior y de ciudadanos extranjeros detenidos en Colombia</t>
  </si>
  <si>
    <t>La solicitud no es enviada con el expediente completo</t>
  </si>
  <si>
    <t>Sobreacumulación de peticiones sobre un caso</t>
  </si>
  <si>
    <t>El coordinador del Grupo de traslado de personas condenadas, previo al estudio del caso por parte de la Comisión Intersectorial para el estudio de repatriación de presos y posterior a la revisión y gestión del profesional designado de este, a fin de verificar que la información y la documentación del expediente se encuentre completa, revisará que la información consignada en la hoja de vida del condenado corresponda con la documentación que conforma el expediente, En caso de que al momento de revisar la hoja de vida del condenado, se identifique que el expediente se encuentra incompleto o que la información este incorrecta, en el primer caso se solicita al profesional encargado del caso para que este gestione la documentación faltante, en el segundo caso se solicitara al profesional las correcciones a las que haya lugar. Evidencia: Estudio del caso por parte de la comisión.
Gestión de la documentación faltante a las autoridades correspondientes por parte del profesional encargado del caso, cuando haya lugar.
Recepción por segunda vez de la hoja de vida con las correcciones por parte del profesional encargado del caso.</t>
  </si>
  <si>
    <t>Revisión inadecuada de la documentación por parte del funcionario designado del caso</t>
  </si>
  <si>
    <t>Requerimientos de entes de control</t>
  </si>
  <si>
    <t>Descuido del funcionario encargado del caso para la atención de la solicitud</t>
  </si>
  <si>
    <t>El coordinador del Grupo de traslado de personas condenadas, cada dos meses, a fin de verificar que se este realizando la gestión a la solicitud y determinar en que fase se encuentra, revisará los casos en la base de datos de solicitudes de traslado. En caso de que al momento de realizar la verificación se identifique una solicitud que aparece en la base de datos en estado Recibida luego de dos meses, pero no aparece ninguna otra actuación se solicitará al profesional encargado del caso la debida justificación del tema y se procederá a informar a este la prioridad de la gestión de la misma. Evidencia: Observaciones por parte del coordinador en la base de datos sobre el caso
Requerimiento al profesional de la justificación, en el caso que se requiera</t>
  </si>
  <si>
    <t>Tramitar inadecuada y/o inoportunamente las solicitudes de asistencia mutua en materia penal</t>
  </si>
  <si>
    <t>La autoridad judicial remite la solicitud de asistencia judicial sin el lleno de los requisitos previstos en el convenio internacional aplicable</t>
  </si>
  <si>
    <t xml:space="preserve">Incidencia negativa en la decisión judicial </t>
  </si>
  <si>
    <t xml:space="preserve">El coordinador del Grupo de Asistencia Judicial de la Dirección de Asuntos Internacionales, cada vez que se reciba una solicitud de asistencia judicial en materia penal y previo al envío de esta a la autoridad central correspondiente, a fin de determinar la viabilidad de la solicitud y  evitar devoluciones o reprocesos por documentación incompleta o inconsistente por parte de la Autoridad Central,revisará el cumplimiento de los requisitos de fondo y forma, previstos en el instrumento internacional aplicable al caso concreto. En caso de que al momento de recibir la solicitud, esta se encuentre sin el lleno de los requisitos, se devuelve a la autoridad judicial requirente con las observaciones del caso. Evidencia: Oficio por parte del Ministerio con las respectivas observaciones en los casos que aplique a la solicitud de la autoridad judicial. 
</t>
  </si>
  <si>
    <t>Fallas en la revisión de la documentación soporte de la solicitud del servicio</t>
  </si>
  <si>
    <t xml:space="preserve">Afectación judicial en la cooperación entre gobiernos y autoridades judiciales </t>
  </si>
  <si>
    <t>Requerimiento por parte de un ente de control</t>
  </si>
  <si>
    <t>Tramitar inadecuada y/o inoportunamente las solicitudes formales de extradicción pasiva - activa que se alleguen al ministerio de justicia.</t>
  </si>
  <si>
    <t>Devolución de la documentación soporte de la solicitud de extradicción pasiva que se envía a la CSJ</t>
  </si>
  <si>
    <t>La persona designada por el coordinador del grupo de extradicciones, cada vez que se reciba una solicitud de extradicción pasiva y previo a su envío a la Corte Suprema de Justicia, verifica que la solicitud se encuentre completa y conforme a la norma o tratado aplicable, revisará la documentación allegada por el Ministerio de Relaciones Exteriores y realiza el oficio remisorio correspondiente. En caso de que al momento de realizar la verificación se identifique una solicitud incompleta, que no cumpla con la normatividad o el tratado o que no es clara, se solicita la respectiva complementación ante el Ministerio de Relaciones Exteriores. Evidencia: Oficio remisorio de la documentación al organo judicial
Oficio de solicitud de complementación ante el Ministerio de Relaciones Exteriores en los casos donde haya lugar</t>
  </si>
  <si>
    <t>Incumplimiento de los plazos internos para la proyección de los actos administrativos de extradicción pasiva</t>
  </si>
  <si>
    <t>El coordinador del grupo de extradicciones, cada vez que se reciba una solicitud de extradicción pasiva y previo a su envío a la Corte Suprema de Justicia, a fin de verificar que la revisión inicial y el oficio remisorio esten correctos, revisará la revisión inicial y el oficio, contrastando ambos contra la documentación recibida del Ministerio de Relaciones Exteriores. En caso de que al momento de realizar la revisión, identifique alguna información que no es clara o si se presentan errores en la revisión o en el oficio, devolverá estos a la persona que realizó la revisión inicial para las respectivas correcciones del caso. Evidencia: Oficio con visto bueno remisorio de la documentación al organo judicial
Devolución del oficio para correcciones a la persona designada de la primera revisión.</t>
  </si>
  <si>
    <t>Demoras en la notificación a las partes interesadas del acto administrativo de extradicción pasiva.</t>
  </si>
  <si>
    <t>Enviar a Cancillería de manera incompleta la documentación requerida para la extradicción activa al tratado aplicable al caso</t>
  </si>
  <si>
    <t>Devolución de Cancillería por errores en la documentación enviada para la solicitud de extradicción activa.</t>
  </si>
  <si>
    <t>Incumplimiento en la ejecución  de las actividades misionales relacionadas con los programas asociados a la Dirección de Métodos Alternativos de Solución de Conflictos</t>
  </si>
  <si>
    <t>Indebida aplicación de los lineamientos establecidos en los procedimientos internos para la implementación del programa nacional de casas de justicia y convivencia ciiudadana</t>
  </si>
  <si>
    <t>Congestión de la justicia</t>
  </si>
  <si>
    <t>Los integrantes designados por el coordinador o este, del grupo de casas de justicia cada vez que se recibe una  solicitud por un medio diferente al Formulario WEB del portal de casas de justicia, para implementar el programa nacional de casas de justicia y convivencia ciudadana, y a fin de que el solicitante conozca y aclare las dudas sobre los lineamientos establecidos en los procedimientos internos para la implementación de este, brindan las indicaciones necesarias para su implementación. En caso de recibir la solicitud por el formulario electronico se revisa que esta se encuentre completa, de no estarla se devuelve al solicitante y se le pide que envíe la documentación al correo electronico del programa de casas de justicia y convivencia ciudadana. Evidencia: Solicitud recibida registrada en el Banco de Solicitudes
Asesoría registrada en el Banco de Solicitudes
Devolución de la solicitud en el caso que sea necesario
Correos electrónicos con la documentación en el caso que se haya requerido</t>
  </si>
  <si>
    <t>Indebida aplicación de los lineamientos establecidos en los procedimientos internos para la implementación del programa de justicia en equidad</t>
  </si>
  <si>
    <t>Los integrantes designados por el coordinador o este, del grupo de justicia en equidad,  cada vez que se recibe una  solicitud por EPX, para implementar la conciliación en equidad, y a fin de que el solicitante conozca y aclare las dudas sobre los lineamientos establecidos en los procedimientos internos y en el marco para la implementación de la conciliación en equidad, brindan las indicaciones necesarias para su implementación. En caso de recibir la solicitud por un medio diferente al sistema EPX, se redirecciona a este sistema a fin de proceder con la asesoría luego de que esta solicitud reciba un número de radicado Evidencia: Solicitud recibida por EPX
Reenvío de las solicitudes por un canal diferente
Asesoría brindada por EPX</t>
  </si>
  <si>
    <t>Indebida aplicación de los lineamientos establecidos en los procedimientos internos para la implementación del programa de conciliación extrajudicial en derecho, arbitraje y amigable composición</t>
  </si>
  <si>
    <t>Afectación en temas de convivencia y solución de conflictos en el orden territorial</t>
  </si>
  <si>
    <t>Los integrantes designados por el coordinador o este, del grupo de conciliación extrajudicial en derecho, arbitraje y amigable composición, cada vez que se recibe una  solicitud por EPX, para llevar a cabo los tramités del programa, y a fin de que el solicitante conozca y aclare las dudas sobre los lineamientos establecidos en los procedimientos internos y en la normativa vigente, brindan la información sobre los requisitos legales para su desarrollo. En caso de recibir la solicitud por un medio diferente al sistema EPX, se redirecciona a este sistema a fin de proceder con la asesoría luego de que esta solicitud reciba un número de radicado Evidencia: Solicitud recibida por EPX
Reenvío de las solicitudes por un canal diferente
Asesoría brindada por EPX</t>
  </si>
  <si>
    <t>Incumplimiento de la realización de visitas  a los Centros de Conciliación y Entidades avaladas priorizados, según la función legal de inspección.</t>
  </si>
  <si>
    <t>Deficiencias en la planeación de las inspecciones a los Centros de Conciliación y Entidades Avaladas</t>
  </si>
  <si>
    <t>Afectación de la calidad del servicio que prestan los centros de conciliación y entidades avaladas</t>
  </si>
  <si>
    <t>El coordinador del grupo de conciliación extrajudicial en derecho, arbitraje y amigable composición o el servidor designado, una vez al año, a fin de evitar el incumplimiento de las visitas de inspección programadas, tomará en cuenta los datos históricos y los criterios de priorización para determinar aquellos centros que deberán ser visitados en la vigencia, atendiendo las  limitaciones en recursos humanos y financieros del proceso. En el caso donde el ejercicio de priorización arroje resultados que no se puedan atender por las limitaciones previamente descritas, se deberá justificar la no elección de estos ante el jefe directo y la OAP. Para la próxima vigencia los no sleccionados tendrán una prioridad mayor siempre y cuando las condiciones de los centros y entidades avaladas no mejoren  Evidencia: Matriz de planeación y priorización con el Listado de centros planeados, los Criterios de priorización y  la Elección de los centros priorizados
Justificación de no elección de los centros priorizados cuando haya lugar.</t>
  </si>
  <si>
    <t>Afectación en la imagen del Ministerio por incumplimiento a la normatividad vigente</t>
  </si>
  <si>
    <t xml:space="preserve">Ataques delincuenciales al interior del MJD </t>
  </si>
  <si>
    <t xml:space="preserve">Fallas en el sistema de circuito cerrado de TV </t>
  </si>
  <si>
    <t>Daños en las instalaciones del MJD</t>
  </si>
  <si>
    <t>La empresa de vigilancia cuando detecte una falla en el sistema de circuito cerrado de TV, para que entre las partes (MJD y Empresa de Vigilancia) se susbsane el fallo lo más pronto posible, informara inmediatamente al MJD a través de la coordinación administrativa el evento detectado. Si al momento de solucionar el fallo no es posible con los equipos actuales, la empresa de vigilancia realizara el cambio del equipo dañado con un equipo diferente mientras se repara el mismo. Evidencia: Minuta diaria de vigilancia
Reporte del fallo al MJD
Acta de visita en el momento de reparar el fallo</t>
  </si>
  <si>
    <t>Incumplimiento de la guía de servicios administrativos en el item Vigilancia y Seguridad</t>
  </si>
  <si>
    <t>Pérdida de elementos</t>
  </si>
  <si>
    <t>La coordinación del grupo de gestión administrativa  cada vez que haya cambio o renovación de la empresa de vigilancia a fin de fortalecer las actividades de vigilancia y seguridad contenidas en la Guía de Servicios Administrativos, socializará este documento con el supervisor de la empresa de vigilancia, colocando especial enfásis en las actividades que se deban realizar de forma permanente (revisión de bolsos, solicitud de identificación, registro de equipos, entre otras) En el momento de la socialización quedará el compromiso de que el supervisor debe replicar el ejercicio con todo el personal de vigilancia asignado al MJD, en un plazo no mayor a dos semanas. Evidencia: Listados de asistencia del proceso de socialización con  el supervisor y del supervisor con el personal de vigilancia</t>
  </si>
  <si>
    <t>Afectaciones a la integridad fisica y seguridad de las personas que se encuentren en el MJD en el momento del suceso</t>
  </si>
  <si>
    <t>Interrupción del servicio de ascensores, redes eléctricas e hidráulicas</t>
  </si>
  <si>
    <t>Falta de mantenimiento de los equipos, redes eléctricas e hidráulicas</t>
  </si>
  <si>
    <t>Retraso o suspensión en el normal desarrollo de las actividades del MJD</t>
  </si>
  <si>
    <t>La coordinación del grupo de gestión administrativa  anualmente a fin de evitar suspensión del servicio o daños en los equipos, contratara y realizara supervisión del mantenimiento preventivo y correctivo de estos últimos (ascensores, eléctricos e hidráulicos). Si el contrato tarda más de lo estimado en concretarse, se acudira al personal de mantenimiento interno para el cumplimiento de las obligaciones relacionadas mientras se suscribe el mismo, granatizando así la prestación efectiva del servicio y evitar daños a los equipos. Evidencia: Contrato de Mantenimiento
Informes de Supervisión
Actas-informes o minutas de Visita</t>
  </si>
  <si>
    <t>Falta de coordinación con las ESP para los mantenimientos que impliquen suspensión del servicio.</t>
  </si>
  <si>
    <t>Daño en los equipos</t>
  </si>
  <si>
    <t>El coordinador del grupo de gestión administrativa  cada vez que sea informado de un mantenimiento por parte de las ESP que implique suspensión del servicio, a fin de evitar suspensión de las labores del MJD o daños en los equipos, coordinara con la ESP la posibilidad de realizar el mantenimiento en la fecha estipulada o por el contrario solicitar su aplazamiento, teniendo en cuenta las necesidades del servicio. Si luego de analizada la fecha por parte del MJD y en el caso de que la suspensión por parte de la ESP no se deba llevar a cabo el coordinador del grupo de gestión administrativa se comunicará con la ESP, de forma telefonica e inmediata para reprogramar este, de no recibir respuesta debera recurrir a los demas canales de atención hasta tener una respuesta positiva.  Evidencia: Oficio - comunicación verbal del mantenimiento de la ESP 
Pronunciamiento del MJD de forma verbal o escrita con la ESP para reprogramar la fecha</t>
  </si>
  <si>
    <t xml:space="preserve">Fallas en los sistemas de tanques de agua y planta electrica </t>
  </si>
  <si>
    <t>Incremento de costos de mano de obra y operativos</t>
  </si>
  <si>
    <t>El equipo de mantenimiento interno del MJD trimestralmente a fin de evitar daños en los equipos, realizara mantenimiento a los tanques de agua y la planta electrica, revisando cualquier situación que sea necesaria corregir y detectando posibles fallas Si al momento de realizar el mantenimiento detecta alguna falla en los equipos deberá subsnar la misma lo más pronto posible e informar esta al coordinador del grupo de gestión administrativa. Evidencia: Registro fotografico del mantenimiento
Informes de supervisión</t>
  </si>
  <si>
    <t>Indisponibilidad del servicio de transporte para temas de seguridad</t>
  </si>
  <si>
    <t>Fallas de los automotores por incumplimiento de las obligaciones del contratista</t>
  </si>
  <si>
    <t>Retrasos en el cumplimiento de agenda de la alta dirección (Ministro, Viceministros y Directivos)</t>
  </si>
  <si>
    <t>El supervisor del contrato mensualmente verificará el cumplimiento de las obligaciones del contratista realizando una confrontación de los requerimientos técnicos contra los entregables Cuando el supervirsor observe inconsistencias o incumplimientos informara inmediatamente al contratista para que este realice las correciones del caso, en la situación que no se pueda subsanar, se deberá hacer el reporte a gestión contractual. En el caso que los incumplimientos sean reiterativos se podra dar por terminado el contrato siempre y cuando se evidencie que se le notificaron los reportes y no hubo acción correctiva sobre estos.  Evidencia: Informe de supervisión
Requerimientos al contratista
Reporte a Gestión Contractual</t>
  </si>
  <si>
    <t>Fallas mecánicas y electrónicas de los automotores</t>
  </si>
  <si>
    <t>Siniestros con terceros</t>
  </si>
  <si>
    <t>Fallas en la seguridad para personas y documentos a transportar</t>
  </si>
  <si>
    <t>El grupo de almacen, inventarios y transporte cada que suceda un siniestro a fin de evitar indisponibilidad en la planta vehicular  realizara una asignacion de un segundo vehiculo para cubrir las obligaciones del vehiculo siniestrado Siempre que se reporte un accidente se deberá de forma inmediata trasladar las obligaciones del vehículo siniestrado a un segundo vehículo. Evidencia: Registro de accidente en el formato designado
Reporte del accidente
Asignación de obligaciones en una matriz de control</t>
  </si>
  <si>
    <t>Mal uso del vehiculo por parte de los conductores</t>
  </si>
  <si>
    <t xml:space="preserve">Incumplimiento en tiempos de los términos legales </t>
  </si>
  <si>
    <t>El grupo de almacen, inventarios y transporte, mensualmente, a fin de fortalecer el conocimiento sobre normas de tránsito, seguridad vial entre otros temas, realiza capacitaciones o jornadas de sensibilización a los conductores del Ministerio. Si al momento de realizar la jornada de capacitación o sensibilización se presenta la inasistencia de una tercera parte o más de los conductores citados, se deberá reprogramar esta para dar la mayor cobertura posible. Para algunos casos y dependiendo de la temática se podra dar caracter de obligatorio a la jornada. Evidencia: Asistencia a las jornadas de capacitación o sensibilización
Programación de las jornadas
Material utilizado en las jornadas</t>
  </si>
  <si>
    <t>Vencimiento de términos en la presentacion de memoriales propios de los procesos de extincion de dominio en los que interviene el Ministerio de Justicia y del Derecho</t>
  </si>
  <si>
    <t xml:space="preserve">Falta de seguimiento a los estados, y/o notificaciones en  los  procesos de extincion de dominio </t>
  </si>
  <si>
    <t xml:space="preserve">El coordinador del Grupo de Extinción de Dominio  semanalmente realiza un seguimiento a los términos de los memoriales de los procesos de extinción de dominio en los que interviene el Ministerio de Justicia y del Derecho, en los registros realizados por los apoderados en los formatos preestablecidos en la Guía de Extinción de Dominio. Si al momento de realizar el seguimiento, identifica memoriales de los procesos de extinción de dominio próximos a vencerse, prioriza  estos procesos para adelantar los trámites correspondientes según el estado del proceso, Evidencia: 
Formatos establecidos en la Guía 
Correos con alertas de vencimiento 
</t>
  </si>
  <si>
    <t xml:space="preserve">Falta de envío oportuno y con calidad de las piezas procesales por parte de la Fiscalia y Juzgados de extincion de dominio </t>
  </si>
  <si>
    <t xml:space="preserve">Los abogados Grupo de Extinción de Dominio  semanalmente  para identificar de los proceso de Extinción de Dominio en los que interviene el Ministerio de Justicia y del Derecho , cuales no contienen piezas procesales completas  realiza verificación de la documentación aportada en  las carpetas físicas y digitales de los procesos de extinción de dominio de los que son apoderados   Si al momento de la verificación en las carpetas, se identifica que existen piezas procesales faltantes,  deberá solicitar al juzgado o fiscalía titular las piezas faltantes al proceso judicial Evidencia: 
Carpetas físicas - Digitales 
Correos o memoriales </t>
  </si>
  <si>
    <t>Inadecuada investigación a las posibles faltas disciplinarias</t>
  </si>
  <si>
    <t>No realizar las actuaciones procesales en los términos legales</t>
  </si>
  <si>
    <t xml:space="preserve">
Pérdida de la competencia legal y de oportunidad para tomar decisiones en cada una de las etapas del proceso disciplinario</t>
  </si>
  <si>
    <t>El Coordinador del Grupo de Control Disciplinario Interno cada vez que suscribe las actuaciones revisa las decisiones tomadas sobre los trámites o procesos de competencia del Grupo, a partir del conocimiento del mismo, lo establecido en el régimen disciplinario vigente y la reunión con el abogado que lleva el proceso para conocer los detalles y detrminar la pertinencia de la actuación.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</si>
  <si>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Falta de control sobre los términos procesales</t>
  </si>
  <si>
    <t>Investigaciones disciplinarias
Pérdida de imagen del Grupo de Control Disciplinario Interno</t>
  </si>
  <si>
    <t>El Coordinador del Grupo de Control Disciplinario Interno mensualmente hace seguimiento a los expedientes disciplinarios a partir de la realización de reuniones con cada abogado para revisar material y formalmente cada uno de los expedientes disciplinarios activos y dar pautas para la gestión durante el mes siguiente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</si>
  <si>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Para una correcta descripción del Control Remitase a la Hoja CONTROLES</t>
  </si>
  <si>
    <t>Código: F-MC-G04-01
Versión: 6</t>
  </si>
  <si>
    <t>Herramienta de Riesgos de Corrupción</t>
  </si>
  <si>
    <t>ANÁLISIS DEL RIESGO</t>
  </si>
  <si>
    <t>PLAN DE TRATAMIENTO</t>
  </si>
  <si>
    <t>MONITOREO
(líder del proceso)</t>
  </si>
  <si>
    <t>SEGUIMIENTO
Oficina de Control Interno</t>
  </si>
  <si>
    <t>Análisis de Impacto Riesgos de Corrupción</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</si>
  <si>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</si>
  <si>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</si>
  <si>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</si>
  <si>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</si>
  <si>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</si>
  <si>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</si>
  <si>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</si>
  <si>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</si>
  <si>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</si>
  <si>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</si>
  <si>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</si>
  <si>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</si>
  <si>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</si>
  <si>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</si>
  <si>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</si>
  <si>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</si>
  <si>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</si>
  <si>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</si>
  <si>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</si>
  <si>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</si>
  <si>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ACCIONES</t>
  </si>
  <si>
    <t>PERIODICIDAD</t>
  </si>
  <si>
    <t>FECHA INICIO</t>
  </si>
  <si>
    <t>FECHA FINAL</t>
  </si>
  <si>
    <t>RESPONSABLE</t>
  </si>
  <si>
    <t>REGISTRO O EVIDENCIA</t>
  </si>
  <si>
    <t>MONITOREO DEPENDENCIAS PRIMER CUATRIMESTRE</t>
  </si>
  <si>
    <t>MONITOREO DEPENDENCIAS SEGUNDO CUATRIMESTRE</t>
  </si>
  <si>
    <t>MONITOREO DEPENDENCIAS TERCER CUATRIMESTRE</t>
  </si>
  <si>
    <t>SEGUIMIENTO OCI PRIMER CUATRIMESTRE</t>
  </si>
  <si>
    <t>SEGUIMIENTO OCI SEGUNDO CUATRIMESTRE</t>
  </si>
  <si>
    <t>SEGUIMIENTO OCI TERCER CUATRIMESTRE</t>
  </si>
  <si>
    <t xml:space="preserve">Pérdida de credibilidad institucional al conceder el beneficio jurídico de indulto, sin el cumplimliento de los requisitos, al recibir presiones para su otorgamiento, con el fin de recibir benificios propios y/o beneficiar al solicitante.
</t>
  </si>
  <si>
    <t>Verificación errónea de la documentación que hace parte del tramité</t>
  </si>
  <si>
    <t>Obtención de libertad de una persona que no cumple con los requisitos establecidos en la norma y sin la verificación de la documentación soporte del expediente
Investigación disciplinaria.
Sanción
Investigación penal.</t>
  </si>
  <si>
    <t>no</t>
  </si>
  <si>
    <t xml:space="preserve">El coordinador del grupo de accciones legales y constitucionales,  el (la) Director(a) de Justicia Transicional, El Viceministro de Política Crimminal y el Director Jurídico, en el marco de sus competencias y cada vez que se vaya a expedir el proyecto de resolución a través del cual se decide la solicitud de indulto, a fin de detectar posibles inconsistencias en la documentación que se allega para el trámite, revisará la información del expediente y el proyecto de resolución emitido por el profesional que realizó la verificación inicial. Si en el momento de la revisión se encuentra alguna inconsistencia en la documentación se procederá a devolver y solicitar ajustes adicionales en el marco de la ley al profesional que realizó el proyecto del Acto Administrativo. 
Evidencia: Hoja de ruta del trámite con el visto bueno del profesional, coordinador y director
Notificación al profesional que proyecto el Acto Administrativo exponiendo las razones por las cuales es necesario una nueva revisión del caso.
Acción: Realizar una revisión al procedimiento de Indulto con las partes interesadas, con el fin de analizar su consistencia. </t>
  </si>
  <si>
    <t>Realizar una revisión al procedimiento de Indulto con las partes interesadas, con el fin de analizar su consistencia. 
PAAC III Revisar el proyecto de resolución que concede el indulto, y en caso de encontrar inconsistencias en la información se realiza el ajuste del proyecto de resolución conforme a los principios legales. LAS ACCIONES ES EL COMO SE VA A APLICAR EL CONTROL</t>
  </si>
  <si>
    <t>Anual</t>
  </si>
  <si>
    <t>Director de Justicia Transicional</t>
  </si>
  <si>
    <t>Acta de revisión del procedimiento.</t>
  </si>
  <si>
    <t>Se introducen dos controles adicionales para la revisión del proyecto de resolucion que concede o niega el indulto.  Se oficializa el uso del formato F-CR-16-01 “Hoja de Ruta del expediente” dentro del Sistema Integrado de Gestión, que busca garantizar que se tome una decisión basada uniacamente en derecho
Hasta el momento no se ha materializado el riesgo</t>
  </si>
  <si>
    <t>Se ha realizado la respectiva socialización de los proyectos de resolución con la Directora de Justicia Transicional, el Director Jurídico y el Viceministro de Política Criminal y Justicia Restaurativa. 
Los cuales se han remitido mediante correo electrónico, memorando y se ha materializado la utiliación del formato F-CR-16-01 “Hoja de Ruta del expediente” dentro del Sistema Integrado de Gestión. Y se anexa al Sharepoint de la DJT.
Los memorandos remitidos son: 
1. Edilson Hoyos: MJD-MEM23-0004809, MJD-MEM23-0004811.
2. Plutarco Zapata: MJD-MEM23-0004587, MJD-MEM23-0004588, MJD-MEM23-0004650
3. Hermides Delgado: MJD-MEM23-0004807, MJD-MEM23-0004808.
De acuerdo con las observaciones realizadas por la Oficina de Control Interno, se procedió a realizar el ajuste de la descripción del riesgo conforme a la estructura para el diseño del mismo, incluyendo los 3 componentes conceptuales.
No se ha materializado el riesgo.</t>
  </si>
  <si>
    <t>De acuerdo con las observaciones realizadas por OCI:
La Dirección de Justicia Transicional en mesa técnica con la Oficina de Planeación realiza la revisión y ajuste en lo siguientes términos:
1. Se unifican en un solo control los intervinientes en la verificación del trámite de acuerdo con su competencia.
2. Se ajusta la tipológia del control
3. Se ajusta el diseño del riesgo, conforme a la guía del DAFP.
4. Se define la acción de control de forma más específica y atendiendo la observación planteada.
Por otro lado, el trámite de los beneficios juridicos de indulto a cargo de la DJT, se han desarrollado de la siguiente manera:
1. Plutarco Elías Zapata: Ingresó mediante radicado MJD-EXT23-0017586. El expediente fue correctamente conformado el día 09(06/23, por lo que se procedió a realizar los trámites internos pertinentes. El presente expediente, junto con el proyecto de resolucion firmado por el Ministro de Justicia, se remitieron a Presidencia el día 24/08/2023 mediante MJD-OFI23-0031424. Sin embargo, este expediente fue devuelto sin firma, y sin razón de fondo, el día 23/10/2023 con radicado de entrada MJD-EXT23-0049125. Realizados todos los trámites pertinentes, se envió nuevmente este asunto a Presidencia de la República el 01/12/2023 mediante MJD-OFI23-0046778. 
2. Hermides Delgado León. Ingresó mediante radicado MJD-EXT23-0017568. El expediente fue correctamente conformado el día 07(06/23, por lo que se procedió a realizar los trámites internos pertinentes. El presente expediente, junto con el proyecto de resolucion firmado por el Ministro de Justicia, se remitieron a Presidencia el día 01/09/2023 mediante MJD-OFI23-0032473. Sin embargo, este expediente fue devuelto sin firma, y sin razón de fondo, el día 23/10/2023 con radicado de entrada MJD-EXT23-0049125. Realizados todos los trámites pertinentes, se envió nuevmente este asunto a Presidencia de la República el 01/12/2023 mediante MJD-OFI23-0046804.
3. Edilson Hoyos Herrera: Ingresó mediante radicados MJD-EXT21-0055182 y MJD-EXT22-0000776. El expediente se entiende como conformado el día 25/07/23, que fue cuando el solicitante realizó su reiteración de voluntad, mediante MJD-EXT23-0033216, por lo que se procedió a realizar los trámites internos pertinentes. El presente expediente, junto con el proyecto de resolucion firmado por el Ministro de Justicia, se remitieron a Presidencia el día 01/09/2023 mediante MJD-OFI23-0032467. Sin embargo, este expediente fue devuelto sin firma, y sin razón de fondo, el día 23/10/2023 con radicado de entrada MJD-EXT23-0049125. Realizados todos los trámites pertinentes, se envió nuevmente este asunto a Presidencia de la República el 01/12/2023 mediante MJD-OFI23-0046804.
4. Yan Carlos Santana Barrios: Ingresó mediante MJD-EXT23-0014397. El expediente se conformó el día 08/09/2023, por lo que se iniciaron los trámites pertinentes. Este expediente junto con el proyecto de resolucion firmado por el Ministro de Justicia, se remitieron a Presidencia el día 11/12/2023 mediante MJD-OFI23-0047924.
5. Hernestina Durán Argüello: Ingresó mediante MJD-EXT23-0018357. A la fecha, no ha sido posible completar el expediente, en tanto el Centro de Servicios Judiciales de Bucaramanga y demás juzgados con información e la solicitante, no nos ha brimdado la información solicitada insistentemente, mediante los siguientes radicados: MJD-OFI23-0023590 del 30/06/23; MJD-OFI23-0027431 del 26/07/23; MJD-OFI23-0028835 Y MJD-OFI23-0028826 del 03/08/23; MJD-OFI23-0029967 del 11/08/23; MJD-OFI23-0030058 y MJD-OFI23-0030074 del 14/08/23; MJD-OFI23-0034413 del 19/09/23; MJD-OFI23-0036730 del 02/10/23; MJD-OFI23-0045021 del 01/12/23. Del mismo modo, se han dado intentos infructuosos de comunicación con la solicitante, como los evidenciados mediante MJD-OFI23-0029974 del 11/08/23 y MJD-OFI23-0034405 18/09/23.
En este sentido, para el cuatrimestre reportado, se evidencia la anomalía de la devolución por parte de Presidencia de los proyectos de resolución sin firma, situación que retrasó el proceso de los Beneficios Jurídicos de indulto. Sin embargo, dicha devolución y prolongación del trámite se atribuye a la responsabilidad de Presidencia de la República, en tanto el Ministerio de Justicia remitió la documentación debida con un término adecuado para el trámite. En conclusión, tanto en el primer envío como en el proceso de devolución, se realizó el trámite pertinente de revisión por parte del Director Jurídico, la Directora de Justicia Transicional, el Vicemiminstro de Política Criminal y Justicia Restaurativa, y el Ministro de Justicia. 
No se ha materializado el riesgo para este periodo.</t>
  </si>
  <si>
    <t xml:space="preserve">De acuerdo con la verificación de los soportes y monitoreo del proceso, se demuestra un avance frente a los controles, el proceso considera permanecer el riesgo y fortalecer los controles . 
Sin embargo, no han actualizado la descripción de riesgo conforme a la estructura para el diseño del riesgo (impacto +causa inmediata+ causa raíz), incluyendo su impacto. Estas observaciones no se han atendido por parte del proceso desde el seguimiento que hace la Oficina de Control Interno desde septiembre de 2022 y se continua evidenciando en el primer cuatrimestre de 2023. </t>
  </si>
  <si>
    <t xml:space="preserve">Al revisar los controles, se recomienda que se unifiquen en un solo control la verificación de la documentación antes de expedir el proyecto de resolución por el cual se decide la solicitud de indulto que realiza el Coordinador del Grupo de Accciones Legales y Constitucionales,  el Directo de Justicia Transicional, el Viceministro de Política Criminal y Justicia Restaurativa y el Director Jurídico a la verificación inicial que realiza el profesional, diferenciando la responsabilidad que cada uno tiene en el marco de su competencia. Revisar la tipología del control es detectivo en todos los casos, ya que control se gestiona durante la ejecución del proceso, detectandolo y generando reprocesos. 
Aún persiste la debilidad en el diseño del riesgo (impacto+causa inmediata+causa raíz), falta incluir la causa raíz que lo origina el riesgo. Esta observación no se ha atendido desde el segundo cuatrimestre de 2022.
Analizar y definir acciones en el plan de tratamiento diferentes a describir el mismo control. </t>
  </si>
  <si>
    <t xml:space="preserve">Se acataron las recomendaciones de la OCI en lo que respecta a la unificación de los controles y su categorización como detectivo.
De igual manera se analizó y definió mejor la acción.
Aún se recomienda fortalecer el diseño del riesgo, siguiendo los lineamientos sobre los relacionados con posibles actos de corrupcción del Departamento Administrativo de la Función Pública DAFP. En estos se indica que en la definición del riesgo de CORRUPCIÓN deben concurrir los siguientes componentes: ACCIÓN U OMISIÓN + USO DEL PODER + DESVIACIÓN DE LA GESTIÓN DE LO PÚBLICO + EL BENEFICIO PRIVADO. Vease:"Guía para la Administración del Riesgo y el diseño de controles en entidades públicas Versión 6 del DAFP" Punto 5 página 83. 
</t>
  </si>
  <si>
    <t>Presión por terceros</t>
  </si>
  <si>
    <t>Pérdida de recursos económicos por el uso indebido del efectivo de la caja menor al realizar pagos  sin los debidos soportes o para uso personal, beneficiando a un tercero o para un beneficio propio</t>
  </si>
  <si>
    <t>Desconocimiento de los requisitos para el tramité de pagos</t>
  </si>
  <si>
    <t xml:space="preserve">Investigaciones Disciplinarias
Requerimientos por parte de entes de control
</t>
  </si>
  <si>
    <t>La persona designada por el Coordinador del GGFC socializará al menos una vez al año o cuando cambie el responsable del manejo de alguna de las cajas menores, los requisitos que se deben tener en cuenta para el manejo de las cajas menores, lo que incluye el procedimiento P-GF-19. Si no se aplica este control, el desconocimiento de los requisitos para el trámite de pagos, puede conducir a errores en el manejo de las cajas menores.
Evidencia:
1. Soportes de la socialización.</t>
  </si>
  <si>
    <t>Incluir dentro de la circular de cierre de vigencia, los lineamientos para la legalización de las Caja Menores.</t>
  </si>
  <si>
    <t>Líder de Contabilidad</t>
  </si>
  <si>
    <t>1. Circular de Cierre de Vigencia</t>
  </si>
  <si>
    <t xml:space="preserve">Durante el 1er cuatrimestre de 20223 no se materializó el riesgo, los controles fueron efectivos. Se aplicaron los controles de brindar la capacitación necesaria a los responsable de las cajas menores para el buen manejo de las mismas.  Se adjunta evidencias </t>
  </si>
  <si>
    <t>Durante el 2do. Cuatrimestre  No se materializó el riesgo. Se aplicaron los controles establecidos para el proceso y se tuvieron en cuenta las recomendaciones impartidas por parte de la OCI. Se adjuntan las evidencias correspondientes.
*Con ocasión a la actualización de los procedimientos establecidos para el Grupo de Gestion Financiera y Contable - GGFC, se realizará la reformulación de los riesgos; para lo cual se establecerán mesas de trabajo conjuntas con la Oficina de Planeación.</t>
  </si>
  <si>
    <t>Se continúa con la respectiva aplicación de los controles establecidos para el proceso, se emitió circular de cierre de vigencia 2023, en la cual se establecieron los parametros para la legalización de las cajas menores. Se adjunta evidencia.
*En el mes de septiembre de 2023, se realiza revisión y ajuste al mapa de riesgos, en mesa de trabajo conjunta con la OAP y los líderes de proceso del GGFC, en atención a las observaciones realizadas por parte de la OCI.</t>
  </si>
  <si>
    <t xml:space="preserve">Al verificar no se ha atendido la recomendación de revaluar el plan de tratamiento, tal como se ha mencionado desde el seguimiento de septiembre 2022 y en repetidas ocasiones, el plan de tratamiento no puede ser igual al control, debe definir una acción que aporte al control. 
Por otro lado,  se recomienda para la entrega de próximas evidencias para el control 1 (capacitaciones) enviar la lista de asistencia, presentación que compruebe su realización, ya que el link de grabación de la capacitación tiene un tiempo limitado de grabación y luego es borrado. Por ello, es importante documentar cuantas personas asistieron y los temas que se desarrollaron. Con respecto al segundo control, no se logró evidenciar su ejecución ya que no entregaron ninguna evidencia sobre el particular. 
Realmente, no se avanzo con respecto a las recomendaciones que esta Oficina en varias oportunidades ha enviado para la mejora del proceso. Se espera en la próxima medición se reflejen estos cambios. </t>
  </si>
  <si>
    <t xml:space="preserve">Aún persiste desconocimiento y error en la formulación de acciones en el plan de tratamiento del riesgo que se recomendó desde el 2do cuatrimestre de 2022, las acciones deben complementar los controles y por el contrario deben ser distintos, que cumplan la función de reducir el riesgo.
Se reciben las evidencias de la ejecución de los controles, se encuentran de forma correcta la tipología de los mismos. Se espera los avances para la próxima evaluación de los riesgos. </t>
  </si>
  <si>
    <t>Se observa que en vez de reformular las tres acciones que se habian propuesto para los dos controles, se le cambió la acción al primer control y se eliminaron las dos acciones propuestas para el segundo control. Así las cosas se redujeron las acciones de tres a una, por lo tanto no se acataron las recomendaciones de la OCI.</t>
  </si>
  <si>
    <t>Excesiva confianza en la persona a cargo de la caja menor</t>
  </si>
  <si>
    <t>La persona designada por el Coordinador del GGFC,  al menos cuatro veces al año, a fin de detectar posibles movimientos de efectivo sin los debidos soportes, verificará los soportes que dieron lugar al pago utilizando efectivo o transferencias de las cajas menores, así como la revisión del efectivo que se encuentra en estas. Si al momento de la verificación se identifica faltante de efectivo o pagos sin los debidos soportes, se procederá a comunicar esta situación a la persona encargada del manejo de la caja menor y al líder del proceso donde se encuentre ubicada la caja menor, para establecer las razones de la situación detectada y el debido proceso a seguir dependiendo del monto. Si no se aplica este control, la excesiva confianza en la persona a cargo de la caja menor, puede conducir a la materialización del riesgo. 
Evidencias:
1. Soportes de la verificación de las cajas menores - Formato de arqueo F-GF-19-05
2. Comunicación al responsable del manejo de la caja menor y al líder del proceso cuando la situación lo amerite</t>
  </si>
  <si>
    <t>Durante el 1er cuatrimestre de 2023 no se materializó el riesgo, los controles fueron efectivos.  Se aplicaron los controles  de realizar arqueos a las 2 cajas menores existentes en el Ministerio.  Se adjunta evidencia.</t>
  </si>
  <si>
    <t>Durante el 2do. Cuatrimestre  No se materializó el riesgo. Se aplicaron los controles establecidos para el proceso y se tuvieron en cuenta las  recomendaciones impartidas por parte de la OCI. Se adjuntan las evidencias correspondientes a los arqueos realizados.
*Con ocasión a la actualización de los procedimientos establecidos para el Grupo de Gestion Financiera y Contable - GGFC, se realizará la reformulación de los riesgos; para lo cual se establecerán mesas de trabajo conjuntas con la Oficina de Planeación.</t>
  </si>
  <si>
    <t>Se continúa con la respectiva aplicación de los controles establecidos para el proceso, se realizo arqueo de caja menor, con el fin de identificar verificar el adecuado y correcto manejo de la caja menor. Se adjunta evidencia.</t>
  </si>
  <si>
    <r>
      <rPr>
        <sz val="10"/>
        <color rgb="FF000000"/>
        <rFont val="Arial"/>
      </rPr>
      <t xml:space="preserve">Aprovechamiento indebido, pérdida o mal uso de la información reservada de la entidad para obtener beneficios en provecho de sí mismo o de un tercero a raíz de la utilización fraudulenta de información privilegiada o reservada, por la falta de controles para su acceso.
</t>
    </r>
    <r>
      <rPr>
        <sz val="10"/>
        <color rgb="FFFF0000"/>
        <rFont val="Arial"/>
      </rPr>
      <t xml:space="preserve">
</t>
    </r>
  </si>
  <si>
    <t>Fallas en la aplicación de las  políticas de seguridad de la información</t>
  </si>
  <si>
    <t>Pérdida de imagen institucional
Investigaciones disciplinarias,
Sanciones</t>
  </si>
  <si>
    <t>El Oficial de seguridad de la información designado para tal fin, al menos una vez al año, a fin de detectar posibles fallas en la política de seguridad de la información y proceder a la mejora de la misma, hace seguimiento a la aplicación de esta Política, realiza las actividades necesarias para fortalecer la gestión y su divulgación. En caso de que al momento de hacer seguimiento a la política, identifique posibles fallas o mejoras en la misma, procederá a realizar las actividades que permitan subsanar las situaciones presentadas, así mismo informará al jefe inmediato sobre estas, reportando lo encontrado. Si una situación no se pudiese subsanar de forma inmediata se deberá estructurar un plan de mejora o de fortalecimiento de la política  Evidencia: Seguimiento de la política a través de un reporte al jefe inmediato
Política actualizada
Mecanismos de divulgación de política
Plan de mejora o de fortalecimiento de ser necesario</t>
  </si>
  <si>
    <t>Aplicación de controles de acceso a los repositorios de información</t>
  </si>
  <si>
    <t>Semestral</t>
  </si>
  <si>
    <t>Subdirector de Tecnologías y Sistemas de Información</t>
  </si>
  <si>
    <t>Acta de verificación de accesos</t>
  </si>
  <si>
    <t>Con corte a la vigencia, no se ha materializado el riesgo y los controles han sido efectivos. Avance cualitativo: en el primer cuatrimestre se determinaron las necesidades de actualización de la política de seguridad de la información. Según el plan de seguridad para el segundo trimestre, se realizará la propuesta de actualización a la nueva versión.
Evidencias: Se adjunta documento con la recopilación de las necesidades de actualización de la política.</t>
  </si>
  <si>
    <t>Con corte al segundo cuatrimestre no se ha materializado el riesgo 
Avance cualitativo: en el segundo cuatrimestre se inició la actualización del documento de la política de seguridad de la información, se realizó propuesta de actualización a la nueva versión.
Evidencias: Se adjunta documento con el primer avance en la actualización de la política.</t>
  </si>
  <si>
    <t>Avance cualitativo: en el tercer cuatrimestre se finalizó la actualización del documento de la política de seguridad de la información, se realizó presentación a Comité Institucional de Gestión y Desempeño, se encuentra en proceso de aprobacion .
No se ha matriazizado el riesgo
Evidencias: Se adjunta documento final de la política y presentación a CIGD.</t>
  </si>
  <si>
    <t xml:space="preserve">
La OCI no encuentra que se haya adaptado el riesgo, conforme a la Guia de Gestión del Riesgo incorporada en el SIG e identificada con el Código G-MC-04,versión 7, del 14 de diciembre de 2022, tal como lo recomendó esta oficina, definiendo el impacto que puede causar a la entidad el uso de información privilegiada o reservada. En este caso, el impacto, efecto o consecuencia del uso de información privilegiada, puede dar lugar a aprovechamiento indebido en favor propio o de terceros, a enriquecimiento ilicito (generar ganancias para sí o para un tercero), circunstancias que se deben combatir a través del modelo de administración del riesgo de corrupción. 
Igualmente, se observó por el auditor la actualización de la Guía Política de Seguridad de la Información y los formatos de acuerdos de confidencialidad.
Se confirmó el envío de correos de verificación de acceso de usuarios a los diferentes módulos y aplicativos de información de la entidad.  
No obstante las observaciones realizadas en esta columna, se advierte que las actividades desarrolladas evitan la materialización del riesgo.  
Adicional a lo anterior, se solicita incluir un control que esté orientado a la verificación de la actualización y manejo de la información clasificada o reservada, para detectar posibles amenazas para la entidad. Para el segundo control definido, se requiere diseñar controles, que evite en los equipos o conexiones de acceso a la información, no se tenga la posibilidad de extracción de la información por medios extraíbles, y en el caso que esto suceda, contar con los controles correctivos para determinar el que hacer por parte de la entidad. Este control debe ser sensibilizado para toda la entidad y definir internamente estrategias de verificación.</t>
  </si>
  <si>
    <t xml:space="preserve">Se mantiene la observación de mejorar la descripción del riesgo, incluyendo el impacto que puede causar a la entidad la materialización de riesgo. 
Así mismo, el control  se solicita incluir un control que esté orientado a la verificación de la actualización y manejo de la información clasificada o reservada, para detectar posibles amenazas para la entidad. La política de seguridad de la información es unl lineamiento o medio, determinando las acciones para prevenir, detectar y corregir una posible materialización del riesgo. </t>
  </si>
  <si>
    <t>Se sigue recomendando revisar y analizar más detalladamente las consecuencias que acarrearía la materialización del riesgo.</t>
  </si>
  <si>
    <t>Controles desactualizados para el acceso a los sistemas de información</t>
  </si>
  <si>
    <t xml:space="preserve">El grupo de funcionarios designados por la Subdirección de Tecnologías y Sistemas de Información,  al menos una vez al año, a fin de detectar posibles fallas en los controles de acceso a los repositorios de información y sistemas de información, verificará que los permisos y accesos se encuentren actualizados, para ello informará al jefe inmediato y al líder de área, quien procederá a realizar una segunda revisión y enviará a la subdirección los cambios que sean requeridos. En caso de que al momento de hacer la verificación se encuentre algún dato inconsistente se reportará la situación al jefe inmediato e igualmente al líder de área, igualmente si después de una semana no se recibe respuesta por parte del área, se dejara evidencia de la información remitida y se aplicará el silencio administrativo positivo. Evidencia: Reporte de los datos inconsistentes cuando sea necesario
Correos electrónicos enviados a los líderes de área
Respuestas de los líderes de área
Listados de usuarios y controles de acceso actualizados
</t>
  </si>
  <si>
    <t>Manipulación o sustracción de información mediante el manejo inadecuado de los archivos de gestión y archivo central con el fin de favorecer a un tercero o a si mismo</t>
  </si>
  <si>
    <t xml:space="preserve">
1.Uso Indebido de la consulta                                 
</t>
  </si>
  <si>
    <t>1. Sanciones de entes de Control 
2. Investigaciones disciplinarias, penales y fiscales
3. Mala imagen institucional
4. Perdida de la memoria institucional</t>
  </si>
  <si>
    <t xml:space="preserve">
La persona encargada de atender los prestamos, recibe la solicitud en tiempo real por el formulario Forms desde la Intranet del MJD, para validar la información pertinente y así determinar si el documento se puede prestar, desde las bases de datos FUID del archivo, se busca el documento y se envia solo a la persona que envío el requerimiento en el caso en el que la persona no esté autorizado para su consulta ni prestamos se le informara a través del canal correspondiente la justificación del porqué. 
Evidencia: solicitud de consulta correo justificando o formato de préstamo</t>
  </si>
  <si>
    <t xml:space="preserve">.Uso Indebido de la consulta   </t>
  </si>
  <si>
    <t>Revisión de los accesos a la información en los archivos de gestión y archivo central</t>
  </si>
  <si>
    <t>semestral</t>
  </si>
  <si>
    <t>Coordinador del grupo de Gestión documental</t>
  </si>
  <si>
    <t>Reporte de Prestamos</t>
  </si>
  <si>
    <t>El riesgo a la fecha no se ha materializado, todos los controles se siguen haciendo por la intranet, en la cual se recibe la solicitud en tiempo real por el formulario Forms y se valida la información pertinente y así determinar si el documento se puede prestar.</t>
  </si>
  <si>
    <t xml:space="preserve">La OCI evidencia que el proceso atendió las recomendaciones presentadas en los informes anteriores con respecto a la estructura para la redacción del riesgo. Se verifica las evidencias para la ejecución del control encontrando su efectividad en el manejo del riesgo. 
Se recomienda revisar la acción planteada en el plan de tratamiento del riesgo, ya que es igual al control establecido, ya que la acción o estrategia debe aportar a la implementación del control sobre el manejo del riesgo que se defina para evitar su materialización. </t>
  </si>
  <si>
    <t>Se evidencia la ejecución de los controles y la acción del plan de tratamiento, el proceso atiende todas las recomendaciones de la OCI. Se recomienda ampliar la descripción del avance, donde se manifieste cuantas solicitudes fueron allegadas indicando si hubo alguna novedad durante el periodo de seguimiento.</t>
  </si>
  <si>
    <t>No se ha acatado la recomendación de la OCI de ampliar la descripción del avance, donde se manifieste cuantas solicitudes fueron allegadas e indicando si hubo alguna novedad durante el periodo de seguimiento.</t>
  </si>
  <si>
    <t>2.Uso indebido de Préstamo de la Información Reservada.</t>
  </si>
  <si>
    <t xml:space="preserve">Posibilidad de emitir resultados de auditoria no objetivos aprovechando la posición como auditor para beneficiar o afectar al auditado o a terceros favoreciendo intereses particulares. </t>
  </si>
  <si>
    <t>Solicitudes de terceros o partes interesadas</t>
  </si>
  <si>
    <t xml:space="preserve">1.Incumplimiento del principio de confidencialidad en el ejercicio de la actividad de auditoria. 
2.Pérdida de imagen institucional
3.Pérdida de confianza y credibilidad en el proceso.
4. Investigaciones Disciplinarias
Sanciones legales </t>
  </si>
  <si>
    <t>El Jefe o el auditor de la OCI  cada vez que se desarrolla una auditoria y antes de ser remitido a las partes interesadas, a fin de evitar imprecisiones en el contenido del mismo revisa el informe preliminar y sus papeles de trabajo. En caso de observar inconsistencias solicita las justificaciones o correcciones al auditor para realizar los respectivos ajustes al informe. 
Evidencia: Informe con sus respectivas modificaciones; Solicitudes de modificación a los informes; Comunicaciones de las modificaciones;
Informe final remitido a las partes interesadas</t>
  </si>
  <si>
    <t>La OCI revisó el riesgo definido y actualizó según la estructura para la redacción del riesgo en la guía de riesgos de Función Pública y respondiendo a la capacitación realizada por la Oficina Asesora de Planeación. 
Se revisan las evidencias entregadas por el proceso, verificando y evaluando la efectividad de sus controles.</t>
  </si>
  <si>
    <t>Realizar reunión para dar lineamientos y directrices para abordar las auditorías bajo enfoque en riesgos y determinando la mejora institucional</t>
  </si>
  <si>
    <t>Mensualmente</t>
  </si>
  <si>
    <t>Jefe Oficina de Control Interno y equipo de trabajo</t>
  </si>
  <si>
    <t>Acta de reunión grupo primario y seguimiento de la planeación mensual</t>
  </si>
  <si>
    <t>En el primer cuatrimestre 2023,  se actualiza el riesgo con respecto a la valoración del riesgo inherente y residual. Se implementaron a cabal los controles definidos y el plan de tratamiento para aportar a la ejecución de los controles. Se ejecutó el plan anual de auditorias 2023 teniendo en cuenta los linemiamientos para cada auditoria y las recomendaciones del jefe de la OCI. Los informes de auditoria se envió al auditado de acuerdo con el procedimiento establecido y publicado en la página web de la entidad. Las evidencias se encuentran en el One Drive y publicados en la pág web de la entidad. Se envía los soportes que evidencian la ejecución de la actividad del plan de tratamiento, adelantando las reuniones de grupo primario de la OCI donde se trabajo con todo el equipo los temas relacionados con la gestión del área y el seguimiento y control de la implementación del Plan anual de auditoria interna 2023. Con respecto al último control, no se han detectado presión para la elaboración de los informes, y por tanto no se cuenta con denuncias al respecto.  
https://www.minjusticia.gov.co/ministerio-co/planeacion-gestion-control/auditor%C3%ADas-internas/auditorias-internas
https://minjusticiagovco-my.sharepoint.com/:f:/r/personal/mauricio_ordonez_minjusticia_gov_co/Documents/Evidencias%20riesgos/OCI/2023/Primer%20cuatrimestre/Riesgos%20de%20corrupci%C3%B3n?csf=1&amp;web=1&amp;e=qu2dxr</t>
  </si>
  <si>
    <t>Se actualiza la valoración del riesgo teniendo en cuenta la ejecución de los controles vigencia 2022 y evaluando su efectividad en el primer cuatrimestre 2023. 
En el segundo cuatrimestre no se ha presentado la materialización del riesgo, el control permite que el jefe de la OCI presente el lineamiento para el proceso de auditoria, se resuelvan inquietudes y se adelante la auditoria con la riurosidad del caso. No se han presentado o detectado presión para la elaboración de los informes de auditoria. ADicionalmente en el segundo cuatrimestre se llevo a cabo reunión de autocontrol de la Oficina de Control Interno,realzando la autorevaluación del proceso de auditoria interna en el MJD.
Se ha cumplido al 100% con la programación del Plan anual de auditoria, la cual se encuentra publicada en la página web de la entidad.
https://www.minjusticia.gov.co/ministerio/Paginas/Informes-Auditorias-Control-Interno.aspx</t>
  </si>
  <si>
    <t>Se valoran los controles efectuados para la mitigación del riesgo, no se ha detectado y/o presentado presión que afecte el proceso de auditoria interna. Tanto los controles han permitido que tanto el auditado como el auditor mantengan una comunicación efectiva, además de los lineamientos impartidos desde el Jefe de la Oficina de Control Interno con el apoyo interdisciplinario de todo el equipo de la oficina que aporta a este ejercicio. Por tanto, se puede concluir que el riesgo no se ha materializado.
Así mismo, cabe anotar que durante el último trimestre se adelantaron un total de 7 auditorias (4 auditorias independientes y 3 de mandato normativo), las cuales se encuentran publicadas en la página web de la entidad. Para una ejecución del 100% con corte a diciembre del plan anual de auditorias.
https://www.minjusticia.gov.co/ministerio/Paginas/Informes-Auditorias-Control-Interno.aspx</t>
  </si>
  <si>
    <t>Se evidencia la ejecución de los controles y la acción del plan de tratamiento definido.</t>
  </si>
  <si>
    <t>Se mantiene la ejecución de controles y la acción del plan de tratamiento definido.</t>
  </si>
  <si>
    <t>Presión de superiores para la modificación</t>
  </si>
  <si>
    <t>El Jefe o cualquier miembro de la OCI  cada vez que al revisar un informe se vea presionado por una parte interesada o un superior para la modificación del mismo, a fin de evitar presentar un informe que no sea fiel a la realidad, que omita información o que  vaya en contravía de la ley, realizará la denuncia respectiva siguiendo el conducto regular estipulado para ello. 
Evidencia: Denuncia, Informe con las modificaciones</t>
  </si>
  <si>
    <t>Falencias en la revisión de informes</t>
  </si>
  <si>
    <t>Generar acciones que contribuyan a la implementación de la política pública de drogas y criminal y penitenciaria, de los
mecanismos de cooperación juridica internacional y la justicia transicional con el fin de fortalecer la gestión publica entorno a lucha contra la criminalidad y
reincidencia</t>
  </si>
  <si>
    <t xml:space="preserve">Afectación económica y deterioro de la imagen institucional del Ministerio de Justicia y del Derecho al otorgar las licencias de cannabis mediante la manipulación, dilatación o entorpecimiento del proceso de licenciamiento por parte de los profesionales que evalúan las solicitudes de licencias y/o cupos a fin de obtener un beneficio propio o beneficiar  un tercero </t>
  </si>
  <si>
    <t>Prebendas a los ingenieros agrónomos o al personal jurídico en el marco de las visitas técnicas</t>
  </si>
  <si>
    <t>Otorgamiento de licencias sin cumplir con los requisitos
Investigaciones Disciplinarias
Sanciones 
Afectación de la imagen institucional</t>
  </si>
  <si>
    <t xml:space="preserve">Cada vez que se realiza una visita a un predio en el proceso de la solicitud del tramite de licenciamiento, el profesional del área técnica  y el profesional del área jurídica revisan  el borrador del acto administrativo y el concepto inicial otorgado por sus respectivos pares para reducir la posibilidad del ofrecimiento de prebendas a los ingenieros agrónomos. En el caso de encontrar inconsistencias de la información encontrada en las visitas, se realizarán los respectivos requerimientos y el reporte al Subdirector(a).  Evidencia: Acta de Visita, Borrador de Acto Administrativo, Requerimientos.
</t>
  </si>
  <si>
    <t>El programador al momento de asignar los procesos a los diferentes evaluadores deberá verificar las visitas asignadas a cada ingeniero agrónomo, de modo que quien realice la visita sea un profesional diferente a quien revise la solicitud</t>
  </si>
  <si>
    <t>Permanente</t>
  </si>
  <si>
    <t>Subdirección de Control y Fiscalización de Sustancias Químicas y Estupefacientes</t>
  </si>
  <si>
    <t>Asignación de visitas - OneDrive</t>
  </si>
  <si>
    <t>El riesgo no se ha materializado y los controles han sido efectivos, para lo cual en el presente seguimiento se adelantaron 13 visitas previas y 257 de seguimiento y control , que corresponden a 270 licenciatarios. para la verificación de las mismas se anexa informe de visitas realizadas el cual se anexa al OneDrive creado para tal fin, las actas de visita se podrán verificar en el MICC.</t>
  </si>
  <si>
    <t xml:space="preserve">El riesgo no se ha materializado y los controles han sido efectivos, durante el periodo reportado la asignación de las visitas por parte del centralizador del grupo tecnico se dió al control de la asignación de visitas para que el profesional sea distinto al inicial, adicionalmente durante el periodo se adelantaron 52 visitas previas y 268 de seguimiento y control , que corresponden a 320 licenciatarios. para la verificación de las mismas se anexa informe de visitas realizadas el cual se adjunta como evidencia.
</t>
  </si>
  <si>
    <t xml:space="preserve">Se verifica que el proceso atendió las recomendaciones anteriores con respecto a la estructura para el diseño del riesgo según lo establecido en la Guía de riesgos de Función Pública. 
Se mantiene la recomendación de mejorar la descripción del análisis sobre la ejecución de los controles y las acciones definidas en el plan de tratamiento del riesgo, ya que se encuentra similitud con el análisis del primer cuatrimestre del año. Es importante que se pueda evidenciar en el análisis la gestión realizada por el proceso con respecto a sus controles.
Una vez revisados las evidencias que soportan la ejecución de sus controles se puede demostrar la efectividad de los mismos. </t>
  </si>
  <si>
    <t>Se recomienda agregar a la descripción de los controles el responsable de llevar a cabo la ejecucion del control. Así mismo, persiste desconocimiento y error en la formulación de acciones en el plan de tratamiento del riesgo que se recomendó desde el 2do cuatrimestre de 2022, las acciones deben complementar los controles y por el contrario deben ser distintos, que cumplan la función de evitar el riesgo.</t>
  </si>
  <si>
    <t>Se han venido acatando las recomendaciones de la OCI en lo que respecta a la agregación del responsable de llevar a cabo el control. Sin embargo, respecto al tratamiento del riesgo, en lo que tiene que ver con las acciones, no se han modificado, son las mismas del cuatrimestre anterior, lo que indica que no se han acatado las recomendaciones de la OCI o que la dependencia considera que son suficientes y que han sido efectivas para evitar la materialización del riesgo. Se recomienda revisar la "Guía para la Administración del Riesgo y el diseño de controles en entidades públicas Versión 6 del DAFP" Punto 5 "Lineamientos sobre los riesgos relacionados con posibles actos de corrupción" páginas 83 - 94.</t>
  </si>
  <si>
    <t>Manipulación indebida de la información,</t>
  </si>
  <si>
    <t>El centralizador cada vez que va a realizar la asignación de una solicitud de licencia, verifica los profesional a quienes debe realizar la asignación, quienes serán los únicos con acceso a la información de la solicitud . En caso de encontrar manipulaciones indebidas de la información, se informará de manera inmediata al Subdirector(a) y a las instancias correspondientes. Evidencia: Registro de asignaciones en el MICC.</t>
  </si>
  <si>
    <t>Manipulación indebida de la información</t>
  </si>
  <si>
    <t>En el momento de realizar la revisión del concepto inicial, los profesionales  con roles financieros, jurídicos y técnicos, deben verificar que los datos registrados en el trámite de solicitud, sean veraces.</t>
  </si>
  <si>
    <t>Borrador de Acto Administrativo
Requerimientos</t>
  </si>
  <si>
    <t>El riesgo no se ha materializado y los controles han sido efectivos, para lo cual en el presente seguimiento se adelantaron acciones de control como la asignación de usuarios y contraseñas a cada uno de los profesionales que intervienen en la expedición de cada licencia, los cuales se generan y verifican a través del MICC.</t>
  </si>
  <si>
    <t>El riesgo no se ha materializado y los controles han sido efectivos,teniendo en cuenta que dentro del MICC se asignan usuarios y contraseñas de acuerdo al perfil del profesional este usuario tiene un acceso limitado a su rol , a su vez tiene un limite máximo establecido para cumplir con la revisión del trámite y hacer los requerimientos que haya lugar o de lo contrario, dar el visto bueno para pasar a siguiente etapa. 
1. PDF donde se aprecian los requisitos generales para la solicitud en donde se aprecian los vistos buenos (CUMPLE) por parte de los profesionales encargados de la revisión: financiero, técnico y juridico. 
2. Reporte de requisitos generales MICC
3. Reporte de trazabilidad generado desde MICC</t>
  </si>
  <si>
    <t xml:space="preserve">Los controles establecidos permiten que el control sea efectivo y no se haya materializado el riesgo durante el III cuatrimestre de 2023,  lo anterior, teniendo en cuenta que dentro del MICC se asignan usuarios y contraseñas de acuerdo al perfil del profesional este usuario tiene un acceso limitado a su rol , a su vez tiene un límite máximo establecido para cumplir con la revisión del trámite y hacer los requerimientos que haya lugar o de lo contrario, dar el visto bueno para pasar a siguiente etapa. 
1. Reporte de requisitos generales MICC
2. Reporte de trazabilidad generado desde MICC
3. Requisitos generales para la solicitud en donde se aprecian los vistos buenos (CUMPLE) por parte de los profesionales encargados de la revisión: financiero, técnico y jurídico. 
</t>
  </si>
  <si>
    <t>Prebenda al personal del grupo de control cannabis, área financiera  y personal que intervenga en el proceso de otorgamiento de las licencias  y que pueda ocasionar falsedad en documentos</t>
  </si>
  <si>
    <t>Cada vez que se va a emitir el Acto Administrativo de otorgamiento de licencia,  los abogados y/o ingenieros y/o financieros, verifican los requisitos solicitados y demás información plasmada en el MICC incluido la información financiera, en caso de incumplir con la documentación es necesario enviar requerimiento al solicitante para que subsane la información, en caso contrario se hace el borrador del acto administrativo y pasa al par para revisión final y proseguir con el otorgamiento  de la licencia. 
Evidencia:  Borrador de Acto Administrativo,  Expediente en el MICC, Requerimientos.</t>
  </si>
  <si>
    <t>Cuando se realice la revisión inicial de otorgamiento de licencia, el centralizador realiza la asignación para verificación de las aprobaciones realizadas, del concepto dado y del borrador de acto administrativo a los profesionales con roles financieros, jurídicos y técnicos.</t>
  </si>
  <si>
    <t>Asignación de segunda revisión - MICC</t>
  </si>
  <si>
    <t>El riesgo no se ha materializado y el control ha sido efectivo, para lo cual durante el presente seguimiento, la Subdirección ha aplicado las acciones de control establecidas, a través del fortalecimiento de las revisiones por parte del profesional encargado previo a la revisión y firma de la Subdirectora  y se registran en planilla para ser subidos a la Secretaria General para numeración, escáner y envió.  Una vez los Actos Administrativos son numerados por parte de la Secretaria General, estas Resoluciones son enviadas al correo de quien surte el trámite de impresión y firmas y este los envía al coordinador para archivo y al notificador para lo pertinente.  Los soportes de estas acciones se evidencian en cada una de los actos administrativos expedidos y pueden ser verificadas en el MICC,  teniendo en cuenta la modalidad de la licencia expedida.</t>
  </si>
  <si>
    <t xml:space="preserve">
Durante el periodo objeto del reporte, el riesgo no se ha materializado y el control ha sido efectivo, teniendo en cuenta que se han mantenido los puntos de control establecidos como lo son: revisión financiera en primera etapa donde se corroborá que los pagos coincidan, en caso contrario se realiza el requirimiento al licenciatario para cumplir con lo establecido entrando nuevamente en revisión financiera. Una vez aprobado este requisito, el trámite continua con las revisiones técnicas y juridicas que haya lugar.
Se adjunta como evidencia: 
1. PDF donde se aprecian los requisitos generales para la solicitud en donde se aprecian los vistos buenos (CUMPLE) por parte de los profesionales encargados de la revisión: financiero, técnico y juridico. 
2. Reporte de requisitos generales MICC
3. Seguimiento a la solicitud - MICC 
4.  Reporte de trazabilidad generado desde MICC</t>
  </si>
  <si>
    <t xml:space="preserve">Durante la vigencia del tercer cuatrimestre NO se ha materializado el riesgo y el control ha sido efectivo, además se indica que durante este periodo (Octubre, Noviembre y Diciembre se han asignado a los profesiones del Grupo de Cannabis 84 solicitudes de licencia, cancelación, Cupos Ordinarios y Suplementarios y novedades independiente del tipo de cultivo solicitado (Psico, No Psico y Semillas). 
Los controles asignados son: revisión financiera en primera etapa donde se corrobora que los pagos coincidan, en caso contrario se realiza el requerimiento al licenciatario para cumplir con lo establecido entrando nuevamente en revisión financiera. Una vez aprobado este requisito, el trámite continua con las revisiones técnicas y jurídicas que haya lugar.
Evidencias: 
1. Asignación de solicitud de licencia al peticionario por tener requisitos pendientes por subsanar (pdf) 
2. Asignación a profesional jurídico de solicitud de cupo ordinario en trámite (pdf). 
3. Reporte estado actual de requisitos por trámite (pdf). 
4. Listado en formato Excel donde se evidencia la cantidad y tipo de trámites de solicitudes de licencia que se encuentran activos en la plataforma micc
</t>
  </si>
  <si>
    <t xml:space="preserve">Afectación económica y perdida reputacional al Ministerio de Justicia y del Derecho al otorgar el Certificado de Carencia de Informes por Tráfico de Estupefacientesin el cumplimiento de los requisitos mediante la manipulación del trámite de expedición por parte de los profesionales que evalúan las solicitudes a fin de obtener un beneficio propio </t>
  </si>
  <si>
    <t>Expedir el certificado de carencia a una persona con informes por tráfico de estupefacientes
Permitir el desvío de sustancias químicas controladas para la producción ilícita de drogas
libre circulación de la cadena de producción de estupefacientes con sujeción a un certificado de carencia de informes por tráfico de estupefacientes indebidamente expedido</t>
  </si>
  <si>
    <t>Las personas designadas por el Grupo de Control de Sustancias Químicas para llevar a cabo los trámites de Certificado de Carencia de Informes por Tráfico de Estupefacientes, a fin de controlar el acceso a la información de las solicitudes, obtendrán el acceso al SICOQ a través de la asignación de un perfil acorde a las funciones a realizar y al rol establecido. En el caso que una o más personas soliciten acceso a información que no corresponde al proceso asignado, las personas encargadas al interior de la subdirección informarán del hecho al coordinador del grupo Control de Sustancias Químicas quien tomará las medidas del caso.
 Evidencia: Solicitud por parte de la persona del grupo de Control de Sustancias Químicas para acceso a la información al grupo encargado de la asigación en el SICOQ.
Comunicación al coordinador del grupo en el caso de que una persona solicite acceso a una solicitud no asignada.</t>
  </si>
  <si>
    <r>
      <rPr>
        <sz val="11"/>
        <color rgb="FF000000"/>
        <rFont val="Calibri"/>
        <scheme val="minor"/>
      </rPr>
      <t xml:space="preserve">Revisión de usuarios de acuerdo al rol a desempeñar en la herramienta SICOQ
</t>
    </r>
    <r>
      <rPr>
        <sz val="11"/>
        <color rgb="FFFF0000"/>
        <rFont val="Calibri"/>
        <scheme val="minor"/>
      </rPr>
      <t>Asignación de usuarios de acuerdo al rol a desempeñar y contraseña al personal autorizado a través del SICOQ</t>
    </r>
  </si>
  <si>
    <t>Registro de accesos a la plataforma SICOQ</t>
  </si>
  <si>
    <t>El riesgo no se ha materializado y el control ha sido efectivo, para lo cual en el presente seguimiento no se presentaron solicitudes de información de personal a procesos no asignados. Se realiza asignación de  usuarios y contraseñas a cada uno de los profesionales que intervienen en la expedición de cada certificado, los cuales se generan y verifican a través del SICOQ y únicamente el personal autorizado tendrá acceso a la información de cada solicitud</t>
  </si>
  <si>
    <t xml:space="preserve">Durante el periodo a reportar, el riesgo no se ha materializado y el control ha sido efectivo, dado que no se presentaron solicitudes al interior del grupo de control de sustancias químicas de información de procesos no asignados.
Así mismo, se realiza la asignación de usuarios y contraseñas para acceder al SICOQ de acuerdo al perfil y rol establecido objetos del contrato. Los accesos al SICOQ y los roles establecidos se limitan el acceso del trámite correspondiente a la naturaleza del rol establecido.  Por lo anterior, únicamente el personal autorizado tendrá acceso a la información de cada solicitud. 
Evidencia: 
1,Correo de solicitud de creación de usuario y contraseña al SICOQ. 
2,Pantallazo del SICOQ en donde se aprecian los diferentes roles asignados a los profesionales que intervienen en el trámite. </t>
  </si>
  <si>
    <t>Durante la vigencia del III Cuatrimestre, el riesgo no se ha materializado y el control ha sido efectivo, dado que no se presentaron solicitudes al interior del grupo de control de sustancias químicas de información de procesos no asignados.
Para el presente seguimiento no se presentaron solicitudes de información de personal a procesos no asignados. Se realiza asignación de  usuarios y contraseñas a cada uno de los profesionales que intervienen en la expedición de cada certificado, los cuales se generan y verifican a través del SICOQ y únicamente el personal autorizado tendrá acceso a la información de cada solicitud.
Se adjunta la trazabilidad de un trámite, con los diferentes roles.</t>
  </si>
  <si>
    <t>Al revisar las evidencias proporcionadas por el proceso con respecto a la ejecución de los controles . Se recomiienda reformular las acciones dfinidas en el plan de tratamiento del riesgo, de forma que no se detallen como controlres y tampoco como tareas aisladas.</t>
  </si>
  <si>
    <t xml:space="preserve">Aún persiste desconocimiento y error en la formulación de acciones en el plan de tratamiento del riesgo que se recomendó desde el 2do cuatrimestre de 2022, las acciones deben complementar los controles y por el contrario deben ser distintos, que cumplan la función de evitar el riesgo.Se espera que para el próximo seguimiento se atienda esta recomendación. </t>
  </si>
  <si>
    <t>Se han acatado parcialmente las recomendaciones de la OCI en lo que respecta al planteamiento de las acciones en el plan de tratamiento de riesgo. Las acciones pueden ser varias para ser aplicadas a un solo control, si bien al igual que el control, estas tienen la función de evitar el riesgo, pueden describir el como concreto de como se llevara a cabo el control. Se recomienda revisar la "Guía para la Administración del Riesgo y el diseño de controles en entidades públicas Versión 6 del DAFP" Punto 5 "Lineamientos sobre los
riesgos relacionados con posibles actos de corrupción" páginas 83 - 94.</t>
  </si>
  <si>
    <t>Prebendas a los ingenieros químicos</t>
  </si>
  <si>
    <t xml:space="preserve">Los miembros del Grupo de Control de Sustancias Químicas, cada vez que se reciba un requerimiento de un externo de datos de contacto de quien tiene a cargo el estudio del tramité de certificado de carencia, a fin de evitar el acceso del solicitante a los datos de las personas que realizan el estudio del tramité, responderán que no es posible dar esta información por ningún canal y que si requieren de alguna otra información relacionada con el tramité, esta se recibirá por los canales establecidos formalmente, también se le indicará que puede remitirse al micrositio en donde se encuentra información relevante acerca del trámite como lo son capacitaciones, instructivos, normativa vigente entre otros. 
 En el caso que el solicitante del tramité reitere el requerimiento, se pondrá en conocimiento del subdirector este hecho para que se tomen las medidas del caso. </t>
  </si>
  <si>
    <t xml:space="preserve">Prebendas a los ingenieros químicos,  personal juridico y/o técnico. </t>
  </si>
  <si>
    <r>
      <rPr>
        <sz val="11"/>
        <color rgb="FF000000"/>
        <rFont val="Calibri"/>
        <scheme val="minor"/>
      </rPr>
      <t xml:space="preserve">Realizar reuniones y/o capacitaciones generales dirigidas al público con el fin de disminuir las de dudas e inquietudes sobre el trámite de expedición de CCITE 
</t>
    </r>
    <r>
      <rPr>
        <sz val="11"/>
        <color rgb="FFFF0000"/>
        <rFont val="Calibri"/>
        <scheme val="minor"/>
      </rPr>
      <t xml:space="preserve">Realización de solicitudes internas o externas por los canales autorizados - SGDEA - correo certificadosdecarencia@minjusticia.gov.co 
Realizar reuniones y/o capacitaciones generales dirigidas al público con el fin de disminuir las de dudas e inquietudes sobre el trámite de expedición de CCITE </t>
    </r>
  </si>
  <si>
    <t>Solicitudes externas e internas por los canales autorizados - SGDEA - correo de certificadosdecarencia@minjusticia.gov.co - línea de atención al cliente. 
Listados de asistencia, registro fotografico, invitaciones, material informativo.</t>
  </si>
  <si>
    <t xml:space="preserve">El riesgo no se ha materializado y el control ha sido efectivo, para lo cual en el presente seguimiento no se presentaron solicitudes de personal externo acerca de  datos de quien tiene a cargo un estudio del tramité de certificado de carencia. El correo electronico certificacosdecarencia@minjusticia.gov.co y  a través del SGDEA son los únicos medios autorizados para la realización de solicitudes </t>
  </si>
  <si>
    <t xml:space="preserve">El riesgo no se ha materializado y el control ha sido efectivo durante el periodo a reportar. Así mismo, solo se reponden peticiones de los solicitantes que sean remitidas a través de los canales autorizados como lo son: correos institucionales habilitados, página web y las llamadas telefónicas realizadas a la línea del Ministerio de Justicia y de Derecho en las que se solicita orientación para la gestión de los trámites correspondientes a temas juridicos o técnicos. Por lo anterior, no se da información que sea solicitada bajo otro tipo de canal no autorizado. 
Evidencias: 
1- Copia31082023_Base de llamadas SQ_II Cuatrimestre. 
2. Copia31082023_Base de PQRS SQ_ II Cuatrimestre.
3. Correo_solicitud de creacion de usuario SICOQ.
Así mismo, con el fin de mitigar las dudas e inquietudes generadas por parte de los usuarios a cerca del trámite de expedición del CCITE, se han realizado (2) dos capacitaciones virtuales por medio de Youtube Live en el canal el Ministerio de Justicia y del Derecho sobre las siguientes temáticas: 
-Conceptos técnicos de mezclas y Operaciones de Comercio Exterior con sustancias químicas controladas se transmitió en vivo el 24 mayo 2023 y está guardado en el canal de Youtube del Ministerio de Justicia y del Derecho.
-Registro de movimientos de sustancias controladas en el SICOQ se transmitió en vivo el 25 mayo 2023 y está guardado en el canal de Youtube del Ministerio de Justicia y del Derecho.
</t>
  </si>
  <si>
    <t>Durante la vigencia del III Cuatrimestre el riesgo no se ha materializado y el control ha sido efectivo, para lo cual en el presente seguimiento no se presentaron solicitudes de personal externo acerca de  datos de quien tiene a cargo un estudio del tramité de certificado de carencia. Así mismo, solo se responden peticiones de los solicitantes que sean remitidas a través de los canales autorizados como lo son: correos institucionales habilitados, página web y las llamadas telefónicas realizadas a la línea del Ministerio de Justicia y de Derecho en las que se solicita orientación para la gestión de los trámites correspondientes a temas jurídicos o técnicos. Por lo anterior, no se da información que sea solicitada bajo otro tipo de canal no autorizado. 
Así mismo, con el fin de mitigar las dudas e inquietudes generadas por parte de los usuarios a cerca del trámite de expedición del CCITE, se han realizado (4) cuatro capacitaciones, sobre el manejo de productos y sustancias químicas controladas, con especial énfasis en el tema de mezclas , obligaciones y cumplimiento al personal de la Asociación  Nacional de comercio exterior (ANALDEX).                                         Se realizo la capacitación a los analistas de la compañía Antinarcóticos - CASOB-  en cuanto a la normatividad, productos que se importan y documentación que presentan los importadores de químicos utilizados en la producción de sustancias ilícitas. Capacitación de sustancias y productos químicos controlados a la Asociación Nacional de empresarios (ANDI) y se realizaron 6  talleres en el marco del convenio 957 de 2023 en las ciudades de Buenaventura,Cali,Cucuta, Ipiales y Medellín.
Evidencias:
-Registro de llamadas SQ.
-BASE DE DATOS PQRS 2023- SUSTANCIAS QUIMICAS
-Capacitaciones externas</t>
  </si>
  <si>
    <t>Prebendas al personal jurídico</t>
  </si>
  <si>
    <t>Prebendas al personal técnico</t>
  </si>
  <si>
    <t>Pérdida de credibilidad en la gestión del Programa Nacional de conciliación extrajudicial en derecho, arbitraje y amigable composición  al aprobar los centros de conciliación, las actuaciones propias de los mismos fuera de los preceptos normativos, no realizar los procesos sancionatorios pertinentes y aplicar los procesos en forma contraria a la normativa vigente, con el fin de obtener un beneficio, favorecer a un tercero o a un centro (se mejoró la redacción del riesgo)</t>
  </si>
  <si>
    <t>Desconocimiento del procedimiento y/o de la normatividad asociada.</t>
  </si>
  <si>
    <t>Pérdida de la imagen institucional, afectación a los usuarios que acceden a los servicios del centro, investigaciones disciplinarias, sanciones.</t>
  </si>
  <si>
    <t>El coordinador del grupo de conciliación extrajudicial en derecho, arbitraje y amigable composición o el servidor designado por este, al menos una vez al año, a fin de fortalecer el conocimiento sobre el procedimiento y la normatividad asociada al proceso de inspección, control y vigilancia  y evitar interpretaciones erróneas en la aplicación, realizará una sensibilización o socialización a los miembros del grupo de conciliación extrajudicial en derecho, arbitraje y amigable composición. En caso de que al momento de realizar la sensibilización o socialización se presente una ausencia mayor o igual a la cuarta parte de los invitados, se deberá o reprogramar el mismo teniendo en cuenta la disponibilidad de los posibles asistentes o enviar a través de correo electrónico la presentación y material utilizado a fin de dar cobertura a la totalidad de las partes interesadas. Evidencia: Asistencia a la sensibilización/socialización.
Reprogramación de las sensibilizaciones/socializaciones cuando así se requiera
Envío de la presentación y material utilizado en la sensibilización/socialización</t>
  </si>
  <si>
    <t>1. Verificación con los soportes correspondientes, de los requisitos legales establecidos para el trámite de autorización de la creación de centros de conciliación, arbitraje y amigable composición, y demás servicios, así como de los procesos sancionatorios objeto de la materialización del riesgo, para corregir la situación y acatar lo establecido en la normativa vigente</t>
  </si>
  <si>
    <t>Por demanda</t>
  </si>
  <si>
    <t>Director(a) de MASC con el apoyo del coordinador(a) del grupo CEDAAC</t>
  </si>
  <si>
    <t>1. Verificación realizada
2. Corrección efectuada</t>
  </si>
  <si>
    <r>
      <rPr>
        <i/>
        <u/>
        <sz val="11"/>
        <color rgb="FF002060"/>
        <rFont val="Calibri"/>
        <family val="2"/>
        <scheme val="minor"/>
      </rPr>
      <t>El riesgo no se ha materializado y el control ha sido efectivo</t>
    </r>
    <r>
      <rPr>
        <sz val="11"/>
        <color theme="1"/>
        <rFont val="Calibri"/>
        <family val="2"/>
        <scheme val="minor"/>
      </rPr>
      <t xml:space="preserve">
Con corte a abril de 2023 se ejecutó el plan de capacitación que fue programado en la vigencia para fortalecer los conocimientos y habilidades de los integrantes del grupo de conciliación extrajudicial en derecho, arbitraje y amigable composición, en aras de garantizar la aplicación de los lineamientos del Programa, el manejo y uso del SICAAC y en materia de gestión documental. Asimismo, se efectuaron con el propósito de prevenir la materialización de riesgos que puedan surgir en la ejecución de los procedimientos asociados a los trámites y en el ejercicio de las funciones de inspección, control y vigilancia que se ejercen sobre los centros de conciliación, arbitraje y amigable composición.
Las capacitaciones se realizaron en los siguientes temas:
1) Manejo y registro de información en el Sistema de Información de Conciliación Extrajudicial en Derecho, Arbitraje y Amigable Composición (SICAAC).
2) Procedimiento de visitas de inspección, control y vigilancia.
3) Lineamientos del Programa Nacional de Conciliación Extrajudicial en Derecho, Arbitraje y Amigable Composición, correspondientes a los procedimientos, guías y manuales vigentes que se encuentran formalizados en el SIG.
4) Gestión documental.
5) Diligenciamiento de los instrumentos de visitas de inspección, control y vigilancia
No obstante, atendiendo la recomendación emitida por la Oficina de Control Interno en la verificación realizada en el año 2022, en el segundo semestre de 2023 se realizará otra capacitación sobre el procedimiento de visitas de inspección, control y vigilancia para fortalecer al grupo de Conciliación Extrajudicial en Derecho, Arbitraje y Amigable Composición.
</t>
    </r>
    <r>
      <rPr>
        <i/>
        <sz val="11"/>
        <color theme="1"/>
        <rFont val="Calibri"/>
        <family val="2"/>
        <scheme val="minor"/>
      </rPr>
      <t>Evidencias suministradas: Plan de trabajo con el seguimiento respectivo, con el soporte de las 5 capacitaciones realizadas</t>
    </r>
  </si>
  <si>
    <r>
      <rPr>
        <i/>
        <u/>
        <sz val="11"/>
        <color theme="1"/>
        <rFont val="Calibri"/>
        <family val="2"/>
        <scheme val="minor"/>
      </rPr>
      <t xml:space="preserve">El riesgo no se ha materializado y el control ha sido efectivo
</t>
    </r>
    <r>
      <rPr>
        <sz val="11"/>
        <color theme="1"/>
        <rFont val="Calibri"/>
        <family val="2"/>
        <scheme val="minor"/>
      </rPr>
      <t xml:space="preserve">
En el primer cuatrimestre de 2023 se ejecutó el plan de capacitación que fue programado en la vigencia para fortalecer los conocimientos y habilidades de los integrantes del grupo de conciliación extrajudicial en derecho, arbitraje y amigable composición, en aras de garantizar la aplicación de los lineamientos del Programa, el manejo y uso del SICAAC y en materia de gestión documental. Asimismo, se efectuaron con el propósito de prevenir la materialización de riesgos que puedan surgir en la ejecución de los procedimientos asociados a los trámites y en el ejercicio de las funciones de inspección, control y vigilancia que se ejercen sobre los centros de conciliación, arbitraje y amigable composición. De esta forma, se efectuaron cinco (5) capacitaciones en este periodo.
No obstante, en el segundo cuatrimestre de 2023 acogiendo las observaciones realizadas por la OCI frente a los riesgos de la dependencia, se realizó una capacitación adicional en agosto de 2023 para fortalecer al grupo de conciliación extrajudicial en derecho, arbitraje y amigable composición en la aplicación de los lineamientos establecidos por el Programa (manuales, guías y procedimientos), entre ellos lo relacionado con inspección, control y vigilancia. Asimismo, se compartió el instructivo que se generó para fortalecer el diligenciamiento de los instrumentos de visitas de inspección, control y vigilancia.
</t>
    </r>
    <r>
      <rPr>
        <i/>
        <sz val="11"/>
        <color theme="1"/>
        <rFont val="Calibri"/>
        <family val="2"/>
        <scheme val="minor"/>
      </rPr>
      <t>Evidencias suministradas: Plan de trabajo con el seguimiento actualziado, soporte de la 6 capacitación realizada e instructivo para diligenciar los instrumentos de visitas de inspección, control y vigilancia</t>
    </r>
  </si>
  <si>
    <r>
      <rPr>
        <i/>
        <u/>
        <sz val="11"/>
        <color rgb="FF000000"/>
        <rFont val="Calibri"/>
        <scheme val="minor"/>
      </rPr>
      <t xml:space="preserve">El riesgo no se ha materializado y el control ha sido efectivo
</t>
    </r>
    <r>
      <rPr>
        <sz val="11"/>
        <color rgb="FF000000"/>
        <rFont val="Calibri"/>
        <scheme val="minor"/>
      </rPr>
      <t xml:space="preserve">
En el primer cuatrimestre de 2023 se ejecutó el plan de capacitación que fue programado en la vigencia para fortalecer los conocimientos y habilidades de los integrantes del grupo de conciliación extrajudicial en derecho, arbitraje y amigable composición, en aras de garantizar la aplicación de los lineamientos del Programa, el manejo y uso del SICAAC y en materia de gestión documental. Asimismo, se efectuaron con el propósito de prevenir la materialización de riesgos que puedan surgir en la ejecución de los procedimientos asociados a los trámites y en el ejercicio de las funciones de inspección, control y vigilancia que se ejercen sobre los centros de conciliación, arbitraje y amigable composición. De esta forma, se efectuaron cinco (5) capacitaciones en este periodo.
No obstante, en el segundo cuatrimestre de 2023 acogiendo las observaciones realizadas por la OCI frente a los riesgos de la dependencia, se realizó una capacitación adicional en agosto de 2023 para fortalecer al grupo de conciliación extrajudicial en derecho, arbitraje y amigable composición en la aplicación de los lineamientos establecidos por el Programa (manuales, guías y procedimientos), entre ellos lo relacionado con inspección, control y vigilancia. Asimismo, se compartió el instructivo que se generó para fortalecer el diligenciamiento de los instrumentos de visitas de inspección, control y vigilancia.
</t>
    </r>
    <r>
      <rPr>
        <i/>
        <sz val="11"/>
        <color rgb="FF000000"/>
        <rFont val="Calibri"/>
        <scheme val="minor"/>
      </rPr>
      <t xml:space="preserve">Evidencias suministradas: Plan de trabajo con el seguimiento actualziado, soporte de las 6 capacitaciones realizadas e instructivo para diligenciar los instrumentos de visitas de inspección, control y vigilancia
</t>
    </r>
    <r>
      <rPr>
        <b/>
        <sz val="11"/>
        <color rgb="FF000000"/>
        <rFont val="Calibri"/>
        <scheme val="minor"/>
      </rPr>
      <t xml:space="preserve">Link evidencias 1: </t>
    </r>
    <r>
      <rPr>
        <sz val="11"/>
        <color rgb="FF3366CC"/>
        <rFont val="Calibri"/>
        <scheme val="minor"/>
      </rPr>
      <t xml:space="preserve">https://minjusticiagovco-my.sharepoint.com/:f:/g/personal/mauricio_ordonez_minjusticia_gov_co/EmFm8K1EGkVGu42hD_PWm1UBE2tEAZk1s6-24BhzMvhTOw?e=XSj1Oj
</t>
    </r>
    <r>
      <rPr>
        <b/>
        <sz val="11"/>
        <color rgb="FF000000"/>
        <rFont val="Calibri"/>
        <scheme val="minor"/>
      </rPr>
      <t xml:space="preserve">Link evidencias 2: </t>
    </r>
    <r>
      <rPr>
        <sz val="11"/>
        <color rgb="FF3366CC"/>
        <rFont val="Calibri"/>
        <scheme val="minor"/>
      </rPr>
      <t xml:space="preserve">https://minjusticiagovco-my.sharepoint.com/:f:/g/personal/mauricio_ordonez_minjusticia_gov_co/EkQ_A-J5k2xOqKG3c1fhRVABZml7_PCka7H52CVhEVYtGg
</t>
    </r>
    <r>
      <rPr>
        <i/>
        <sz val="11"/>
        <color rgb="FF000000"/>
        <rFont val="Calibri"/>
        <scheme val="minor"/>
      </rPr>
      <t xml:space="preserve">
</t>
    </r>
    <r>
      <rPr>
        <b/>
        <sz val="11"/>
        <color rgb="FF003399"/>
        <rFont val="Calibri"/>
        <scheme val="minor"/>
      </rPr>
      <t>CONTROL CUMPLIDO EN EL PRIMER Y SEGUNDO SEGUIMIENTO</t>
    </r>
  </si>
  <si>
    <t xml:space="preserve">
Se evidencia la ejecución de los controles y del plan de tratamiento del riesgo. Sin embargo, se continua con la recomendación de unificar los controles que son similares y de esta forma unificar las acciones definidas en el plan de tratamiento del riesgo. </t>
  </si>
  <si>
    <t xml:space="preserve">El proceso adelanto los ajustes a los controles y las acciones en el plan de tratamiento del riesgo, encontrando que se subsano lo evidenciado en el periodo anterior. Así como la descripción del análisis de la ejecución de sus controles son detallados facilitando el entendimiento de su aplicación. </t>
  </si>
  <si>
    <t>El proceso mantiene los ajustes realizados en el cuatrimestre anterior en acatamiento de las recomendaciones de la OCI respecto a los controles y las acciones del plan de tratamiento de riesgo. Se evidencia que la DMASC ha realizado actividades para evitar la materialización del riesgo.</t>
  </si>
  <si>
    <t>Incorrecta interpretación de la normativa establecida</t>
  </si>
  <si>
    <t xml:space="preserve">El coordinador del grupo de conciliación extrajudicial en derecho, arbitraje y amigable composición o el servidor designado por este, al menos una vez al año,  con el fin de identificar situaciones que se hayan presentado o elementos que se deban fortalecer en el ejercicio de las funciones de inspección, control y vigilancia o en aplicación de los instrumentos establecidos, implementará una estrategia (sondeo, cuestionario, reunión, etc) con los profesionales que atienden estos procesos. Si no se tiene acogida o respuesta por  parte de los profesionales se reiterará la solicitud o se convocará a una reunión para cumplir con este propósito. Evidencias: soporte de la estrategia aplicada o de la reiteración o reunión realizada
</t>
  </si>
  <si>
    <t>2. Realizar los ajustes que se requieran para corregir las situaciones que se identifiquen en los trámites de autorización de creación de centros, sus servicios y los procesos sancionatorios objeto de la materialización del riesgo, acatando lo establecido en la normativa vigente y las demás consecuencias que de ello se derive</t>
  </si>
  <si>
    <r>
      <rPr>
        <i/>
        <u/>
        <sz val="11"/>
        <color rgb="FF002060"/>
        <rFont val="Calibri"/>
        <family val="2"/>
        <scheme val="minor"/>
      </rPr>
      <t>El riesgo no se ha materializado y el control ha sido efectivo</t>
    </r>
    <r>
      <rPr>
        <sz val="11"/>
        <color theme="1"/>
        <rFont val="Calibri"/>
        <family val="2"/>
        <scheme val="minor"/>
      </rPr>
      <t xml:space="preserve">
Con corte a abril de 2023,  en la resolución de sanción que se expidió se aplicaron los controles de revisión y aprobación por varios profesionales de la Dirección de MASC y del grupo Coordinador del Grupo de Conciliación Extrajudicial en Derecho, Arbitraje y Amigable Composición incluyendo al coordinador, al igual que cuenta con la debida aprobación del Director de la dependencia. Lo anterior, con el propósito de prevenir y evitar inconsistencias e incorrecta interpretación normativa.
</t>
    </r>
    <r>
      <rPr>
        <i/>
        <sz val="11"/>
        <color theme="1"/>
        <rFont val="Calibri"/>
        <family val="2"/>
        <scheme val="minor"/>
      </rPr>
      <t xml:space="preserve">
Evidencias: matriz de resolución y resolución</t>
    </r>
  </si>
  <si>
    <r>
      <rPr>
        <i/>
        <u/>
        <sz val="11"/>
        <color theme="1"/>
        <rFont val="Calibri"/>
        <family val="2"/>
        <scheme val="minor"/>
      </rPr>
      <t>El riesgo no se ha materializado, el control ha sido efectivo</t>
    </r>
    <r>
      <rPr>
        <sz val="11"/>
        <color theme="1"/>
        <rFont val="Calibri"/>
        <family val="2"/>
        <scheme val="minor"/>
      </rPr>
      <t xml:space="preserve">
Con corte a agosto de 2023, se reformuló el control establecido atendiendo las observaciones realizadas por la OCI; por tal motivo, el seguimiento se realiza sobre el nuevo control que se definió.
En agosto de 2023 se generó y aplicó la herramienta de sondeo con los profesionales del Grupo de Conciliación Extrajudicial en Derecho, Arbitraje y Amigable Composición encargados de realizar inspección, control y vigilancia, con el fin de identificar buenas prácticas y lecciones aprendidas, así como situaciones o condiciones que hayan afectado la ejecución de estas funciones, y socializar los resultados al interior del Ministerio. 
</t>
    </r>
    <r>
      <rPr>
        <i/>
        <sz val="11"/>
        <color theme="1"/>
        <rFont val="Calibri"/>
        <family val="2"/>
        <scheme val="minor"/>
      </rPr>
      <t>Evidencias: Soporte del formulario del sondeo y su aplicación</t>
    </r>
  </si>
  <si>
    <r>
      <rPr>
        <i/>
        <u/>
        <sz val="11"/>
        <color rgb="FF000000"/>
        <rFont val="Calibri"/>
        <scheme val="minor"/>
      </rPr>
      <t xml:space="preserve">El riesgo no se ha materializado, el control ha sido efectivo
</t>
    </r>
    <r>
      <rPr>
        <sz val="11"/>
        <color rgb="FF000000"/>
        <rFont val="Calibri"/>
        <scheme val="minor"/>
      </rPr>
      <t xml:space="preserve">
Con corte a agosto de 2023, se reformuló el control establecido atendiendo las observaciones realizadas por la OCI; por tal motivo, el seguimiento se realiza sobre el nuevo control que se definió.
En agosto de 2023 se generó y aplicó la herramienta de sondeo con los profesionales del Grupo de Conciliación Extrajudicial en Derecho, Arbitraje y Amigable Composición encargados de realizar inspección, control y vigilancia, con el fin de identificar buenas prácticas y lecciones aprendidas, así como situaciones o condiciones que hayan afectado la ejecución de estas funciones. 
En el ultimo trimestre de 2023 se realizó el procesamiento de la información y el 5 de diciembre de 2023 con el apoyo del Grupo de Gestión Humana se socializaron los resultados al interior del Ministerio de Justicia y del Derecho.
</t>
    </r>
    <r>
      <rPr>
        <i/>
        <sz val="11"/>
        <color rgb="FF000000"/>
        <rFont val="Calibri"/>
        <scheme val="minor"/>
      </rPr>
      <t xml:space="preserve">Evidencias: Correo de aplicación , formulario del sondeo, respuestas sondeo, procesamiento de resultados, gestión de socialización y socialización de resultados
</t>
    </r>
    <r>
      <rPr>
        <b/>
        <sz val="11"/>
        <color rgb="FF000000"/>
        <rFont val="Calibri"/>
        <scheme val="minor"/>
      </rPr>
      <t>Link evidencias:</t>
    </r>
    <r>
      <rPr>
        <sz val="11"/>
        <color rgb="FF000000"/>
        <rFont val="Calibri"/>
        <scheme val="minor"/>
      </rPr>
      <t xml:space="preserve"> </t>
    </r>
    <r>
      <rPr>
        <sz val="11"/>
        <color rgb="FF3366CC"/>
        <rFont val="Calibri"/>
        <scheme val="minor"/>
      </rPr>
      <t xml:space="preserve">https://minjusticiagovco-my.sharepoint.com/:f:/g/personal/mauricio_ordonez_minjusticia_gov_co/ElEYpMxTjtFEh0r_VgxV3QkB-VhLzsc97upeHu5367aiJw?e=04dhYe
</t>
    </r>
    <r>
      <rPr>
        <sz val="11"/>
        <color rgb="FF000000"/>
        <rFont val="Calibri"/>
        <scheme val="minor"/>
      </rPr>
      <t xml:space="preserve">
</t>
    </r>
    <r>
      <rPr>
        <b/>
        <sz val="11"/>
        <color rgb="FF003399"/>
        <rFont val="Calibri"/>
        <scheme val="minor"/>
      </rPr>
      <t>CONTROL CUMPLIDO EN EL TERCER SEGUIMIENTO</t>
    </r>
  </si>
  <si>
    <t>Deficiencias en el proceso de revisión de la decisión de la sanción,</t>
  </si>
  <si>
    <t xml:space="preserve">El coordinador del grupo de conciliación extrajudicial en derecho, arbitraje y amigable composición, cada vez que se produzca una investigación con sanción, a fin de evitar una decisión errónea o que favorezca a alguna parte interesada incluyendo a quien proyecta la resolución, revisará y/o aprobará el proyecto de resolución donde se encuentra consignada la decisión de la investigación con sanción. Si al momento de la revisión de la resolución, identifica alguna situación o información inconsistente que pueda suponer un favorecimiento, se procederá a la revisión haciendo una consulta exhaustiva del expediente. Evidencia: Resolución con el visto bueno por parte del coordinador
Matriz de seguimiento a las resoluciones de investigación con sanción donde se incluya de elaboración, revisión y aprobación.
</t>
  </si>
  <si>
    <r>
      <rPr>
        <i/>
        <u/>
        <sz val="11"/>
        <color theme="1"/>
        <rFont val="Calibri"/>
        <family val="2"/>
        <scheme val="minor"/>
      </rPr>
      <t xml:space="preserve">El riesgo no se ha materializado y el control ha sido efectivo
</t>
    </r>
    <r>
      <rPr>
        <sz val="11"/>
        <color theme="1"/>
        <rFont val="Calibri"/>
        <family val="2"/>
        <scheme val="minor"/>
      </rPr>
      <t xml:space="preserve">
Con corte a agosto de 2023,  se complementa la información reportada en el anterior periodo con las resolucions que se expidieron donde se aplicaron los controles de revisión y aprobación por varios profesionales de la Dirección de MASC y del grupo Coordinador del Grupo de Conciliación Extrajudicial en Derecho, Arbitraje y Amigable Composición incluyendo al coordinador, al igual que cuenta con la debida aprobación del Director de la dependencia. Lo anterior, con el propósito de prevenir y evitar inconsistencias e incorrecta interpretación normativa.
</t>
    </r>
    <r>
      <rPr>
        <i/>
        <sz val="11"/>
        <color theme="1"/>
        <rFont val="Calibri"/>
        <family val="2"/>
        <scheme val="minor"/>
      </rPr>
      <t>Evidencias: matriz de resolución y resoluciones</t>
    </r>
  </si>
  <si>
    <r>
      <rPr>
        <i/>
        <u/>
        <sz val="11"/>
        <color theme="1"/>
        <rFont val="Calibri"/>
        <family val="2"/>
        <scheme val="minor"/>
      </rPr>
      <t xml:space="preserve">El riesgo no se ha materializado y el control ha sido efectivo
</t>
    </r>
    <r>
      <rPr>
        <sz val="11"/>
        <color theme="1"/>
        <rFont val="Calibri"/>
        <family val="2"/>
        <scheme val="minor"/>
      </rPr>
      <t xml:space="preserve">
Con corte a diciembre de 2023,  se complementó la información reportada en el anterior periodo donde se aplicaron en las resoluciones de sanción los controles de revisión y aprobación  por parte de varios profesionales de la Dirección de MASC y del grupo Coordinador del Grupo de Conciliación Extrajudicial en Derecho, Arbitraje y Amigable Composición incluyendo al coordinador; al igual que cuenta con la debida aprobación del Director de la dependencia. Lo anterior, con el propósito de prevenir y evitar inconsistencias e incorrecta interpretación normativa.
Asimismo, se verificó la aplicación de los controles de revisión y aprobación en los autos que se expidieron relacionados con quejas e investigaciones contra centros de conciliación, arbitraje y amigable composición.
</t>
    </r>
    <r>
      <rPr>
        <i/>
        <sz val="11"/>
        <color theme="1"/>
        <rFont val="Calibri"/>
        <family val="2"/>
        <scheme val="minor"/>
      </rPr>
      <t xml:space="preserve">Evidencias: matriz de resolución y resoluciones; matriz de autos y autos. </t>
    </r>
    <r>
      <rPr>
        <sz val="11"/>
        <color theme="1"/>
        <rFont val="Calibri"/>
        <family val="2"/>
        <scheme val="minor"/>
      </rPr>
      <t xml:space="preserve">
</t>
    </r>
    <r>
      <rPr>
        <b/>
        <sz val="11"/>
        <color theme="1"/>
        <rFont val="Calibri"/>
        <family val="2"/>
        <scheme val="minor"/>
      </rPr>
      <t>Link evidencias resoluciones:</t>
    </r>
    <r>
      <rPr>
        <sz val="11"/>
        <color rgb="FF3366CC"/>
        <rFont val="Calibri"/>
        <family val="2"/>
        <scheme val="minor"/>
      </rPr>
      <t>https://minjusticiagovco-my.sharepoint.com/:f:/g/personal/mauricio_ordonez_minjusticia_gov_co/EsfY1r3SZKpCgCvQkpFKyOoBZL7pl5kOmOy-iT4TmMgpFQ?e=KDLXHR</t>
    </r>
    <r>
      <rPr>
        <b/>
        <sz val="11"/>
        <color theme="1"/>
        <rFont val="Calibri"/>
        <family val="2"/>
        <scheme val="minor"/>
      </rPr>
      <t xml:space="preserve">
Link evidencias autos:</t>
    </r>
    <r>
      <rPr>
        <sz val="11"/>
        <color rgb="FF3366CC"/>
        <rFont val="Calibri"/>
        <family val="2"/>
        <scheme val="minor"/>
      </rPr>
      <t>https://minjusticiagovco-my.sharepoint.com/:f:/g/personal/mauricio_ordonez_minjusticia_gov_co/EonJ_kN_Sq5Ppl5cutW3IMUBgbsa6-SN3Nus4k1AWQe66g?e=Nb2IsO</t>
    </r>
    <r>
      <rPr>
        <b/>
        <sz val="11"/>
        <color rgb="FF3366CC"/>
        <rFont val="Calibri"/>
        <family val="2"/>
        <scheme val="minor"/>
      </rPr>
      <t xml:space="preserve">
</t>
    </r>
    <r>
      <rPr>
        <b/>
        <sz val="11"/>
        <color theme="1"/>
        <rFont val="Calibri"/>
        <family val="2"/>
        <scheme val="minor"/>
      </rPr>
      <t xml:space="preserve">
</t>
    </r>
    <r>
      <rPr>
        <b/>
        <sz val="11"/>
        <color rgb="FF003399"/>
        <rFont val="Calibri"/>
        <family val="2"/>
        <scheme val="minor"/>
      </rPr>
      <t>CONTROL CUMPLIDO EN EL TERCER SEGUIMIENTO</t>
    </r>
  </si>
  <si>
    <t>Pérdida de recursos por el uso de los vehículos asignados al Ministerio en actividades no permitidas por la normativa vigente por una actuación irregular del servidor público para beneficiar a un tercero o a sí mismos</t>
  </si>
  <si>
    <t>Inexistencia o fallas del control sobre los recorridos del vehículo</t>
  </si>
  <si>
    <t>Investigaciones Disciplinarias
Pérdida de Imagen Institucional
Sanciones</t>
  </si>
  <si>
    <t>El conductor, cada vez que se le asigna una tarea que implique la movilización del vehículo asignado, a fin de tener información actualizada de la ubicación del vehículo y la labor asignada al mismo, realizará el diligenciamiento de la Planilla Diaria Control de Recorridos. El día hábil siguiente al diligenciamiento se deberá entregar la planilla a la Coordinación del Grupo de Almacén, Inventarios y Transporte y en el caso que no suceda así se hará el respectivo requerimiento al conductor quien deberá justificar su incumplimiento. Evidencia: Planilla Diaria Control de Recorridos diligenciada
Requerimiento en caso de incumplimiento de entrega
Justificación del incumplimiento por parte del conductor</t>
  </si>
  <si>
    <t>Seguimiento al diligenciamiento de las planillas de movimientos y traslados</t>
  </si>
  <si>
    <t>Grupo de Almacén, inventarios y Transporte</t>
  </si>
  <si>
    <t>Planillas de movimientos y traslados-Registro de formulario de recorridos</t>
  </si>
  <si>
    <t>No se ha materializado el riesgo, el control que se tiene referente a las planillas se ajusto a una implementación virtual por medio de una herramienta de mesa de ayuda para la solicitud y recepción de casos y a su vez para la creación de tableros de control para servicios de personal sin asignación de vehículos  y para el general de todos los recorridos se generó un formulario denominado "tablero de control" que diligencian los conductores de forma virtual  esto ha permitido que se ha sido efectivo los seguimientos en tiempo real del parque automotor. Ver planillas-registros de casos conductores y servicios.</t>
  </si>
  <si>
    <t>No se ha materializado el riesgo, las actividades adelantadas por el GAIT han permitido la revisión y confirmación de los recorridos por medio de las planillas de recorridos y a su vez se ha contralado la disponibilidad y necesidad  del parque automotor para las necesidades de la entidad actualmente de sus dos sedes.Con la implementación del Plan de seguridad vial Resolución 1140 del 29 de agosto de 2023 ha permitido acciones de mejora en los procesos de transporte.
Anexo
Planillas de recorrido
Reporte de recorridos</t>
  </si>
  <si>
    <t>De acuerdo a las actividades adelantadas por el GAIT, para el reporte del tercer cuatrimestre no se ha materializado el riesgo. Un integrante del GAIT es el responsable de coordinar y verificar la disponibilidad de los servicios y de los recorridos  que atiende el parque automotor de acuerdo a los lineamientos del Procedimiento del Parque Automotor, esto por medio de los seguimientos a los tableros de control de cada vehículo , las planillas de recorridos físicas y los casos registrados por medio del aplicativo Aranda . De igual manera se aplicado con lo establecido en el Plan de Seguridad Vial, el cual genera un seguimiento de manera trimestral en acompañamiento con en el Grupo de Gestión Humana. para ejecutar  los 5 pilares del PESV "fortalecimiento institucional, comportamiento humano, vehículos seguros, infraestructura segura y atención a víctimas"
Evidencias
1. Planillas de recorridos
2. Reporte de servicios generados
3. Reunión de seguimiento PESV.</t>
  </si>
  <si>
    <t>El proceso demuestra la ejecución de los controles y su plan de tratamiento del riesgo. Se recomienda tener presente los cambios en el entorno para analizar posibles afectaciones en el cumplimiento del objetivo del proceso.</t>
  </si>
  <si>
    <t xml:space="preserve">El proceso ha mantenido en cuenta las observaciones que ha presentado la Oficina de Control Interno, evidenciando una correcta gestión de sus riesgos. </t>
  </si>
  <si>
    <t>El proceso ha mantenido lo implementado en los cuatrimestres anteriores según las sugerencias de la OCI, lo cual ha conllevado a la no materialización del riesgo. Sin embargo, es necesario medir cuantitativamente posibles aumentos en los gastos de mantenimiento del parque automotor, gasolina etc.</t>
  </si>
  <si>
    <t>Desconocimiento u omisión de las normas establecidas para el uso del vehículo</t>
  </si>
  <si>
    <t>El grupo de Almacén, Inventarios y Transporte, al menos dos veces al año, a fin de fortalecer el conocimiento sobre los lineamientos y directrices de uso de los vehículos oficiales, socializara el procedimiento Administración del Parque Automotor a todos los conductores vinculados al Ministerio, haciendo énfasis en que se puede y que no se puede hacer con los vehículos oficiales. Si al momento de realizar la socialización del procedimiento se presenta una inasistencia de la tercera parte o más, este procedimiento se comunicará y publicará por otros medios logrando así la cobertura total a los conductores vinculados. Evidencia: Asistencia a la socialización
Envío del procedimiento o publicación del mismo para conocimiento de los conductores</t>
  </si>
  <si>
    <t>Sanciones e investigaciones por direccionamiento indebido de la gestión contractual favoreciendo intereses privados o particulares</t>
  </si>
  <si>
    <t>Documentación  previa soporte de la contratación manipulada</t>
  </si>
  <si>
    <t>_Investigaciones disciplinarias, fiscales y penales
- Pérdida de Credibilidad
- Posibles demandas
- Requerimientos de Entes de Control</t>
  </si>
  <si>
    <t>El directivo de cada dependencia, cada vez que realice un proceso de contratación, verificará la consistencia de los documentos precontractuales antes de que el enlace de contratación de cada dependencia remita la información al Grupo de Gestión Contractual, comparando el objeto, necesidad y montos contra el Plan Anual de compras, y los productos establecidos en el proyecto de inversión, el programan misional de funcionamiento o el objeto deseado. En caso de encontrar diferencias, devuelve el documento para ajustes. Evidencia: la lista de chequeo diligenciada, la información de la carpeta del contratista y los correos a que hubo lugar en donde solicitó la información faltante o incompleta (en los casos que aplique</t>
  </si>
  <si>
    <t xml:space="preserve">El funcionario o contratista del GGC realiza el acompañamiento a las dependencias de la Entidad en la revisión de la ficha tecnica técnica de necesidades del proceso y en la elaboración del análisis del sector previo a la radicación del proceso contractual </t>
  </si>
  <si>
    <t>Cuando aplique</t>
  </si>
  <si>
    <t>Profesionales del  GGC</t>
  </si>
  <si>
    <t xml:space="preserve"> Correos electrónicos remitidos a la dependencias con las observaciones y el apoyo solicitado.</t>
  </si>
  <si>
    <t>No se han materializado los riesgos. 
1. Se realiza por parte el GGC apoyo a las dependencias en la construcción de las fichas técnicas y analisis del sector de los procesos de contratación del MJD. Evidencias correos de los procesos en que se ha prestado apoyo.
2. Se realiza en debida forma las justificaciones de la causal de contratacion directa en aplicacion de la normatividad vigente. Evidencia Link de los procesos en el Secop II.
3. En construcción de guía para el seguimiento  a la ejecución contractual.</t>
  </si>
  <si>
    <t>No se han materializado los riesgos. 
1. Se realiza por parte el GGC apoyo a las dependencias en la construcción de las fichas técnicas y analisis del sector de los procesos de contratación del MJD. Evidencias correos de los procesos en que se ha prestado apoyo.
2. Se realiza en debida forma las justificaciones de la causal de contratacion directa en aplicacion de la normatividad vigente. Evidencia Link de los procesos en el Secop II.
3. En revisón de la OAP de guía para el seguimiento  a la ejecución contractual. Evidencia correo y GUIA</t>
  </si>
  <si>
    <t>No se han materializado los riesgos. 
1. Se realiza por parte el GGC apoyo a las dependencias en la construcción de las fichas técnicas y analisis del sector de los procesos de contratación del MJD. Evidencias correos de los procesos en que se ha prestado apoyo y base de seguimiento a revisión de procesos.
2. Se realiza en debida forma las justificaciones de la causal de contratacion directa en aplicacion de la normatividad vigente. Evidencia Link de los procesos en el Secop II.
3. Se públicó el 15/09/2023 en el SIG la Guía para el Seguimiento  a la Ejecución Contractual. Evidencia  GUIA
4. Se realizaron recomendaciones generales a los supervisores, sobre la adecuada labor de la supervisión. Se adjunta correo, circular MJD-CIR23-0000053  y memorando MJD-MEM23-0006515 .</t>
  </si>
  <si>
    <t>Se evidencia la ejecución de los controles y las acciones del plan de tratamiento, demostrando la efectividad de sus controles. Se debe continuar analizando de acuerdo con su entorno y el resultado de auditorias internas y externas posibles amenazas o factores que pueden incidir en la posible materialización del riesgo.</t>
  </si>
  <si>
    <t>El proceso continua sin novedades respecto al cuatrimestre anterior. No se ha materializado el riesgo, por lo que se deduce una correcta gestión de los riesgos planteados. Sin embargo, es necesario revisar si se está procurando que la contratación permita que en igualdad de codiciones cualquier colombiano que cumpla los requisitos tenga la oportunidad de ser contratado por la entidad, o si por el contrario los contratos son entregados a los priviligiados amigos o recomendados de directivos o funcionarios con desición de poder influir en la contratación.</t>
  </si>
  <si>
    <t>Pliego de condiciones manipulados para favorecer a un proveedor</t>
  </si>
  <si>
    <t>El profesional encargado de adelantar la contratación, cada vez que se va a efectuar la suscripción de un contrato, verifica que la información radicada por parte de cada dependencia corresponda con los requisitos establecidos,  a través de una lista de chequeo la cual deberá consultar en el SIG,  donde están los documentos requeridos y la revisión con la información física suministrada por el contratista. En caso de encontrar documentación faltante, requiere al enlace a través de correo electrónico el suministro de la documentación faltante o incompleta para poder continuar con el proceso de contratación, en un plazo prudente de tal forma que no se retrase el proceso de suscripción. Evidencia: la lista de chequeo diligenciada, la información de la carpeta del contratista y los correos a que hubo lugar en donde solicitó la información faltante o incompleta (en los casos que aplique).</t>
  </si>
  <si>
    <t xml:space="preserve">El funcionario o contratista debe solicitar en el estudio previo la justificación en debida forma de la causal de contratación directa en aplicación de la normatividad contractual </t>
  </si>
  <si>
    <t>Funcionario o contratista del GGC</t>
  </si>
  <si>
    <t xml:space="preserve"> Link de los procesos en el Secop II  como evidencia de los estudios Previos Justificados</t>
  </si>
  <si>
    <t>El Responsable del proceso de Gestión Contractual cada vez que se vaya a realizar la suscripción de un contrato a  fin de identificar posibles actos de manipulación de la documentación previa que soporta el proceso de contratación revisa esa  documentación, posterior a la revisión del profesional en derecho del grupo de gestión contractual si al momento de hacer la revisión se identifica documentación inconsistente o manipulación de la misma, se devolverá toda la documentación previa soporte a la dependencia que solicitó el proceso y además se requerirá la debida sustentación por escrito donde se detallen las causas de las modificaciones identificadas Evidencia: 
El VoBo del responsable del proceso de Gestión Contractual
Devolución a la dependencia mediante oficio
Respuesta de la dependencia al Oficio</t>
  </si>
  <si>
    <t>Remitir trimestralmente recomendaciones generales a los supervisores, sobre la adecuada labor de la supervisión</t>
  </si>
  <si>
    <t>trimestral</t>
  </si>
  <si>
    <t>Coordinador GGC</t>
  </si>
  <si>
    <t xml:space="preserve"> Correo electrónico</t>
  </si>
  <si>
    <t>Indebida utilización de las causales de contratación directa</t>
  </si>
  <si>
    <t>El profesional en derecho del grupo de gestión contractual, cada vez que se va a efectuar la liquidación de un contrato, a fin de verificar que el proceso contractual haya cumplido con los requisitos técnicos, legales y financieros, revisa la carpeta del contrato, identificando los informes periódicos, los pagos realizados, al igual que estado financiero del contrato; en el caso de anticipos verifica el cumplimiento normativo en este tema. Una vez se verifica el cumplimiento de los requisitos adelanta la liquidación, previa solicitud del supervisor del contrato. En caso de encontrar deficiencias e incumplimientos, solicita al supervisor la gestión para completar la carpeta y entregar la información requerida para adelantar la liquidación del contrato. Evidencia: Carpeta del contrato, informes de supervisión, estado financiero del contrato</t>
  </si>
  <si>
    <t>Deficiente seguimiento por parte del supervisor</t>
  </si>
  <si>
    <t>Documentación de la ejecución del contrato alterada</t>
  </si>
  <si>
    <t xml:space="preserve">
Deficiente seguimiento por parte del supervisor</t>
  </si>
  <si>
    <t>Mal manejo de los recursos</t>
  </si>
  <si>
    <t>Posibilidad de pérdida de recursos al seleccionar una iniciativa asociada a Justicia étnica que no cumpla con los requisitos aprovechando la concentración de la información a fin de que esta sea favorecida con recursos públicos permitiendo la recepción de un beneficio o beneficiando a un tercero</t>
  </si>
  <si>
    <t xml:space="preserve">Fallo en alguna de las etapas de revisión de requisitos </t>
  </si>
  <si>
    <t>_Investigaciones disciplinarias, fiscales 
- Pérdida de Credibilidad</t>
  </si>
  <si>
    <t>El equipo seleccionado del Grupo de Fortalecimiento a la Justicia étnica una vez el grupo culmina la revisión de los requisitos mínimos y  a fin de establecer si este análisis es correcto, realizará la revisión y validación aleatoria del 10% de las iniciativas, contrastando los requisitos vs la información diligenciada en una reunión grupal donde participan un numero impar de integrantes con voz y voto. Si en el momento de la revisión, se encuentra alguna inconsistencia en el diligenciamiento de la matriz se procede a realizar el ajuste y la decisión de mantener o no la iniciativa en el proceso. Evidencia: Grabación de la reunión si se realiza de forma virtual
Acta de reunión si esta se realiza de forma presencial. En ambas se concluirá sobre las iniciativas revisadas y validadas.</t>
  </si>
  <si>
    <t>La OCI encuentra que el proceso demuestra que ha atendido con las recomendaciones presentadas en informes anteriores en relación con la estructura de la definición del riesgo. Se revisan los controles y la acción definida en el plan de tratamiento del riesgo, validando con respecto a las evidencias entregadas por parte del líder del proceso la ejecución y efectividad de sus controles, los cuales son detectivos determinando muestras aleatorias con respecto a los controles establecidos. Considerando este ejercicio un ejemplo para los demás procesos para que lleven a cabo la verificación del control.</t>
  </si>
  <si>
    <t>Revisión posterior por parte del coordinador del grupo a los documentos asociados  a los requisitos de las iniciativas</t>
  </si>
  <si>
    <t xml:space="preserve">Coordinador del Grupo </t>
  </si>
  <si>
    <t>Iniciativa revisada</t>
  </si>
  <si>
    <t xml:space="preserve">Una vez revisados los soportes asociados al riesgo, no se evidencia que este se haya materializado por cuanto no se han recibido iniciativas por parte de las organizaciones étnicas. La convocatoria del Banco de Iniciativas y Proyectos 2023 se estableció entre el 27 de abril y el 29 de mayo, por lo que se espera realizar estos procedimientos en el momento en que se realice la revisión de requisitos mínimos y posterior priorización. Hasta el momento se ha ejecutado la campaña expectativa y se ha dado apertura a la convocatoria. </t>
  </si>
  <si>
    <t>Una vez revisada la ejecución de la priorización de los proyectos, conforme a los establecido en el procedimiento, se constató el cumplimiento de los requisitos tanto mínimos habilitantes, como de priorización, para la definición de las propuestas que serían apoyadas en la vigencia 2023. 
Se seleccionarion 32 proyectos de acuerdo con lo establecido en el procedimiento.
El riesgo no se mateializó.</t>
  </si>
  <si>
    <t>La OCI encuentra que el proceso demuestra que ha atendido con las recomendaciones presentadas en informes anteriores en relación con la estructura de la definición del riesgo. Se revisan los controles y la acción definida en el plan de tratamiento del riesgo, validando con respecto a las evidencias entregadas por parte del líder del proceso la ejecución y efectividad de sus controles, los cuales son detectivos determinando muestras aleatorias con respecto a los controles establecidos</t>
  </si>
  <si>
    <t>El proceso ha mantenido en cuenta las observaciones que ha presentado la Oficina de Control Interno, evidenciando una correcta gestión de sus riesgos. Sin embargo, no se obseva novedad en el monitoreo de la dependencia responsable para el tercer cuatrimestre.</t>
  </si>
  <si>
    <t>Injerencia de terceros</t>
  </si>
  <si>
    <t>Posibles demandas o acciones judiciales</t>
  </si>
  <si>
    <t>El coordinador del Grupo de Fortalecimiento a la Justicia étnica después de la reunión con el equipo de validación de requisitos mínimos y antes de la publicación de la matriz de las propuestas, a fin de complementar el trabajo desarrollado por el equipo, realizará la revisión y validación aleatoria del 6% de las iniciativas adicionales a las ya revisadas, contrastando los requisitos vs la información diligenciada. Si en el momento de la revisión, se encuentra alguna inconsistencia en el diligenciamiento de la matriz se procede a realizar el ajuste y la decisión de mantener o no la iniciativa en el proceso. Evidencia: Campo diligenciado de la revisión por parte de la coordinación de aquellas iniciativas seleccionadas con la respectiva decisión</t>
  </si>
  <si>
    <t>Inadecuada verificación de los requisitos y documentos a las iniciativas priorizadas</t>
  </si>
  <si>
    <t>Requerimientos de Entes de Control</t>
  </si>
  <si>
    <t>El Grupo de Fortalecimiento a la Justicia étnica cada vez que se reciba una solicitud de aclaración, información, queja, reclamo o sugerencia de la matriz de iniciativas publicada, a fin de determinar la validez o no de la solicitud y dar respuesta a la misma, realizará la revisión de la solicitud contrastando los requisitos vs la información diligenciada. Si en el momento de la revisión, se encuentra alguna inconsistencia en el diligenciamiento de la matriz se procede a realizar el ajuste y la decisión de mantener o no la iniciativa en el proceso, allegando copia de la misma al solicitante. Evidencia: Solicitud recibida
Respuesta a la solicitud</t>
  </si>
  <si>
    <t>El Grupo de Fortalecimiento a la Justicia étnica una vez se determinen las iniciativas priorizadas, verificará la validez de los requisitos y documentos que demuestren la relación de representación legal vigente, para efectos de contratar con la persona que esté legalmente habilitada para este efecto. En el caso de no poder realizar la verificación con el Ministerio del Interior, se verificarán otros documentos como la inscripción de autoridad en la Alcaldía correspondiente.
Como evidencia queda la respuesta de las entidades correspondientes y su respectiva solicitud por parte de Minjusticia</t>
  </si>
  <si>
    <t>Falta de control en la instancia de verificación de perfiles y requisitos</t>
  </si>
  <si>
    <t>Pérdida de credibilidad en los funcionarios de la entidad al manipular la información laboral para favorecer el ingreso de personas a  la planta de personal o por el contrario manipularla para suscitar la salida de un funcionario</t>
  </si>
  <si>
    <t>Interno</t>
  </si>
  <si>
    <t>Pérdida de credibilidad institucional.
Investigaciones disciplinarias, penales y fiscales.</t>
  </si>
  <si>
    <t>probable</t>
  </si>
  <si>
    <t>El Coordinador del Grupo de Gestión Humana cada vez que se realiza la incorporación de un funcionario, con el fin de verificar la idoneidad de la persona, revisa las certificaciones laborales contra la información de la hoja de vida, verificando el cumplimiento de requisitos y la legalidad de dichos documentos. En el caso de encontrar inconsistencias, solicita completar la información y realizar las aclaraciones necesarias. Como evidencia queda el registro de verificación y el visto bueno del documento en la hoja de vida</t>
  </si>
  <si>
    <t>Modificación de los requisitos para favorecer a un tercero</t>
  </si>
  <si>
    <t xml:space="preserve">Realizar un muestreo aleatorio verificando con la entidad correspondiente la constatación de la veracidad del documento.
Verificación de los documentos relacionados en la hoja de vida 
</t>
  </si>
  <si>
    <t>Cada vez que ingresa un funcionario</t>
  </si>
  <si>
    <t>Coordinadora del Grupo de Gestión Humana</t>
  </si>
  <si>
    <t>Hojas de vida revisadas</t>
  </si>
  <si>
    <t>No se materializa el riesgo, toda vez que se cumple con, la revisión  de requisitos establecidos en el manual de funciones con los soportes entregados por los aspirantes en el formato F-THAD-01-09 denominado Calculo Tiempo de Experiencia Laboral. Si el aspirante cumple requisitos se expide con firma del Secretario General el certificado de cumplimiento de requisitos en el formato F-THAD-01-05.
De igual forma se valida los siguientes documentos: Certificados de antecedentes fiscales, disciplinarios y judiciales y si es el caso el certificado de antecedente de la profesión.  Si se presenta alguna duda frente a los soportes o titulos entregados, se remite correo electrónico a la entidad respectiva para validar su autenticidad. Se verifica continuamente las normas que rigen en la materia por si existen actualizaciones que se deben tener en cuenta al momento de validar el cumplimiento de requisitos.
EVIDENCIAS ADJUNTAS: Formato F-THAD-01-05 certificado de cumplimiento de requisitos para cada vinculación, Formato F-THAD-01-09 -Calculo Tiempo de Experiencia Laboral, Hoja de vida SIGEP firmadas por la Coordinadora de Gestión tramitados durante el enero, febrero, marzo y abril de 2023.</t>
  </si>
  <si>
    <t>No se materializa el riesgo, toda vez que se cumple con, la revisión  de requisitos establecidos en el manual de funciones con los soportes entregados por los aspirantes en el formato F-THAD-01-09 denominado Calculo Tiempo de Experiencia Laboral.
Si el aspirante cumple requisitos se expide con firma de la Coordinadora del Grupo de Gestión Humana el certificado de cumplimiento de requisitos en el formato F-THAD-01-05.
De igual forma se valida los siguientes documentos: Certificados de antecedentes fiscales, disciplinarios y judiciales y si es el caso el certificado de antecedente de la profesión.  
Se remite oficio a las Instituciones Educativas para validar la autenticidad de los títulos académicos aportados por los nuevos funcionarios.
Se verifica continuamente las normas que rigen en la materia por si existen actualizaciones que se deben tener en cuenta al momento de validar el cumplimiento de requisitos.
EVIDENCIAS ADJUNTAS: Formato F-THAD-01-05 certificado de cumplimiento de requisitos para cada vinculación, Formato F-THAD-01-09 -Calculo Tiempo de Experiencia Laboral, Hoja de vida SIGEP firmadas por la Coordinadora de Gestión tramitados durante el periodo de mayo, junio, julio y agosto de 2023.
Frente a las observaciones de OCI: Realizar un muestreo aleatorio verificando con la entidad correspondiente la constatación de la veracidad del documento.se acata con el registro: Se remite oficio a las Instituciones Educativas para validar la autenticidad de los títulos académicos aportados por los nuevos funcionarios y Se verifica continuamente las normas que rigen en la materia por si existen actualizaciones que se deben tener en cuenta al momento de validar el cumplimiento de requisitos. Además,
Se ha incluido en el Plan de mejoramiento por procesos ,  las acciones sugeridas en el informe de Evaluación y verificación al cumplimiento de requisitos en el proceso de vinculación a un cargo público en el Ministerio de Justicia y del Derecho de 2022. Ajuste de formatos, verificación de afiliaciones</t>
  </si>
  <si>
    <t>No se materializa el riesgo, toda vez que se cumple con, la revisión  de requisitos establecidos en el manual de funciones con los soportes entregados por los aspirantes en el formato F-THAD-01-09 denominado Calculo Tiempo de Experiencia Laboral.
Si el aspirante cumple requisitos se expide con firma de la Coordinadora del Grupo de Gestión Humana el certificado de cumplimiento de requisitos en el formato F-THAD-01-05.
De igual forma se valida los siguientes documentos: Certificados de antecedentes fiscales, disciplinarios y judiciales y si es el caso el certificado de antecedente de la profesión.  
Se remite oficio a las Instituciones Educativas para validar la autenticidad de los títulos académicos aportados por los nuevos funcionarios.
Se verifica continuamente las normas que rigen en la materia por si existen actualizaciones que se deben tener en cuenta al momento de validar el cumplimiento de requisitos.
EVIDENCIAS ADJUNTAS: Formato F-THAD-01-05 certificado de cumplimiento de requisitos para cada vinculación, Formato F-THAD-01-09 -Calculo Tiempo de Experiencia Laboral, Hoja de vida SIGEP firmadas por la Coordinadora de Gestión tramitados durante septiembre, octubre, noviembre y doiciembre 2023.
Frente a las observaciones de OCI: Realizar un muestreo aleatorio verificando con la entidad correspondiente la constatación de la veracidad del documento.se acata con el registro: Se remite oficio a las Instituciones Educativas para validar la autenticidad de los títulos académicos aportados por los nuevos funcionarios y Se verifica continuamente las normas que rigen en la materia por si existen actualizaciones que se deben tener en cuenta al momento de validar el cumplimiento de requisitos. Además,
Se ha incluido en el Plan de mejoramiento por procesos ,  las acciones sugeridas en el informe de Evaluación y verificación al cumplimiento de requisitos en el proceso de vinculación a un cargo público en el Ministerio de Justicia y del Derecho de 2022. Ajuste de formatos, verificación de afiliaciones
Evidencia: oficios de solicitud  verificación de las instituciones y entidades certificantes</t>
  </si>
  <si>
    <t xml:space="preserve">Se mantiene la recomendación de replantear la acción definida en el plan de tratamiento del riesgo, ya que este es similar a los controles establecidos. Aún no se atiende la observación presentada en el informe anterior realizado por esta oficina. </t>
  </si>
  <si>
    <t>No se acataron las recomendaciones de la OCI respecto a la formulación de las acciones en el plan de tratamiento del riesgo. Para ello se recomienda revisar la "Guía para la Administración del Riesgo y el diseño de controles en entidades públicas Versión 6 del DAFP" Punto 5 "Lineamientos sobre los riesgos relacionados con posibles actos de corrupción" páginas 83 - 94.</t>
  </si>
  <si>
    <t>El auxiliar del GGH, cada vez que solicitan el préstamo de una hoja de vida, con el fin de salvaguardar la información contenida en ella y teniendo en cuenta que información reservada, registra el préstamo y devolución de las mismas en el formato destinado para este fin, verificando los folios y la integridad del documento. En caso de inconsistencias en el expediente, requiere al solicitante para que allegue la carpeta completa o informa el hecho ante el CGGH. Cómo evidencia queda el registro de préstamo debidamente firmado</t>
  </si>
  <si>
    <t>Presiones de un tercero</t>
  </si>
  <si>
    <t>El Coordinador del Grupo de Gestión Humana cada vez que solicitan una certificación laboral, y con el fin de garantizar la veracidad de la información, revisa las certificaciones laborales contra la información de la hoja de vida; en caso de encontrar inconsistencias solicita al profesional ajustar la certificación, de tal manera que esta cumpla con los requisitos solicitados o la información contenida en el expediente. Como evidencia queda el registro de verificación y el visto bueno del documento</t>
  </si>
  <si>
    <t>Pérdida de recursos por la posibilidad de que se beneficie a un funcionario o un tercero a partir de la ejecución indebida de los recursos públicos, debido a la deficiente planeación de las actividades, en el marco de la gestión del talento humano</t>
  </si>
  <si>
    <t>Baja asistencia de los funcionarios a las actividades de bienestar y capacitación</t>
  </si>
  <si>
    <t>El Coordinador del Grupo de Gestión Humana cada vez que se realiza un evento y con el fin de garantizar la adecuada ejecución de los planes de bienestar y capacitación, revisa y aprueba las actividades a realizar en el marco del fortalecimiento de la gestión humana de acuerdo con el plan de gestión de talento humano, En el caso de no ejecutar el plan de conformidad a lo establecido se actualiza el plan para el desarrollo efectivo de las actividades. En Como evidencia queda el registro de verificación y el visto bueno del documento. Si no revisa y aprueba el coordinador, puede ser aprobado por la Secretaria General</t>
  </si>
  <si>
    <t>Programación de actividades que no cumplen con las necesidades de la entidad</t>
  </si>
  <si>
    <t>Socialización y campañas infomativas sobre actividads de bienestar y capacitación</t>
  </si>
  <si>
    <t>Cada vez que se requiera</t>
  </si>
  <si>
    <t>Visto bueno en las certificaciones emitidas o aprobación en el sistema de información para la gestión documental</t>
  </si>
  <si>
    <t>No se ha presentado materialización del riesgo. los controles que se han establecido han sido efectivos (solo se relaciona información que reposa en Historia Laboral de los funcionarios y se cumple con la revisión por parte de la Coordinadora del Grupo de los documentos antes de aprobarlos). Los controles relacionados en el cuadro enviado, se continúan adelantando, además se está realizando la verificación de la información cuando el funcionario la entrega al momento de su posesión, para cerrar cercos y evitar impases.
EVIDENCIAS ADJUNTAS : Relación de certificaciones durante el primer trimestre 2023</t>
  </si>
  <si>
    <t>Sin perjuicio de la información que repose en la Oficina de Control Disciplinario  Interno, no se tiene conocimiento de materialización de alguno de los riesgos a cargo del Grupo de Gestión Humana en el periodo de reporte.
Los controles y acciones de tratamiento se han ejecutado conforme a lo planificado. 
EVIDENCIAS ADJUNTAS : Relación de certificaciones durante el primer trimestre 2023
Por otra parte, se precisa que, respecto a las observaciones dejadas por la OCI frente al primer seguimiento, no se requirió ajustar las causas, ni los controles ni las acciones de tratamiento, toda vez que se trató de un error de transcripción de la base sobre la cual se realizó el monitoreo. se resalta la información que se ha corrido al transcribir</t>
  </si>
  <si>
    <t>No se ha presentado materialización del riesgo. los controles que se han establecido han sido efectivos. Se desarrollan las actividades de bienestar y capacitación de acuerdo con lo establecido y se llevan listados de asistencia a las actividades.
Adicionalmente, en cuanto a las certificaciones laborales,  (solo se relaciona información que reposa en Historia Laboral de los funcionarios y se cumple con la revisión por parte de la Coordinadora del Grupo de los documentos antes de aprobarlos). Los controles relacionados en el cuadro enviado, se continúan adelantando, además se está realizando la verificación de la información cuando el funcionario la entrega al momento de su posesión, para cerrar cercos y evitar impases.
Evidencia Relación certificaciones tercer cuatrimestre 2023</t>
  </si>
  <si>
    <t xml:space="preserve">Se mantiene la observación de periodo anteriores, se requiere que el proceso analice las causas del riesgo, ya que las actuales no corresponden al riesgo y por tanto los controles y su plan de tratamiento no están mitigando su posible materialización. Es importante que se analice con la asesoría de la 2da línea de defensa y de atiendas las recomendaciones presentadas por esta oficina. </t>
  </si>
  <si>
    <t>El proceso aún no ha atendido las recomendaciones presentadas desde el periodo anterior con respecto a la revisión del riesgo y el análisis de las causas, por tanto, se mantiene la observación, y se solicita al proceso revisar y ajustar los controles orientados a eliminar las causas que pueden llegar a originar el riesgo. Pero tal como esta actualmente no es posible su evaluación, porque las causas no corresponden al riesgo y por tanto, los controles son ineficientes para el proceso.</t>
  </si>
  <si>
    <t xml:space="preserve">El monitoreo realizado por la dependencia para este último cuatrimestre, describe asuntos de historias laborales que nada tienen que ver con el seguimiento a los controles y acciones desarrolladas para evitar la materialización del riesgo. Se recomienda revisar el tema e implementar los lineamientos de la Guía para la Administración del Riesgo y el diseño de controles en entidades públicas Versión 6 del DAFP" Punto 5 "Lineamientos sobre los
riesgos relacionados con posibles actos de corrupción" páginas 83 - 94.
Antes de asegurar que el control establecido ha sido efectivo, se deben analizar datos estadisticos de asistencia y satisfacción de los participantes en las diferentes actividades. Eso es, que no hayan habido quejas, que hayan asistido todos los inscritos a las diferentes actividades etc. </t>
  </si>
  <si>
    <t>Los profesionales del Grupo de Gestión Humana cada vez que se realice una actividad de fortalecimiento, con el fin de asegurar la participación, llevarán registro de las actividades realizadas, adjuntando los soportes y evidencias cuando se requieran. En caso de no contar con un registro, en el momento, se levantará un acta de la actividad. Como evidencia quedan los listados de asistencia a las actividades y los soportes fílmicos y fotográficos.</t>
  </si>
  <si>
    <t xml:space="preserve">Falta de credibilidad en el control disciplinario al tomar decisiones en materia disciplinaria ajustadas a intereses particulares, favoreciendo a un funcionario o a si mismo, por el desconocimiento de la normatividad que aplica al derecho disciplinario.
</t>
  </si>
  <si>
    <t>Presiones indebidas</t>
  </si>
  <si>
    <t>Investigaciones disciplinarias y penales
Pérdida de imagen del grupo de Control Disciplinario Interno
Revocatoria de las decisiones
Sentencias contenciosas en contra de la entidad</t>
  </si>
  <si>
    <t>El Jefe de la Oficina de Control Disciplinario Interno cada vez que suscribe las actuaciones revisa las decisiones tomadas sobre los trámites o procesos de competencia de la Oficina, a partir del conocimiento del mismo, lo establecido en el régimen disciplinario vigente y la reunión con el abogado que lleva el proceso para conocer los detalles y determinar la pertinencia de la actuación. En caso de errores formales se ajusta la redacción del documento y en caso de inconsistencias en lo sustancial, se procede a subsanar la falla y se labora la nueva decisión. Carpetas compartidas, expedientes físicos, sistema de gestión disciplinaria Gecodi, SIM y correos electrónicos.</t>
  </si>
  <si>
    <t>Deficiente seguimiento a las actuaciones asociadas a la gestión disciplinaria</t>
  </si>
  <si>
    <t>Al interior de la Oficina de Contol Disciplinario Interno se realizarán jornadas de socializaión y/o debate respecto de las temáticas que se estén manejando en los expedientes activos.</t>
  </si>
  <si>
    <t>Coordinador y Abogados del Grupo de Control Interno Disciplinario</t>
  </si>
  <si>
    <t>Lista de asistencia</t>
  </si>
  <si>
    <t xml:space="preserve">
De conformidad con las acciones implementadas a través de los distintos monitorios realizados al interior del Grupo de Control Interno Disciplinario, no se ha materializado riesgo asociado. Con este fundamento se puede decir que el seguimiento y  efectividad de los controles se ajustan a los requerimientos planteados. Es así que, a través de la revisión de los expedientes y actuaciones procesales que se materializan con las decisiones tomadas en estos se puede observar un manejo adecuado cumpliendo con los cánones normativos en materia disciplinaria y es así que del conocimiento de los asuntos de competencia del Grupo de Control Interno Disciplinario (archivos, autos de sustanciación, interlocutorios, aperturas y otras decisiones)), aplicando el régimen disciplinario vigente y,  los conocimientos y experticia en la materia. En este sentido se realiza cada vez que se requiera reunión (por lo menos una vez al mes) con el abogado que lleva el proceso para conocer los detalles y determinar la pertinencia de la actuación. Los soportes se encuentran en la Carpeta compartida, expedientes digitales, sistema de Información Misional -SIM- del grupo de Control Interno Disciplinario, DRIVE y correos electrónicos.
</t>
  </si>
  <si>
    <t>Teniendo en cuenta las acciones implementadas a través de los distintos monitoreos realizados al interior de la Oficina de Control Disciplinario Interno, no se ha materializado algun riesgo asociado. Sinedo este un argumento que demuestra que el seguimiento y  efectividad de los controles se ajustan a los requerimientos planteados. Por esta razón, a través de la revisión de los expedientes y actuaciones procesales que se materializan con las decisiones tomadas en los mismos, se puede observar un manejo adecuado que cumple con los cánones normativos en materia disciplinaria y es así que del conocimiento de los asuntos de competencia de la Oficina de Control Disciplinario Interno ((auto de comisión, auto de pruebas, auto que conce recurso, auto inhibitorio), interlocutorios, aperturas de indagación o investigacion previa y otras decisiones), aplicando para la redacción de los mismos el régimen disciplinario vigente, los conocimientos y experticia en la materia. En este sentido, se realizan controles como lo son reuniones, presenciales y/o virtuales (por lo menos una vez al mes) con el abogado que lleva el proceso para conocer los detalles y determinar la pertinencia de la actuación. Los soportes se encuentran en la Carpeta compartida, expedientes, sistema de Información Misional -SIM- de la Oficina de Control Disciplinario Interno (GCDI) y correos electrónicos.</t>
  </si>
  <si>
    <t>Aplicando controles y ejecuntando acciones por medio de los distintos monitoreos realizados al interior de la Oficina de Control Disciplinario Interno, se evidnecia que no se ha materializado algun riesgo asociado. Viendose entonces que el seguimiento y efectividad de los controles se ajustan a los requerimientos planteados. Es por los mismo, que a través de la revisión de los expedientes y actuaciones procesales que se materializan con las decisiones tomadas en los mismos, se visualiza un tratamiento adecuado que cumple con lo estipulado en la normatividad disciplinaria, refiriendose a asuntos de competencia de la Oficina de Control Disciplinario ((auto de comisión, auto de pruebas, auto que conce recurso, auto inhibitorio), interlocutorios, aperturas de indagación o investigacion previa y otras decisiones), aplicando para la sustanciación de los mismos el régimen disciplinario vigente, los conocimientos y experticia en la materia. En este sentido, se realizan controles como lo son reuniones, presenciales y/o virtuales (por lo menos una vez al mes) con el abogado que lleva el proceso para conocer los detalles y determinar la pertinencia de la actuación. Los soportes se encuentran en la Carpeta compartida, expedientes, reporte del aplicativo SGDEA, listados de asistencia  y correos electrónicos.</t>
  </si>
  <si>
    <t xml:space="preserve">La OCI verifica que el proceso atendió las recomendaciones  y se puede evidenciar la ejecución de los controles y del plan de tratamiento del riesgo. 
Se continua encontrando que las causas son diferentes a la matriz de riesgos de la vigencia 2022 y la cual se menciono en periodos pasados de seguimiento para revisión por parte del proceso. 
</t>
  </si>
  <si>
    <t>Aún persiste la debilidad en el diseño del riesgo (impacto+causa inmediata+causa raíz), falta incluir la causa raíz que origina el riesgo.
Aún persiste desconocimiento y error en la formulación de acciones en el plan de tratamiento del riesgo que se recomendó en el periodo anterior, las acciones deben complementar los controles y por el contrario deben ser distintos, que cumplan la función dereducir el riesgo.Se espera que para el próximo seguimiento se atienda esta recomendació</t>
  </si>
  <si>
    <t>Se evidencia que en acatamiento de las recomendaciones de la OCI respecto al ajuste de las acciones que ayudaran a reducir el riesgo, la dependencia sintetizo la acción.
Respecto al diseño del riesgo se modifico en el sentido de que se le agrego la causa, sin embargo se recomienda revisar la Guía para la Administración del Riesgo y el diseño de controles en entidades públicas Versión 6 del DAFP" Punto 5 "Lineamientos sobre los
riesgos relacionados con posibles actos de
corrupción" páginas 83 - 94.</t>
  </si>
  <si>
    <t>El Jefe de la Oficina de Control Disciplinario Interno mensualmente hace seguimiento a los expedientes disciplinarios a partir de la realización de reuniones con cada abogado para revisar material y formalmente cada uno de los expedientes disciplinarios activos y dar pautas para la gestión durante el mes siguiente En caso de errores formales se ajusta la redacción del documento y en caso de inconsistencias en lo sustancial, se procede a subsanar la falla y se labora la nueva decisión. Carpetas compartidas, expedientes físicos, sistema de gestión disciplinaria Gecodi, SIM y correos electrónicos.</t>
  </si>
  <si>
    <t>Pérdida o indebida utilización de recursos públicos al aprobar y/o realizar los pagos sin el cumplimiento de requisitos, al no realizar una revisión de los soportes, con el fin de favorecer a un tercero u obtener un beneficio propio, por acciones  u omisiones.</t>
  </si>
  <si>
    <t>Cuentas de cobro sin los soportes necesarios</t>
  </si>
  <si>
    <t>Los profesionales de Central de Cuentas, cada vez que se tramita una cuenta de cobro de proveedores o terceros, aplican en debida forma las deducciones de Ley mediante la revisión de los documentos soporte de las cuentas, contra lo establecido en el contrato, en la normatividad vigente, las planillas de liquidación, pago de aportes, entre otros. En caso de inconsistencias en los soportes se devuelve la cuenta al supervisor del contrato y se solicita subsanar las falencias encontradas. Si no se aplica el control, se puede presentar el riesgo de realizar pagos sin los soportes necesarios. 
Evidencias:
1.Planilla Control de Radicación de Cuentas - Formato Radicación de Cuentas F-GF-24-01.
2.Registro de pago en el SIIF
3.Soportes de la cuenta de cobro en el One Drive</t>
  </si>
  <si>
    <t>Realizar capacitación y/o mesa de trabajo, a los profesionales responsables del proceso.</t>
  </si>
  <si>
    <t>Líder Central de Cuentas 
/
Líder Tesoreria</t>
  </si>
  <si>
    <t>1.Presentación de la Capacitación o Lista de asistencia
2.Lista de Asistencia o Acta
3.Formato Radicación de Cuentas F-GF-24-01</t>
  </si>
  <si>
    <t xml:space="preserve">Durante el 1er cuatrimestre de 2023 no se materializó el riesgo, los controles fueron efectivos. Se aplicaron los controles de radicación, asignación, revisión, y registro de las respectivas obligaciones para su posterior pago. Se adjunta la evidencia de cargue en el One Drive de las  cuentas de cobro con los respectivos soportes y el listado de pagos.   </t>
  </si>
  <si>
    <t>Durante el 2do cuatrimestre de 2023 no se materializó el riesgo,Se continua con la aplicación de los controles establecidos para el proceso, revisando que las cuentas cumplan con los lineamientos establecidos por el GGFC, aplicando la normatividad vigente; si aplica, se realiza la devolución de la cuenta, solicitando el respectivo ajuste; por lo anterior, para el 2do. cuatrimestre 2023, no se evidencia la materialización de este riesgo. Se adjuntan las evidencias correspondientes.
*Con ocasión a la actualización de los procedimientos establecidos para el Grupo de Gestion Financiera y Contable - GGFC, se realizará la reformulación de los riesgos; para lo cual se establecerán mesas de trabajo conjuntas con la Oficina de Planeación.</t>
  </si>
  <si>
    <t>Se da continuidad a la aplicación de los controles establecidos para el proceso, verificando que las cuentas radicadas ante el GGFC cumplan con los lineamientos establecidos, y dando cumplimiento a la normatividad vigente, identificando aquellos casos en los cuales no se da cumplimiento a los requisitos mínimos requeridos, realizando la devolución de la cuenta y solicitando el respectivo ajuste; por lo anterior, para el 3er. cuatrimestre 2023, no se evidencia la materialización de este riesgo. Se adjuntan las evidencias correspondientes.
*En el mes de septiembre de 2023, se realiza revisión y ajuste al mapa de riesgos, en mesa de trabajo conjunta con la OAP y los líderes de proceso del GGFC, en atención a las observaciones realizadas por parte de la OCI.</t>
  </si>
  <si>
    <t xml:space="preserve">
Se revisan las evidencias que soportan la ejecución de los controles. Se recomienda que el proceso replantee las acciones del plan de tratamiento del riesgo para reducir el riesgo, ya que son los mismos controles, lo cual no aporta valor con respecto a la reducción a la opción del manejo del riesgo seleccionado. Las acciones deben procurar aportar a la efectividad de los controles.
</t>
  </si>
  <si>
    <t>Aún persiste desconocimiento y error en la formulación de acciones en el plan de tratamiento del riesgo que se recomendó desde en periodo anterior, las acciones deben complementar los controles y por el contrario deben ser distintos, que cumplan la función de reducir el riesgo.Se espera que para el próximo seguimiento se atienda esta recomendación. En el plan de tratamiento se puede definir 1 o más acciones no necesariamente una acción por cada control, de manera que se tenga en cuenta esta observación para su ajuste.
Adicionalmente, falta incluir en la descripción del riesgo la causa raíz y la causa inmediata que origina el riesgo.</t>
  </si>
  <si>
    <t>Se evidencia que en acatamiento de las sugerencias de la OCI, se replantearon las acciones reduciendolas de ocho a dos acciones. Respecto a la descripción del riesgo se evidencia que se amplio más detalladamente incorporando los componenetes requeridos para la descripcción del riesgo, eso es: ACCIÓN U OMISIÓN + USO DEL PODER + DESVIACIÓN DE LA GESTIÓN DE LO PÚBLICO + EL BENEFICIO PRIVADO.</t>
  </si>
  <si>
    <t>Los profesionales de Tesorería, cada vez que llega una solicitud de pago y con el fin realizar el pago con el cumplimiento de los requisitos administrativos y normativos, revisan cada obligación con los soportes  correspondientes según lo establecido en el contrato, verificando que las deducciones estén conformes a lo solicitado por el contratista o proveedor. Si se encuentran inconsistencias se devuelve al contador, solicitando los ajustes necesarios, quien a su vez lo remite al equipo de central de cuentas para su respectiva corrección. Si no se aplica el control, se puede presentar el riesgo de realizar pagos sin los soportes necesarios. 
Evidencia:
1.Correo electrónico de devolución.
2.Aprobación del pago en SIIF.</t>
  </si>
  <si>
    <t>Realizar capacitaciones o mesas de trabajo con las dependencias generadoras de la información contable, con el fin de fortalecer el reporte de la información.</t>
  </si>
  <si>
    <t>Líder Tesoreria</t>
  </si>
  <si>
    <t>1.Presentación de la Capacitación o Lista de asistencia.
2.Correo electrónico de devolución
3.Aprobación del pago en SIIF</t>
  </si>
  <si>
    <t xml:space="preserve">Durante el 1er cuatrimestre de 2023 no se materializó el riesgo, los controles fueron efectivos. Se aplicaron  los controles de radicación, asignación, revisión, y registro de las respectivas obligaciones para su posterior pago. Se adjunta la evidencia de: Cargue en el One Drive de las  cuentas de cobro con los respectivos soportes, correos electrónicos  y el listado de pagos. </t>
  </si>
  <si>
    <t>Durante el 2do cuatrimestre de 2023 no se materializó el riesgo,Se continua con la aplicación de los respectivos controles, revision de los documentos soporte de las cuentas de cobro, para su posterior pago. Se adjunta la evidencia de: Cargue en el One Drive de las  cuentas de cobro con los respectivos soportes, correos electrónicos  y el listado de pagos. 
*Con ocasión a la actualización de los procedimientos establecidos para el Grupo de Gestion Financiera y Contable - GGFC, se realizará la reformulación de los riesgos; para lo cual se establecerán mesas de trabajo conjuntas con la Oficina de Planeación.</t>
  </si>
  <si>
    <t>Desde el GGFC, se continúa con la aplicación de los respectivos controles, se realiza la revisión de los documentos soporte de las cuentas de cobro (PN/PJ), para poder continuar con el proceso de pago, se identificaron los casos en los cuales no se cumplen con los requisitos mínimos requeridos, relizando la devolución a central de cuentas para el respectivo ajuste; por lo anterior, para el 3er. cuatrimestre 2023, no se evidencia la materialización de este riesgo. Se adjuntan las evidencias correspondientes.
*En el mes de septiembre de 2023, se realiza revisión y ajuste al mapa de riesgos, en mesa de trabajo conjunta con la OAP y los líderes de proceso del GGFC, en atención a las observaciones realizadas por parte de la OCI.</t>
  </si>
  <si>
    <t>Favorecimiento con Bancos para apertura de cuentas bancarias</t>
  </si>
  <si>
    <t>El profesional de central de cuentas responsable de registrar la obligación,  cada vez que se radica una cuenta y  con el propósito de no tramitar cuentas sin asignación de recursos, valida en la planilla "Consolidado de PAC" que la solicitud de pago tenga asignación de PAC en estado aprobado. 
En caso de no radicarse las cuentas dentro de los 15 primeros días hábiles, se reasignarán los recursos a aquellas cuentas que no tengan PAC aprobado. Si no se aplica el control, se puede presentar el riesgo de favorecer a alguien en la asignación del PAC.
Evidencia: Correo electrónico de solicitud de PAC y planilla de asignación de PAC.</t>
  </si>
  <si>
    <t>Favorecimiento o preferencias en la asignación de PAC</t>
  </si>
  <si>
    <t xml:space="preserve">1.Presentación de la Capacitación o Lista de asistencia
2.Correo electrónico de solicitud de PAC
3.Planilla de Asignación de PAC.  </t>
  </si>
  <si>
    <t>Durante el 1er cuatrimestre de 2023 no se materializó el riesgo, toda vez que no se llevo a cabo esta acción porque el MJD no tuvo la necesidad de hacer apertura de cuentas.</t>
  </si>
  <si>
    <t>Durante el 2do. cuatrimestre de 2023 no se materializó el riesgo, toda vez que no se llevo a cabo esta acción porque el MJD no tuvo la necesidad de hacer apertura de cuentas.
*Con ocasión a la actualización de los procedimientos establecidos para el Grupo de Gestion Financiera y Contable - GGFC, se realizará la reformulación de los riesgos; para lo cual se establecerán mesas de trabajo conjuntas con la Oficina de Planeación.</t>
  </si>
  <si>
    <t>Para el 3er. cuatrimestre de 2023 no se materializó el riesgo, teniendo en cuenta que, se realizó el respectivo seguimiento y control al PAC solicitado por parte de las dependencias, efectuando la respectiva asignacion a las mismas. Se adjuntan consolidado de PAC.
*En el mes de septiembre de 2023, se realiza revisión y ajuste al mapa de riesgos, en mesa de trabajo conjunta con la OAP y los líderes de proceso del GGFC, en atención a las observaciones realizadas por parte de la OCI.</t>
  </si>
  <si>
    <t xml:space="preserve">El funcionario y /o contratista asignado en el Grupo de Central de Cuentas, cada vez que es radicada una cuenta ante el GGFC y con el fin de asignar las cuentas en el orden de llegada, registrará en el Formato F-GF-24-01 Radicación de Cuentas las solicitudes de pago por orden de llegada según fecha de radicación. Cuando se presentan inconsistencias en la cuenta, se efectúa la devolución para los ajustes requeridos y la cuenta vuelve a iniciar el turno. Si no se aplica el control, se puede presentar el riesgo de no respetar el turno de llegada de las cuentas para general la obligación de pago. 
Evidencias: Formato F-GF-24-01 Radicación de Cuentas                     </t>
  </si>
  <si>
    <t>No respetar el turno de llegada de las cuentas para generar la obligación de pago</t>
  </si>
  <si>
    <t>1.Presentación de la Capacitación o Lista de asistencia
2.Formato F-GF-24-01 Radicación de Cuentas</t>
  </si>
  <si>
    <t>Durante el 1er cuatrimestre de 2023 no se materializó el riesgo, toda vez que se realizo el respectivo seguimiento y control al PAC solicitado y asignado para cada una de las dependencias . Se adjuntan consolidado de PAC.  soportes</t>
  </si>
  <si>
    <t>Para el 2do. cuatrimestre de 2023 no se materializó el riesgo, teniendo en cuenta que, se realizo el respectivo seguimiento y control al PAC solicitado y asignado para cada una de las dependencias (aplicacion de los controles). Se adjuntan consolidado de PAC.
*Con ocasión a la actualización de los procedimientos establecidos para el Grupo de Gestion Financiera y Contable - GGFC, se realizará la reformulación de los riesgos; para lo cual se establecerán mesas de trabajo conjuntas con la Oficina de Planeación.</t>
  </si>
  <si>
    <t>Dede el GGFC - Central de Cuentas, se continua con la respectiva aplicación de los controles establecidos, realizando el adecuado registro y radicación de las cuentas de cobro en la planilla - control F-GF-24-01, se realizó la trazabilidad de las cuentas, en el orden de llegada, de igual forma se registran las devoluciones realizadas por incumplimento a los lineamientos establecidos, en el caso de no dar cumplimiento a los requisitos minimos, producto de la revisión de las cuentas; por lo anterior, para el 4to. trimestre 2023, no se evidencia la materialización de este riesgo. Se adjuntan las evidencias correspondientes.
*En el mes de septiembre de 2023, se realiza revisión y ajuste al mapa de riesgos, en mesa de trabajo conjunta con la OAP y los líderes de proceso del GGFC, en atención a las observaciones realizadas por parte de la OCI.</t>
  </si>
  <si>
    <t>Suplantación de representante legal para retiro de dinero de cuentas Bancarias del MJD</t>
  </si>
  <si>
    <t>Los profesionales del área contable asignados a conciliaciones, cada vez que detecten falencias en la información proveniente de las dependencias generadoras,  realiza las conciliaciones necesarias que soporten o expliquen el registro contable. Si no se aplica el control, se puede presentar el riesgo de inconsistencias en los registros contables.  
Evidencia: Conciliaciones según procedimiento P-GP-10</t>
  </si>
  <si>
    <t>Falencias en la información contable reportada por las dependencias generadoras</t>
  </si>
  <si>
    <t>1.Presentación de la Capacitación o Lista de asistencia
2.Conciliaciones</t>
  </si>
  <si>
    <t>Durante el 1er cuatrimestre de 2023 no se materializó el riesgo, toda vez que no se llevo a cabo esta acción porque el MJD no tuvo la necesidad de hacer trámites de pagos o traslados de recursos ante las entidades bancarias</t>
  </si>
  <si>
    <t>Para el 2do. cuatrimestre de 2023 no se materializó el riesgo, toda vez que no se llevo a cabo esta acción porque el MJD no tuvo la necesidad de hacer trámites de pagos o traslados de recursos ante las entidades bancarias
*Con ocasión a la actualización de los procedimientos establecidos para el Grupo de Gestion Financiera y Contable - GGFC, se realizará la reformulación de los riesgos; para lo cual se establecerán mesas de trabajo conjuntas con la Oficina de Planeación.</t>
  </si>
  <si>
    <t>Para el 3er. cuatrimestre, se continúa con el registro de las respectivas conciliaciones contables, aplicando los controles establecidos, validando los respectivos documentos soporte, de acuerdo con la inforamación suministrada por parte de las dependencias generadoras dela misma, por lo anterior, este riesgo no se materializa. Se adjuntan las evidencias correspondientes.
*En el mes de septiembre de 2023, se realiza revisión y ajuste al mapa de riesgos, en mesa de trabajo conjunta con la OAP y los líderes de proceso del GGFC, en atención a las observaciones realizadas por parte de la OCI.</t>
  </si>
  <si>
    <t>El Coordinador del Grupo de Gestión Financiera, cada vez que se radica una solicitud de evaluación y con el fin de emitir concepto sobre el cumplimiento de los requisitos habilitantes en temas financieros, revisa que la evaluación financiera cumpla con los requisitos  establecidos en el pliego de condiciones. En caso de no cumplir con los requisitos mínimos, se emite  concepto desfavorable y en el caso de ser una observación subsanable, se solicita la documentación requerida. Si no se aplica el control, se puede presentar el riesgo de favorecer a un tercero sin que cumpla los requisitos.
Evidencia: Concepto emitido y/o correo electrónico con las observaciones o solicitudes adicionales</t>
  </si>
  <si>
    <t>Realizar evaluaciones financieras inadecuadas con el fin de favorecer a un tercero</t>
  </si>
  <si>
    <t>1.Presentación de la Capacitación o Lista de asistencia.
2.Concepto emitido - Evaluación Financiera y/o correo electrónico con las observaciones o solicitudes adicionales</t>
  </si>
  <si>
    <t>Durante el 1er cuatrimestre de 2023 no se materializó el riesgo, los controles fueron efectivos. Se aplicaron  los controles de radicación, revisión y asignación de las respectivas cuentas de cobro, de conformidad con el orden de llegada de las mismas. Se adjunta la evidencia correspondiente a la planilla de control de central de cuentas..</t>
  </si>
  <si>
    <t>Durante el 2do cuatrimestre de 2023 no se materializó el riesgo,Se continua con la respectiva aplicación de los controles establecidos para el proceso, efectuando el adecuado registro y radicación de cuentas en la planilla - control F-GF-24-01, identificando la trazabilidad y el orden de llegada de cada una de las cuentas radicadas ante el GGFC - Central de Cuentas; de igual forma se registran las devoluciones realizadas por incumplimento a los lineamientos establecidos, producto de la revisión de cada una de las cuentas; por lo anterior, para el 4to. trimestre 2023, no se evidencia la materialización de este riesgo. Se adjuntan las evidencias correspondientes.
*Con ocasión a la actualización de los procedimientos establecidos para el Grupo de Gestion Financiera y Contable - GGFC, se realizará la reformulación de los riesgos; para lo cual se establecerán mesas de trabajo conjuntas con la Oficina de Planeación._</t>
  </si>
  <si>
    <t>Se efectuaron las respectivas validaciones de los documentos soporte, y se emitieron los correspondientes conceptos (evaluaciones financieras), de conformidad con las solicitudes realizadas por parte del Grupo de Gestión Contractual. Se adjuntan las evidencias correspondientes.
*En el mes de septiembre de 2023, se realiza revisión y ajuste al mapa de riesgos, en mesa de trabajo conjunta con la OAP y los líderes de proceso del GGFC, en atención a las observaciones realizadas por parte de la OCI.</t>
  </si>
  <si>
    <t>Durante el 1er cuatrimestre de 2023 no se materializó el riesgo, los controles fueron efectivos. Se aplicaron  los controles de solicitud, revisión, y registro de las respectivas conciliaciones.  Se adjunta evidencia</t>
  </si>
  <si>
    <t>Durante el 2do cuatrimestre de 2023 no se materializó el riesgo,Para el segundo cuatrimestre, se continua con la ejecución de las conciliaciones contables, aplicando los controles establecidos, validando los respectivos documentos soporte, por lo anterior, este riesgo no se materializa. Se adjuntan las evidencias correspondientes.
*Con ocasión a la actualización de los procedimientos establecidos para el Grupo de Gestion Financiera y Contable - GGFC, se realizará la reformulación de los riesgos; para lo cual se establecerán mesas de trabajo conjuntas con la Oficina de Planeación.</t>
  </si>
  <si>
    <r>
      <t xml:space="preserve">Durante el 1er cuatrimestre de 2023 no se materializó el riesgo, los controlkes fueron efectivos. Se aplicaron  los controles de revisión, validación de los documentos soporte y  su posterior evaluación financiera de acuerdo con las solicitudes recibidas por parte del Grupo de Gestión Contractual. Se adjuntan las evidencias. </t>
    </r>
    <r>
      <rPr>
        <sz val="11"/>
        <color rgb="FFFF0000"/>
        <rFont val="Calibri"/>
        <family val="2"/>
        <scheme val="minor"/>
      </rPr>
      <t xml:space="preserve"> </t>
    </r>
  </si>
  <si>
    <t>Durante el 2do cuatrimestre de 2023 no se materializó el riesgo,De acuerdo con las solicitudes recibidas por parte del GGC, se efectuaron las respectivas validaciones de los documentos soporte, y se emitieron los correspondientes conceptos (evaluaciones financieras). Se adjuntan las evidencias.
*Con ocasión a la actualización de los procedimientos establecidos para el Grupo de Gestion Financiera y Contable - GGFC, se realizará la reformulación de los riesgos; para lo cual se establecerán mesas de trabajo conjuntas con la Oficina de Planeación.</t>
  </si>
  <si>
    <t>Pérdida de recursos a la entidad por la alteración de la información relacionada con la nómina, al no llevar un control sobre las novedades presentadas en el período, para favorecer un funcionario o a si mismo</t>
  </si>
  <si>
    <t xml:space="preserve">Inadecuada notificación de la liquidación </t>
  </si>
  <si>
    <t>Investigaciones disciplinarias, ficales, penales, 
Detrimento patrimonial
Mala imagen institucional</t>
  </si>
  <si>
    <t>El equipo de nómina, cada vez que se presenta una novedad de retiro, emite una liquidación definitiva con el fin de notificarla, informando al exfuncionario mediante correo electrónico los valores liquidados. En el caso que rebote el correo, se notificará publicando en cartelera. Como evidencia queda el correo enviado y  la fotografía de la publicación cuando aplique.</t>
  </si>
  <si>
    <t>Revisión de la prenómina para detectar desviaciones en el proceso de retiro antes de generar la nómina definitiva</t>
  </si>
  <si>
    <t>Mensual</t>
  </si>
  <si>
    <t>Coordinador del GGH</t>
  </si>
  <si>
    <t>Prenómina revisada
Correos electrónicos de notificación de la liquidación.</t>
  </si>
  <si>
    <t>No se ha materializado el riesgo. Por cada liquidación definitiva se realiza mediante acto administrativo. Después de que la resolución mediante el cual se reconoce las prestaciones sociales definitivas quede en firme, se notifica mediante correo electrónico al ex funcionario, así mismo nos comunicamos mediante llamada telefónica y le confirmarnos el correo para garantizar el recibo del mismo y le informarnos lo establecido en la resolución. El funcionario responde el acto administrativo donde manifiesta que esta de acuerdo con su liquidación, en caso dado de que n haya una respuesta nos esperamos los 10 días que contempla la norma, una vez pase este proceso se pasa mediante memorando al Grupo de Gestión Financiera y Contable con sus respectivos soportes para el pago correspondiente.  EVIDENCIAS ADJUNTAS:  Retiros del mes de enero: (Resolución 0221 de 2023, Resolución 0248 de 2023). Retiros del mes de  febrero 2023: (Resolución 0329 de 2023, Resolución 0403 de 2023, Resolución 0404 de 2023). Retiros del mes de marzo de 2023: (Resolución 0476 de 2023, Resolución No. 0477 de 2023). Retiros de Abril, se esta tramitando y se notificara en el mes de mayo de 2023), Trámite con cada retirado e INFORME LIQUIDACIONES DEFINITIVAS seguimiento del primer cuatrimestre 2023 - riesgos de gestión y corrupción</t>
  </si>
  <si>
    <t xml:space="preserve">No se ha materializado el riesgo, toda vez que al presentarse un retiro se realiza su liquidación definitiva, efectuado una prenomina con su respectiva verificación en archivo excel, lo cual permite un tener un mayor control y seguimiento en cuanto a cada uno de los conceptos a reconocer, una vez estas liquidaciones queden en firme en el aplicativo se procede a reconocerlas mediante acto administrativo, el cual es notificado mediante correo electrónico al ex funcionario, así mismo nos comunicamos mediante llamada telefónica y le confirmarnos el correo para garantizar el recibo y le informarnos lo establecido en la resolución. El funcionario responde por correo conforme a lo establecido en el acto administrativo donde manifiesta que está de acuerdo con su liquidación, en caso dado de que no haya respuesta alguna damos tramite de conformidad con lo señalado en la Ley 1437 de 2011, posteriormente se radica memorando al Grupo de Gestión Financiera y Contable con sus respectivos soportes para el pago correspondiente.  EVIDENCIAS ADJUNTAS:  Liquidaciones definitivas: 
Mes de mayo: (Resoluciones 0773, 0774, 0838, 0839, 1003 de 2023,).  
Mes de junio: (Resoluciones 1061, 1074,1178, 1212 de 2023). 
Mes de julio de 2023: (No se presentaron renuncias, por lo anterior no se generaron liquidaciones definitivas).  
Mes de Agosto: Se realizaron las liquidaciones definitivas con archivo Excel, confrontadas con prenomina, y posteriormente se están tramitando los actos administrativos, para su respectiva notificación a cada uno de los ex funcionarios. </t>
  </si>
  <si>
    <t>No se ha materializado el riesgo, toda vez que al presentarse un retiro se realiza su liquidación definitiva, efectuado una prenomina con su respectiva verificación en archivo excel, lo cual permite tener un mayor control y seguimiento en cuanto a cada uno de los conceptos a reconocer, una vez estas liquidaciones queden en firme en el aplicativo se procede a reconocerlas mediante acto administrativo, el cual es notificado mediante correo electrónico al ex funcionario, así mismo nos comunicamos mediante llamada telefónica y le confirmarnos el correo para garantizar el recibo y le informarnos lo establecido en la resolución. El funcionario responde por correo conforme a lo establecido en el acto administrativo donde manifiesta que está de acuerdo con su liquidación, en caso dado de que no haya respuesta alguna damos tramite de conformidad con lo señalado en la Ley 1437 de 2011, posteriormente se radica memorando al Grupo de Gestión Financiera y Contable con sus respectivos soportes para el pago correspondiente.  EVIDENCIAS ADJUNTAS:  Liquidaciones definitivas:
1. Mes de septiembre: (Resoluciones 1710, 1709, 1706, 1708  y 1707 de 2023,). 
2. Mes de octubre: (Resoluciones: 1883 y 1927 de 2023).
3. Mes de noviembre de 2023: (Resoluciones 2056 y 2137 de 2023). 
4. Mes de diciembre: Se realizaron las liquidaciones definitivas con archivo Excel, confrontadas con prenomina, y posteriormente se están tramitando los actos administrativos, para su respectiva notificación a cada uno de los ex funcionarios.
Lo anterior dando cumplimiento al seguimiento del último cuatrimestre de 2023 - riesgos de gestión y corrupción.</t>
  </si>
  <si>
    <t xml:space="preserve">Se puede evidenciar que el proceso ha atendido las recomendaciones de la OCI en cuanto la descripción del análisis del riesgo y la ejecución de los controles y las acciones del plan de tratamiento del riesgo. </t>
  </si>
  <si>
    <t xml:space="preserve">Al revisar la estructura del riesgo, falta incluir en la descripción del riesgo la causa raíz y la causa inmediata que origina el riesgo.
Se recomienda eliminar en el plan de tratamiento del riesgo la acción "Notificar a través de correo electrónico  la liquidación de retiro de los servidores del Ministerio" ya que esta hace parte del control No 1.  y no aporta al ejecicio. </t>
  </si>
  <si>
    <t>Se evidencia acatamiento de lo recomendado por la OCI en lo que respecta a la descripción del riesgo. Igualmente se elimino la acción que no aportaba a controlar el riesgo con la que se la relacionaba. No se evidencia la relación de la causa que se pretenden controlar, si no se quieren repetir podrían numerarse.</t>
  </si>
  <si>
    <t xml:space="preserve">Inadecuado registro de la información referente a la liquidación de la nómina
</t>
  </si>
  <si>
    <t>El equipo de nómina mensualmente y  con el fin de verificar la veracidad de los datos incluidos en el sistema SIGEP, revisa la información registrada en el aplicativo de nómina  contra el acto administrativo y /o las novedades del mes. En caso de presentar inconsistencias se corrige, o se remite a la fuente de la falla para su ajuste. Registro en excel de las validaciones, reporte de incidencias.</t>
  </si>
  <si>
    <t xml:space="preserve">Falta de controles en la expedición de Actos administrativos </t>
  </si>
  <si>
    <t>El Coordinador del Grupo de gestión Humana, cada vez que se requiera generar un acto administrativo y con el fin de certificar que cumpla con los parámetros normativos vigentes, revisa y aprueba el proyecto de resolución, verificando la totalidad de la información que conforma dicho documento En caso de no poder realizar la revisión del acto administrativo, dan visto bueno el elaborador del documento para firma del Ordenador del gasto. Como evidencia queda el Acto administrativo con visto bueno</t>
  </si>
  <si>
    <t>No reflejar la realidad económica en los estados financieros de la entidad, subestimando los registros contables al  manipular los valores reales de los hechos económicos  para beneficio de los funcionarios que intervienen en el proceso o licenciatarios  al momento de registrar las cuentas por cobrar de licencias de cannabis otorgadas en la modalidad de cuotas.</t>
  </si>
  <si>
    <t xml:space="preserve">Suministrar  o registrar información errada </t>
  </si>
  <si>
    <t>SI</t>
  </si>
  <si>
    <t>NO</t>
  </si>
  <si>
    <t xml:space="preserve">El encargado del grupo financiero asignado por la Subdirección, mensualmente envia al GGFC el informe de cuentas por cobrar de los licenciatarios a los cuales se les ha otorgado licencias de cannabis por la modalidad de cuotas con el objetivo de validar que se registre la totalidad de los hechos económicos, en el evento de que se generen diferencias en la conciliación se registrará la situación en campo de observaciones y se hará seguimiento en la siguiente conciliación para solucionar la observación presentada. El GGFC, envia a la SCFSQyE la conciliación de cuentas por cobrar donde se verifica que todo lo reportado se encuentra registrado en SIIF Nación. </t>
  </si>
  <si>
    <t xml:space="preserve">Suministrar o registrar información errada </t>
  </si>
  <si>
    <t>Realizar informe mensual de cuentas por cobrar a remitir al GGFC para verificar montos a conciliar</t>
  </si>
  <si>
    <t xml:space="preserve">Informes y conciliaciones  mensuales de cuentas por cobrar. </t>
  </si>
  <si>
    <r>
      <t xml:space="preserve">El riesgo no se ha materializado y el control ha sido efectivo,  para lo cual mensualmente se realizan los informes de CXC  y se remiten al grupo de gestión financiera y contable del MDJ, con el fin de realizar las respectivas conciliaciones. </t>
    </r>
    <r>
      <rPr>
        <b/>
        <sz val="11"/>
        <color theme="1"/>
        <rFont val="Calibri"/>
        <family val="2"/>
        <scheme val="minor"/>
      </rPr>
      <t>Evidencias</t>
    </r>
    <r>
      <rPr>
        <sz val="11"/>
        <color theme="1"/>
        <rFont val="Calibri"/>
        <family val="2"/>
        <scheme val="minor"/>
      </rPr>
      <t>: Informes cuentas por cobrar y conciliaciones enero a marzo.</t>
    </r>
  </si>
  <si>
    <r>
      <t>Durante el periodo a reportar, el riesgo no se ha materializado y el control ha sido efectivo,  para lo cual mensualmente se realizan los informes de cuentas por cobrar  y se remiten al Grupo de Gestión Financiera y Contable del Ministerio de Justicia y del Derecho , con el fin de realizar las respectivas conciliaciones.</t>
    </r>
    <r>
      <rPr>
        <b/>
        <sz val="11"/>
        <color rgb="FF000000"/>
        <rFont val="Arial"/>
        <family val="2"/>
      </rPr>
      <t xml:space="preserve"> Evidencias:</t>
    </r>
    <r>
      <rPr>
        <sz val="11"/>
        <color rgb="FF000000"/>
        <rFont val="Arial"/>
        <family val="2"/>
      </rPr>
      <t xml:space="preserve"> Informes cuentas por cobrar y conciliaciones abril a junio.</t>
    </r>
  </si>
  <si>
    <r>
      <rPr>
        <sz val="11"/>
        <color rgb="FF000000"/>
        <rFont val="Arial"/>
      </rPr>
      <t xml:space="preserve">Durante el periodo a reportar, el riesgo no se ha materializado y el control ha sido efectivo,  para lo cual mensualmente se realiza el informe de cuentas por cobrar, y la conciliación de los ingresos de la cartera de Cannabis, los cuales se remiten al Grupo de Gestión Financiera y Contable de la SCFSQyE para la elaboración de los cierres contables.
</t>
    </r>
    <r>
      <rPr>
        <b/>
        <sz val="11"/>
        <color rgb="FF000000"/>
        <rFont val="Arial"/>
      </rPr>
      <t xml:space="preserve">Evidencias: </t>
    </r>
    <r>
      <rPr>
        <sz val="11"/>
        <color rgb="FF000000"/>
        <rFont val="Arial"/>
      </rPr>
      <t>Informes de Cuentas por Cobrar CXC y Movimientos Financieros de la vigencia 2023.</t>
    </r>
  </si>
  <si>
    <t xml:space="preserve">Al verificar los soportes  se evidencia la ejecución y efectividad de los controles. Se denota mejoría en la descripción del análisis del riesgo. </t>
  </si>
  <si>
    <t xml:space="preserve">Se denota la buena administración del riesgo por parte del proceso, atendiendo todas las recomendaciones de la OCI en los últimos periodos de medición. Se recomienda continuar desarrollando y evaluando para la próxima vigencia el entorno del proceso para evaluar posibles nuevas causas a este riesgo y las acciones en el plan de tratamiento han sido tan efectivas que se pueden convertir en controles. </t>
  </si>
  <si>
    <t>Se observa una adecuada madurez del control del riesgo. Sin embargo, no se deben dejar de evaluar y retroalimentar en el transcurso del proceso.</t>
  </si>
  <si>
    <t>La no liquidación de los intereses moratorios con la tasa correcta</t>
  </si>
  <si>
    <r>
      <t xml:space="preserve">El grupo financiero cuando recibe los soportes de pago correspondientes al trámite a través del SGDEA por parte de los licenciatarios, deben validar que el monto se refleje en la cuenta bancaría del Ministerio, se realiza el analisis financiero pertinente observando que el valor abonado corresponda a lo estipulado en el acto administrativo y a los intereses moratorios generados (según aplique). Una vez realizado el análisis, seguidamente se cargará y actualizará la información al MICC y se procede a proyectar el oficio que contempla el estado de cuenta donde se informa si está al dia o adeuda algún monto, este oficio pasará a revisión del encargado para corroborar si la información es correcta, en caso de presentar inconsistencias devolverá el oficio al profesional que proyectó para su corrección y ajuste. 
</t>
    </r>
    <r>
      <rPr>
        <u/>
        <sz val="10"/>
        <rFont val="Arial"/>
        <family val="2"/>
      </rPr>
      <t xml:space="preserve">Teniendo en cuenta lo estipulado en la normatividad vigente, los pagos correspondientes a las cuotas deben realizarse en Enero de cada anualidad. </t>
    </r>
    <r>
      <rPr>
        <sz val="10"/>
        <rFont val="Arial"/>
        <family val="2"/>
      </rPr>
      <t xml:space="preserve">
Nota: Una vez, el modulo financiero (novedades) este en productivo, es decir, que haya superado todas las etapas de prueba y desarrollo: 
En caso de que el soporte de pago llegue por MICC, se inicia la etapa de registro de la novedad financiera a cargo profesional asignado se deberá validar que el monto se refleje en la cuenta bancaría del Ministerio y realizará el análisis financiero para aplicar el pago a la novedad que corresponda. A partir de ese momento, pasará a etapa de revisión por parte del profesional encargado quien deberá corroborar que la información este correcta, en caso de no encontrar inconsistencias, procederá a etapa de aprobación. En caso contrario, se devuelve al profesional que generó la novedad para corrección. </t>
    </r>
  </si>
  <si>
    <t>1. Revisión y verificación de los  oficios en los cuales se informa el estado de la cuenta y la liquidación de interés (si se requiere). En caso de inconsistencia, se realiza la devolución al profesional que proyectó el requerimiento para su corrección. 
2. Habilitar el módulo de novedades financieras en el MICC</t>
  </si>
  <si>
    <t>En proceso</t>
  </si>
  <si>
    <t>Trazabilidad del SGDEA y módulo de novedades financiero.</t>
  </si>
  <si>
    <r>
      <t xml:space="preserve">El riesgo no se ha materializado y el control ha sido efectivo,  se alimenta a diario el drive de seguimiento y control de cuentas por cobrar. En el perioido rendido no se ha devuelto documentación para modificación y/o ajuste. </t>
    </r>
    <r>
      <rPr>
        <b/>
        <sz val="11"/>
        <color theme="1"/>
        <rFont val="Calibri"/>
        <family val="2"/>
        <scheme val="minor"/>
      </rPr>
      <t>Evidencias:</t>
    </r>
    <r>
      <rPr>
        <sz val="11"/>
        <color theme="1"/>
        <rFont val="Calibri"/>
        <family val="2"/>
        <scheme val="minor"/>
      </rPr>
      <t xml:space="preserve"> Copia seguimiento y control de cuentas por cobrar.</t>
    </r>
  </si>
  <si>
    <r>
      <t xml:space="preserve">Durante el periodo a reportar, el riesgo no se ha materializado y el control ha sido efectivo debido a la aplicación del control por medio de las revisiones realizadas donde se a detectado de manera oportuna los errores ya sea de fondo o de forma a los oficios proyectados cuando ha habido lugar a la devolución para la corrección de errores.
Asi mismo, con el inició de la marcha blanca del modulo financiero dentro del MICC, se dió inicio a la fase de migración de la información que corresponde a los soporte de pago que allegan los licenciatarios en las diferentes etapas de sus licencias de Drive al MICC, por lo cual aun se realiza la actualización de información sobre el Drive y los regristros ya creados en el MICC. </t>
    </r>
    <r>
      <rPr>
        <b/>
        <sz val="11"/>
        <color rgb="FF000000"/>
        <rFont val="Arial"/>
        <family val="2"/>
      </rPr>
      <t/>
    </r>
  </si>
  <si>
    <t>Durante el periodo a reportar, el riesgo no se ha materializado y el control ha sido efectivo debido a la aplicación del control por medio de las revisiones realizadas; Así mismo, con la puesta en producción del módulo financiero. se dio inicio con la etapa de estabilización en la cual hoy nos encontramos.
Así las cosas, hoy en día la actualización de los soportes de pago allegados por las sociedades licenciatarias, una vez verificados, y corroborados con los movientos bancarios que refleja el extracto bancario de la entidad, se actualiza y carga la información en la matriz de Excel "Seguimiento de Cuentas por Cobrar", como en el aplicativo MICC.</t>
  </si>
  <si>
    <r>
      <t xml:space="preserve">El grupo financiero, debe verificar la información registrada en el MICC, cuando se evidencie que los licenciatarios no han cumplido con lo pactado respecto a los pagos determinados en el acto administrativo, se proyecta un oficio mediante SGDEA requiriendo el pago de las cuotas o  allegando los comprobantes de pago realizados. En caso de presentar inconsistencias relacionados con la información que reposa dentro del oficio, se devuelve al funcionarios que lo proyectó para su modificación y ajuste. Como evidencia se cuenta con la trazabilidad en el SGDEA 
</t>
    </r>
    <r>
      <rPr>
        <u/>
        <sz val="10"/>
        <rFont val="Arial"/>
        <family val="2"/>
      </rPr>
      <t xml:space="preserve">Teniendo en cuenta lo estipulado en la normatividad vigente, los pagos correspondientes a las cuotas deben realizarse en Enero de cada anualidad, por lo anterior, los oficios de requerimiento se emitirán como mínimo (2) veces en el año. </t>
    </r>
  </si>
  <si>
    <t xml:space="preserve">Revisión y verificación de los oficios de requerimientos a los licenciatarios. En caso de inconsistencia, se realiza la devolución al profesional que proyectó el requerimiento para su corrección. </t>
  </si>
  <si>
    <t>Trazabilidad del SGDEA y requerimientos realizados a los licenciatarios.</t>
  </si>
  <si>
    <r>
      <t xml:space="preserve">El riesgo no se ha materializado y el control ha sido efectivo,  Se ha requerido a licenciatarios para que realicen el pago y alleguen los comprobantes de pago. En el periodo rendido no se ha presnetado inconsistencias en la liquidación de cuotas. </t>
    </r>
    <r>
      <rPr>
        <b/>
        <sz val="11"/>
        <color theme="1"/>
        <rFont val="Calibri"/>
        <family val="2"/>
        <scheme val="minor"/>
      </rPr>
      <t>Evidencias:</t>
    </r>
    <r>
      <rPr>
        <sz val="11"/>
        <color theme="1"/>
        <rFont val="Calibri"/>
        <family val="2"/>
        <scheme val="minor"/>
      </rPr>
      <t xml:space="preserve"> Requerimientos realizados a licenciatarios.</t>
    </r>
  </si>
  <si>
    <r>
      <rPr>
        <sz val="11"/>
        <color rgb="FF000000"/>
        <rFont val="Arial"/>
        <family val="2"/>
      </rPr>
      <t>Durante el periodo a reportar, el riesgo no se ha materializo y el control ha sido efectivo, se han realizado los requerimientos de pago a los licenciatarios que han incurrido en el no pago de las cuotas e intereses moratorios. Para el corte del mes de mayo se enviaron alrededor de 530 cartas de cobro a los licenciatarios, las cuales se registran con su respectivo radicado y demas información en el Drive .</t>
    </r>
    <r>
      <rPr>
        <b/>
        <sz val="11"/>
        <color rgb="FF000000"/>
        <rFont val="Arial"/>
        <family val="2"/>
      </rPr>
      <t xml:space="preserve">Evidencias: </t>
    </r>
    <r>
      <rPr>
        <sz val="11"/>
        <color rgb="FF000000"/>
        <rFont val="Arial"/>
        <family val="2"/>
      </rPr>
      <t>Muestra aleatoria de requerimientos realizados a licenciatarios.</t>
    </r>
  </si>
  <si>
    <r>
      <rPr>
        <sz val="11"/>
        <color rgb="FF000000"/>
        <rFont val="Arial"/>
      </rPr>
      <t xml:space="preserve">Durante el periodo a reportar, el riesgo no se ha materializo y el control ha sido efectivo, el Grupo Financiero, verificó el estado de cuenta de las sociedades licenciatarias pendientes del pago de las cuotas de seguimiento, por consiguiente, se realizaron los respectivos requerimientos de cobro a los mismos, a través del aplicativo SGDEA. 
</t>
    </r>
    <r>
      <rPr>
        <b/>
        <sz val="11"/>
        <color rgb="FF000000"/>
        <rFont val="Arial"/>
      </rPr>
      <t xml:space="preserve">Evidencias: </t>
    </r>
    <r>
      <rPr>
        <sz val="11"/>
        <color rgb="FF000000"/>
        <rFont val="Arial"/>
      </rPr>
      <t>Muestra aleatoria de requerimientos de cobro y Matriz de Excel "Seguimiento de Cuentas por Cobrar" en la cual se actualiza la información de las licencias de cannabis, con relación a los pagos del servicio de evaluación, cuota de seguimiento, intereses moratorios, y requerimientos de cobro.</t>
    </r>
  </si>
  <si>
    <t>pobreza en colombia</t>
  </si>
  <si>
    <t>hora pico</t>
  </si>
  <si>
    <t>afan</t>
  </si>
  <si>
    <t>Lleves joyas</t>
  </si>
  <si>
    <t>hable por el celular</t>
  </si>
  <si>
    <t>atraco en trasmilenio</t>
  </si>
  <si>
    <t>perdida $$</t>
  </si>
  <si>
    <t>susto</t>
  </si>
  <si>
    <t>perdida de contactos</t>
  </si>
  <si>
    <t>hacer daño fisio, psiclógico</t>
  </si>
  <si>
    <t>incomunidada</t>
  </si>
  <si>
    <t>perder la vida</t>
  </si>
  <si>
    <t>Herramienta de Riesgos de Seguridad Digital</t>
  </si>
  <si>
    <t>ACTIVO</t>
  </si>
  <si>
    <t>PRINCIPIO DE SEGURIDAD DEL ACTIVO</t>
  </si>
  <si>
    <t>PRINCIPIO DE SEGURIDAD PARA EL RIESGO</t>
  </si>
  <si>
    <t>RIESGO</t>
  </si>
  <si>
    <t>AMENAZA</t>
  </si>
  <si>
    <t>PRINCIPIO DE SEGURIDAD DE LA VULNERABILIDAD</t>
  </si>
  <si>
    <t>VULNERABILIDAD / CAUSA</t>
  </si>
  <si>
    <t>CLASIFICACIÓN DE LA VULNERABILIDAD</t>
  </si>
  <si>
    <t>DOMINIO DEL CONTROL</t>
  </si>
  <si>
    <t>Vulnerabilidad a reducir</t>
  </si>
  <si>
    <t>¿Cuál es la naturaleza del control?</t>
  </si>
  <si>
    <t xml:space="preserve"> ¿Qué nivel de oficialidad tiene el control?</t>
  </si>
  <si>
    <t>¿El control es medible?</t>
  </si>
  <si>
    <t>¿Al momento de realizar las pruebas de recorrido el control ha demostrado ser?</t>
  </si>
  <si>
    <t>Total Ejecución de Control</t>
  </si>
  <si>
    <t>Meta</t>
  </si>
  <si>
    <t>Inicio</t>
  </si>
  <si>
    <t>Duración</t>
  </si>
  <si>
    <t>Acción si se materializa</t>
  </si>
  <si>
    <t>INCOMPLETA</t>
  </si>
  <si>
    <t>Principios de Seguridad</t>
  </si>
  <si>
    <t>AMENAZAS</t>
  </si>
  <si>
    <t>Confidencialidad</t>
  </si>
  <si>
    <t>Confidencialidad y disponibilidad</t>
  </si>
  <si>
    <t>Confidencialidad e integridad</t>
  </si>
  <si>
    <t>Confidencialidad, Integridad y Disponibilidad</t>
  </si>
  <si>
    <t>Disponibilidad</t>
  </si>
  <si>
    <t>Integridad y Disponibilidad</t>
  </si>
  <si>
    <t>Integridad</t>
  </si>
  <si>
    <t>Divulgación no autorizada</t>
  </si>
  <si>
    <t>Ataque malicioso (explosivos, químicos, vandalismo, hurto, radiación electromagnética, entre otros).</t>
  </si>
  <si>
    <t>Uso no autorizado de recursos (equipos de comunicación, medios de almacenamiento, sistemas de información, computadores)</t>
  </si>
  <si>
    <t xml:space="preserve">Acceso no autorizado (a oficinas, edificio, sala, centro de cómputo, sistema de información, documentación, información, entre otros). </t>
  </si>
  <si>
    <t>Cierre de operación de un proveedor o contratista crítico para la Entidad</t>
  </si>
  <si>
    <t>Ataques contra  el sistema (negación del servicio, manipulación de software, manipulación  de equipo informático entre otros)</t>
  </si>
  <si>
    <t>Daño físico (Daño por agua, polvo o corrosión)</t>
  </si>
  <si>
    <t>Falla o corrupción del software.</t>
  </si>
  <si>
    <t>Abuso de derechos (de usuario, administrador)</t>
  </si>
  <si>
    <t>Código malicioso (troyanos, gusanos, bomba lógica, entre otros)</t>
  </si>
  <si>
    <t xml:space="preserve">Contaminación, Pandemias, virus </t>
  </si>
  <si>
    <t>Destrucción de equipos o medios</t>
  </si>
  <si>
    <t>Falla técnica (Mal funcionamiento del equipo, Mal funcionamiento del software )</t>
  </si>
  <si>
    <t>Confidencialidad_integridad</t>
  </si>
  <si>
    <t>Hurto o robo (información, documentos, medios o equipos)</t>
  </si>
  <si>
    <t>Actos fraudulentos (suplantación, fraude,  venta de información, soborno, extorsión, falsificación de derechos, entre otros)</t>
  </si>
  <si>
    <t>Funcionarios (Acciones involuntarias y/o deliberadas)</t>
  </si>
  <si>
    <t>Daño físico (fuego, agua, humedad, contaminación química, construcción, entre otros)</t>
  </si>
  <si>
    <t>Deterioro del sistema o medio de almacenaje</t>
  </si>
  <si>
    <t>Acciones no autorizadas (Uso no autorizado del equipo, Corrupción de los datos, Abuso de derechos, Falsificación de derechos)</t>
  </si>
  <si>
    <t>Confidencialidad_disponibilidad</t>
  </si>
  <si>
    <t>Incumplimiento  de leyes o regulaciones (propiedad intelectual, entre otros)</t>
  </si>
  <si>
    <t>Espionaje (interceptación, ingeniería social)</t>
  </si>
  <si>
    <t>Déficit de personal</t>
  </si>
  <si>
    <t>Error en el uso (de equipos, medios, información, sistemas o servicios de información)</t>
  </si>
  <si>
    <t>Error en el uso</t>
  </si>
  <si>
    <t>Integridad_Disponibilidad</t>
  </si>
  <si>
    <t>Piratería</t>
  </si>
  <si>
    <t>Incumplimiento de políticas o procedimientos internos.</t>
  </si>
  <si>
    <t>Desastre natural (temblor, terremoto,  inundación, incendio, rayos, contaminación química entre otros)</t>
  </si>
  <si>
    <t>Errores de transmisión o almacenamiento</t>
  </si>
  <si>
    <t>Confidencialidad_Integridad_Disponibilidad</t>
  </si>
  <si>
    <t>Recuperación de medios reciclados o desechados</t>
  </si>
  <si>
    <t>Intrusión o acceso forzado (instalaciones, sistemas de información, información)</t>
  </si>
  <si>
    <t>Falla de la red interna</t>
  </si>
  <si>
    <t>Falla / degradación o mal funcionamiento del software o hardware</t>
  </si>
  <si>
    <t>Uso de software no licenciado o no autorizado</t>
  </si>
  <si>
    <t>Intruso externo (Ejemplo: Exempleados, delincuente informático,  competidores)</t>
  </si>
  <si>
    <t>Falla de suministro de servicios esenciales (agua, gas, aire acondicionado)</t>
  </si>
  <si>
    <t>Proveedor o contratista</t>
  </si>
  <si>
    <t>Falla en el suministro de energía  (pérdida suministro de energia,planta eléctrica, UPS, banco de baterías)</t>
  </si>
  <si>
    <t>Falla para respaldar la información.</t>
  </si>
  <si>
    <t>RIESGOS</t>
  </si>
  <si>
    <t>Falla sistema de comunicaciones (Internet, canales, Radio, entre otros).</t>
  </si>
  <si>
    <t>CONFIDENCIALIDAD_</t>
  </si>
  <si>
    <t>INTEGRIDAD_</t>
  </si>
  <si>
    <t>DISPONIBILIDAD_</t>
  </si>
  <si>
    <t>CONFIDENCIALIDAD_INTEGRIDAD_</t>
  </si>
  <si>
    <t>CONFIDENCIALIDAD_DISPONIBILIDAD_</t>
  </si>
  <si>
    <t>INTEGRIDAD_DISPONIBILIDAD_</t>
  </si>
  <si>
    <t>CONFIDENCIALIDAD_INTEGRIDAD_DISPONIBILIDAD_</t>
  </si>
  <si>
    <t>Fuego, agua, humedad, variaciones de temperatura/voltaje, radioactividad, polvo, gases, oxidación, campos electromagnéticos, entre otros.</t>
  </si>
  <si>
    <t>Fuga, revelación o divulgación de información sensible y/o confidencial</t>
  </si>
  <si>
    <t>Alteración, daño total o parcial de la información procesada y/o almacenada en… Información inexacta e incompleta.</t>
  </si>
  <si>
    <t>Interrupción total o parcial de los procesos del negocio por falla/daño/degradación de los equipos informáticos, equipos de comunicaciones (dispositivos de red, planta telefónica, servidores, UPS, entre otros), debido a cualquier evento o incidente</t>
  </si>
  <si>
    <t>Pérdida, alteración, acceso no autorizado, divulgación no autorizada y/o fuga de información  confidencial/sensible procesada y/o almacenada en…</t>
  </si>
  <si>
    <t>Destrucción, pérdida, extravío, robo, daño o alteración de información en medio físico o lógico.</t>
  </si>
  <si>
    <t>Pérdida de información debido a errores en la ejecución del procedimiento de backup, fallas en el software de backup.</t>
  </si>
  <si>
    <t>Incumplimiento contractual y/o sanciones.</t>
  </si>
  <si>
    <t xml:space="preserve">Incumplimiento en el mantenimiento </t>
  </si>
  <si>
    <t>Divulgación no autorizada o fuga de información por la pérdida/robo de equipos de cómputo o medios removibles en los que se almacena información confidencial/sensible en texto claro.</t>
  </si>
  <si>
    <t>Problemas, fallas o no disponibilidad de los servicios esenciales (internet, teléfonos, aire acondicionado, energía, agua, etc.)</t>
  </si>
  <si>
    <t>Actos vandálicos y/o terrorismo</t>
  </si>
  <si>
    <t>Incumplimiento en el servicio de mantenimiento</t>
  </si>
  <si>
    <t>Pérdida, robo, daño, alteración, divulgación no autorizada y/o fuga de información como consecuencia del acceso físico a las oficinas.</t>
  </si>
  <si>
    <t>Degradación del rendimiento de las aplicaciones o la red,  Retraso o interrupción de los sistemas de información y/o la información</t>
  </si>
  <si>
    <t>Hurto, fraude  o sabotaje de equipos, medios, información o documentos.</t>
  </si>
  <si>
    <t>Incumplimiento en los SLA´s</t>
  </si>
  <si>
    <t>Acción Industrial / Espionaje (infiltración canales de comunicación, servicios de información, servicios informáticos)</t>
  </si>
  <si>
    <t>Pérdida de información (contenida en documentación física o digital)</t>
  </si>
  <si>
    <t>VULNERABILIDADES</t>
  </si>
  <si>
    <t>Saturación del sistema de información</t>
  </si>
  <si>
    <t>CONFIDENCIALIDAD.</t>
  </si>
  <si>
    <t>INTEGRIDAD.</t>
  </si>
  <si>
    <t>DISPONIBILIDAD.</t>
  </si>
  <si>
    <t>CONFIDENCIALIDAD_INTEGRIDAD.</t>
  </si>
  <si>
    <t>CONFIDENCIALIDAD_DISPONIBILIDAD.</t>
  </si>
  <si>
    <t>INTEGRIDAD_DISPONIBILIDAD.</t>
  </si>
  <si>
    <t>CONFIDENCIALIDAD_INTEGRIDAD_DISPONIBILIDAD.</t>
  </si>
  <si>
    <t>Ausencia de procedimiento formal para la autorización de la información disponible al público.</t>
  </si>
  <si>
    <t>Ausencia o insuficiencia de actualizaciones.</t>
  </si>
  <si>
    <t>Ausencia de esquemas de respaldo.</t>
  </si>
  <si>
    <t>Acceso no controlado a información sensible / confidencial.</t>
  </si>
  <si>
    <t>Hurto, fraude o sabotaje de equipos, medios, información o documentos.</t>
  </si>
  <si>
    <t>Ausencia de procedimiento de control de cambios.</t>
  </si>
  <si>
    <t>Almacenamiento de equipos sin protección.</t>
  </si>
  <si>
    <t>Ausencia o insuficiencia de cláusulas contractuales y/o acuerdos de confidencialidad.</t>
  </si>
  <si>
    <t>Documentación insuficiente o desactualizada.</t>
  </si>
  <si>
    <t>Ausencia de planes de continuidad.</t>
  </si>
  <si>
    <t>Acceso o uso no controlado del sistema de información (software, aplicativo).</t>
  </si>
  <si>
    <t>Ausencia o insuficiencia de control de cambios en la configuración.</t>
  </si>
  <si>
    <t>Almacenamiento de información sin protección</t>
  </si>
  <si>
    <t>Ausencia o insuficiencia de disposiciones (con respecto a la seguridad) en los contratos con los empleados y/o terceras partes.</t>
  </si>
  <si>
    <t>Especificaciones o requerimientos incompletos, inadecuados o no claros.</t>
  </si>
  <si>
    <t>Ausencia de responsables sobre la gestión en seguridad de la información y/o continuidad de negocio.</t>
  </si>
  <si>
    <t>Acceso o uso no controlado.</t>
  </si>
  <si>
    <t>Ausencia o insuficiencia de procedimientos de monitoreo de los recursos de procesamiento de información.</t>
  </si>
  <si>
    <t>Arquitectura insegura de la red.</t>
  </si>
  <si>
    <t>Relojes no sincronizados.</t>
  </si>
  <si>
    <t>Ausencia o insuficiencia de controles de monitoreo de las instalaciones (por ej. detección o extinción de incendios, líquidos inflamables, CCTV, entre otros).</t>
  </si>
  <si>
    <t>Ausencia de logs o registros de auditoría.</t>
  </si>
  <si>
    <t>Dependencia de personal clave, ausentismo y/o personal insuficiente.</t>
  </si>
  <si>
    <t>Ausencia de "terminación/bloqueo de la sesión" cuando se abandona la estación de trabajo.</t>
  </si>
  <si>
    <t>Ausencia o insuficiencia de procedimientos para el manejo información clasificada.</t>
  </si>
  <si>
    <t>Testeo inadecuado o insuficiente</t>
  </si>
  <si>
    <t>Ausencia o insuficiencia de copias de respaldo.</t>
  </si>
  <si>
    <t>Ausencia de mecanismos de monitoreo a la actividad de los empleados y/o terceros.</t>
  </si>
  <si>
    <t>Incumplimiento de las condiciones técnicas y/o ambientales provistas por el fabricante.</t>
  </si>
  <si>
    <t>Ausencia de control de los activos que se encuentran fuera de la instalaciones.</t>
  </si>
  <si>
    <t>Ausencia o insuficiencia de un procedimiento para el manejo de comunicaciones externas.</t>
  </si>
  <si>
    <t>Ausencia o insuficiencia de mantenimiento.</t>
  </si>
  <si>
    <t>Ausencia de segmentación de la red.</t>
  </si>
  <si>
    <t>Insuficiente entrenamiento, capacitación o sensibilización.</t>
  </si>
  <si>
    <t>Ausencia de controles y verificaciones en los procesos de selección y contratación de personal.</t>
  </si>
  <si>
    <t>Ausencia o insuficiencia de un proceso para clasificar y etiquetar la información.</t>
  </si>
  <si>
    <t>Ausencia o insuficiencia de mecanismos de monitoreo de Red, gestión de la capacidad y disponibilidad.</t>
  </si>
  <si>
    <t>Ausencia o insuficiencia de contratos, acuerdos de nivel de servicio y/o confidencialidad con empleados o terceros.</t>
  </si>
  <si>
    <t>Ausencia de sistemas y/o procedimientos de monitoreo de los recursos de procesamiento de información.</t>
  </si>
  <si>
    <t>Ausencia o insuficiencia en el control de los activos que se encuentran fuera de la instalaciones.</t>
  </si>
  <si>
    <t>Ausencia o insuficiencia de planes de emergencia y simulacros de evacuación.</t>
  </si>
  <si>
    <t>Ausencia o insuficiencia de contratos, acuerdos de niveles de servicio y/o confidencialidad.</t>
  </si>
  <si>
    <t>Ausencia o insuficiencia de controles de acceso a las instalaciones.</t>
  </si>
  <si>
    <t>Canales de comunicación sin encripción.</t>
  </si>
  <si>
    <t>Capacidad inadecuada.</t>
  </si>
  <si>
    <t>Ausencia o insuficiencia de mecanismos de identificación y autenticación.</t>
  </si>
  <si>
    <t>Ausencia o insuficiencia de documentación de uso y/o administración.</t>
  </si>
  <si>
    <t>Desconocimiento, malinterpretación o no cumplimiento de las disposiciones legales, contractuales y/o regulatorias aplicables.</t>
  </si>
  <si>
    <t>Conexión deficiente y/o desorganización del cableado estructurado / eléctrico.</t>
  </si>
  <si>
    <t>Ausencia o insuficiencia de perfiles de acceso o falta de gestión de privilegios de acceso.</t>
  </si>
  <si>
    <t>Ausencia o insuficiencia de políticas, procedimientos y directrices de seguridad.</t>
  </si>
  <si>
    <t>Disposición / Eliminación /reutilización de equipos sin borrado seguro.</t>
  </si>
  <si>
    <t>Falla en los servicios esenciales (internet, teléfonos, aire acondicionado, energía, agua, etc.).</t>
  </si>
  <si>
    <t>Ausencia o insuficiencia en la gestión de usuarios y contraseñas.</t>
  </si>
  <si>
    <t>Ausencia o insuficiencia de procesos disciplinarios definidos en el caso de incidente de seguridad de la información.</t>
  </si>
  <si>
    <t>Disposición/reutilización de medios de almacenamiento sin borrado seguro.</t>
  </si>
  <si>
    <t>Falla, daño o degradación de equipos.</t>
  </si>
  <si>
    <t>Configuración incorrecta de parámetros o configuraciones por defecto.</t>
  </si>
  <si>
    <t>Ausencia o insuficiencia de un proceso de análisis y tratamiento de riesgos.</t>
  </si>
  <si>
    <t>Transferencia y/o almacenamiento de información en texto claro.</t>
  </si>
  <si>
    <t>Proveedor o contratista único en el mercado.</t>
  </si>
  <si>
    <t>Falta de segregación de funciones o incorrecta aplicación de las mismas.</t>
  </si>
  <si>
    <t>Ausencia o insuficiencia de un proceso de gestión de incidentes de seguridad.</t>
  </si>
  <si>
    <t>Ubicación geográfica de las instalaciones en una zona de alto impacto por eventos externos (desastres naturales, orden público, entre otros).</t>
  </si>
  <si>
    <t>Ausencia o insuficiencia en la definición y formalización de roles, funciones y responsabilidades en la seguridad de la información.</t>
  </si>
  <si>
    <t>Dependencia de proveedores.</t>
  </si>
  <si>
    <t>Descarga y/o uso no controlado de software.</t>
  </si>
  <si>
    <t>Fallas conocidas o defectos del software.</t>
  </si>
  <si>
    <t>Falta de protección contra virus y/o código malicioso</t>
  </si>
  <si>
    <t>Personal inconforme o molesto.</t>
  </si>
  <si>
    <t>Puertos o servicios activos no requeridos.</t>
  </si>
  <si>
    <t>Uso de Software ilegal / No autorizado / Software Malicioso.</t>
  </si>
  <si>
    <t>_5._POLÍTICAS_DE_SEGURIDAD.</t>
  </si>
  <si>
    <t>_6._ASPECTOS_ORGANIZATIVOS_DE_LA_SEGURIDAD_DE_LA_INFORMAC.</t>
  </si>
  <si>
    <t>_7._SEGURIDAD_LIGADA_A_LOS_RECURSOS_HUMANOS.</t>
  </si>
  <si>
    <t>_8._GESTIÓN_DE_ACTIVOS.</t>
  </si>
  <si>
    <t>_9._CONTROL_DE_ACCESOS.</t>
  </si>
  <si>
    <t>_10._CIFRADO.</t>
  </si>
  <si>
    <t>_11._SEGURIDAD_FÍSICA_Y_AMBIENTAL.</t>
  </si>
  <si>
    <t>_12._SEGURIDAD_EN_LA_OPERATIVA.</t>
  </si>
  <si>
    <t>_13._SEGURIDAD_EN_LAS_TELECOMUNICACIONES.</t>
  </si>
  <si>
    <t>_14._ADQUISICIÓN__DESARROLLO_Y_MANTENIMIENTO_DE_LOS_SISTEMAS_DE_INFORMACIÓN.</t>
  </si>
  <si>
    <t>_15._RELACIONES_CON_SUMINISTRADORES.</t>
  </si>
  <si>
    <t>_16._GESTIÓN_DE_INCIDENTES_EN_LA_SEGURIDAD_DE_LA_INFORMACIÓN.</t>
  </si>
  <si>
    <t>_17._ASPECTOS_DE_SEGURIDAD_DE_LA_INFORMACION_EN_LA_GESTIÓN_DE_LA_CONTINUIDAD_DEL_NEGOCIO.</t>
  </si>
  <si>
    <t>_18._CUMPLIMIENTO.</t>
  </si>
  <si>
    <t xml:space="preserve">5.1.1 Conjunto de políticas para la seguridad de la información. </t>
  </si>
  <si>
    <t xml:space="preserve">6.1.1 Asignación de responsabilidades para la segur. de la información. </t>
  </si>
  <si>
    <t xml:space="preserve">7.1.1 Investigación de antecedentes. </t>
  </si>
  <si>
    <t xml:space="preserve">8.1.1 Inventario de activos. </t>
  </si>
  <si>
    <t xml:space="preserve">9.1.1 Política de control de accesos. </t>
  </si>
  <si>
    <t xml:space="preserve">10.1.1 Política de uso de los controles criptográficos. </t>
  </si>
  <si>
    <t xml:space="preserve">11.1.1 Perímetro de seguridad física. </t>
  </si>
  <si>
    <t xml:space="preserve">12.1.1 Documentación de procedimientos de operación. </t>
  </si>
  <si>
    <t xml:space="preserve">13.1.1 Controles de red. </t>
  </si>
  <si>
    <t xml:space="preserve">14.1.1 Análisis y especificación de los requisitos de seguridad. </t>
  </si>
  <si>
    <t xml:space="preserve">15.1.1 Política de seguridad de la información para suministradores. </t>
  </si>
  <si>
    <t xml:space="preserve">16.1.1 Responsabilidades y procedimientos. </t>
  </si>
  <si>
    <t xml:space="preserve">17.1.1 Planificación de la continuidad de la seguridad de la información. </t>
  </si>
  <si>
    <t xml:space="preserve">18.1.1 Identificación de la legislación aplicable. </t>
  </si>
  <si>
    <t xml:space="preserve">5.1.2 Revisión de las políticas para la seguridad de la información. </t>
  </si>
  <si>
    <t xml:space="preserve">6.1.2 Segregación de tareas. </t>
  </si>
  <si>
    <t xml:space="preserve">7.1.2 Términos y condiciones de contratación. </t>
  </si>
  <si>
    <t xml:space="preserve">8.1.2 Propiedad de los activos. </t>
  </si>
  <si>
    <t xml:space="preserve">9.1.2 Control de acceso a las redes y servicios asociados. </t>
  </si>
  <si>
    <t xml:space="preserve">10.1.2 Gestión de claves. </t>
  </si>
  <si>
    <t xml:space="preserve">11.1.2 Controles físicos de entrada. </t>
  </si>
  <si>
    <t xml:space="preserve">12.1.2 Gestión de cambios. </t>
  </si>
  <si>
    <t xml:space="preserve">13.1.2 Mecanismos de seguridad asociados a servicios en red. </t>
  </si>
  <si>
    <t xml:space="preserve">14.1.2 Seguridad de las comunicaciones en servicios accesibles por redes públicas. </t>
  </si>
  <si>
    <t xml:space="preserve">15.1.2 Tratamiento del riesgo dentro de acuerdos de suministradores. </t>
  </si>
  <si>
    <t xml:space="preserve">16.1.2 Notificación de los eventos de seguridad de la información. </t>
  </si>
  <si>
    <t xml:space="preserve">17.1.2 Implantación de la continuidad de la seguridad de la información. </t>
  </si>
  <si>
    <t xml:space="preserve">18.1.2 Derechos de propiedad intelectual (DPI). </t>
  </si>
  <si>
    <t xml:space="preserve">6.1.3 Contacto con las autoridades. </t>
  </si>
  <si>
    <t xml:space="preserve">7.2.1 Responsabilidades de gestión. </t>
  </si>
  <si>
    <t xml:space="preserve">8.1.3 Uso aceptable de los activos. </t>
  </si>
  <si>
    <t>9.2.1 Gestión de altas/bajas en el registro de usuarios.</t>
  </si>
  <si>
    <t xml:space="preserve">11.1.3 Seguridad de oficinas, despachos y recursos. </t>
  </si>
  <si>
    <t xml:space="preserve">12.1.3 Gestión de capacidades. </t>
  </si>
  <si>
    <t xml:space="preserve">13.1.3 Segregación de redes. </t>
  </si>
  <si>
    <t xml:space="preserve">14.1.3 Protección de las transacciones por redes telemáticas. </t>
  </si>
  <si>
    <t xml:space="preserve">15.1.3 Cadena de suministro en tecnologías de la información y comunicaciones. </t>
  </si>
  <si>
    <t xml:space="preserve">16.1.3 Notificación de puntos débiles de la seguridad. </t>
  </si>
  <si>
    <t>17.1.3 Verificación, revisión y evaluación de la continuidad de la seguridad de la información.</t>
  </si>
  <si>
    <t xml:space="preserve">18.1.3 Protección de los registros de la organización. </t>
  </si>
  <si>
    <t xml:space="preserve">6.1.4 Contacto con grupos de interés especial. </t>
  </si>
  <si>
    <t xml:space="preserve">7.2.2 Concienciación, educación y capacitación en segur. de la informac. </t>
  </si>
  <si>
    <t xml:space="preserve">8.2.1 Directrices de clasificación. </t>
  </si>
  <si>
    <t xml:space="preserve"> 9.2.2 Gestión de los derechos de acceso asignados a usuarios. </t>
  </si>
  <si>
    <t xml:space="preserve">11.1.4 Protección contra las amenazas externas y ambientales. </t>
  </si>
  <si>
    <t xml:space="preserve">12.1.4 Separación de entornos de desarrollo, prueba y producción. </t>
  </si>
  <si>
    <t xml:space="preserve">13.2.1 Políticas y procedimientos de intercambio de información. </t>
  </si>
  <si>
    <t xml:space="preserve">14.2.1 Política de desarrollo seguro de software. </t>
  </si>
  <si>
    <t xml:space="preserve">15.2.1 Supervisión y revisión de los servicios prestados por terceros. </t>
  </si>
  <si>
    <t xml:space="preserve">16.1.4 Valoración de eventos de seguridad de la información y toma de decisiones. </t>
  </si>
  <si>
    <t xml:space="preserve">17.2.1 Disponibilidad de instalaciones para el procesamiento de la información. </t>
  </si>
  <si>
    <t xml:space="preserve">18.1.4 Protección de datos y privacidad de la información personal. </t>
  </si>
  <si>
    <t xml:space="preserve">6.1.5 Seguridad de la información en la gestión de proyectos. </t>
  </si>
  <si>
    <t xml:space="preserve">7.2.3 Proceso disciplinario. </t>
  </si>
  <si>
    <t xml:space="preserve">8.2.2 Etiquetado y manipulado de la información. </t>
  </si>
  <si>
    <t xml:space="preserve">9.2.3 Gestión de los derechos de acceso con privilegios especiales. </t>
  </si>
  <si>
    <t xml:space="preserve">11.1.5 El trabajo en áreas seguras. </t>
  </si>
  <si>
    <t xml:space="preserve">12.2.1 Controles contra el código malicioso. </t>
  </si>
  <si>
    <t xml:space="preserve">13.2.2 Acuerdos de intercambio. </t>
  </si>
  <si>
    <t xml:space="preserve">14.2.2 Procedimientos de control de cambios en los sistemas. </t>
  </si>
  <si>
    <t xml:space="preserve">15.2.2 Gestión de cambios en los servicios prestados por terceros. </t>
  </si>
  <si>
    <t xml:space="preserve">16.1.5 Respuesta a los incidentes de seguridad. </t>
  </si>
  <si>
    <t xml:space="preserve">18.1.5 Regulación de los controles criptográficos. </t>
  </si>
  <si>
    <t xml:space="preserve">6.2.1 Política de uso de dispositivos para movilidad. </t>
  </si>
  <si>
    <t xml:space="preserve">7.3.1 Cese o cambio de puesto de trabajo. </t>
  </si>
  <si>
    <t xml:space="preserve">8.2.3 Manipulación de activos. </t>
  </si>
  <si>
    <t xml:space="preserve">9.2.4 Gestión de información confidencial de autenticación de usuarios.   </t>
  </si>
  <si>
    <t xml:space="preserve">11.1.6 Áreas de acceso público, carga y descarga. </t>
  </si>
  <si>
    <t xml:space="preserve">12.3.1 Copias de seguridad de la información. </t>
  </si>
  <si>
    <t xml:space="preserve">13.2.3 Mensajería electrónica. </t>
  </si>
  <si>
    <t xml:space="preserve">14.2.3 Revisión técnica de las aplicaciones tras efectuar cambios en el sistema operativo. </t>
  </si>
  <si>
    <t xml:space="preserve">16.1.6 Aprendizaje de los incidentes de seguridad de la información. </t>
  </si>
  <si>
    <t xml:space="preserve">18.2.1 Revisión independiente de la seguridad de la información. </t>
  </si>
  <si>
    <t xml:space="preserve">6.2.2 Teletrabajo. </t>
  </si>
  <si>
    <t xml:space="preserve">8.3.1 Gestión de soportes extraíbles. </t>
  </si>
  <si>
    <t xml:space="preserve">9.2.5 Revisión de los derechos de acceso de los usuarios. </t>
  </si>
  <si>
    <t xml:space="preserve">11.2.1 Emplazamiento y protección de equipos. </t>
  </si>
  <si>
    <t xml:space="preserve">12.4.1 Registro y gestión de eventos de actividad. </t>
  </si>
  <si>
    <t xml:space="preserve">13.2.4 Acuerdos de confidencialidad y secreto. </t>
  </si>
  <si>
    <t xml:space="preserve">14.2.4 Restricciones a los cambios en los paquetes de software. </t>
  </si>
  <si>
    <t xml:space="preserve">16.1.7 Recopilación de evidencias. </t>
  </si>
  <si>
    <t xml:space="preserve">18.2.2 Cumplimiento de las políticas y normas de seguridad. </t>
  </si>
  <si>
    <t xml:space="preserve">8.3.2 Eliminación de soportes. </t>
  </si>
  <si>
    <t xml:space="preserve">9.2.6 Retirada o adaptación de los derechos de acceso </t>
  </si>
  <si>
    <t xml:space="preserve">11.2.2 Instalaciones de suministro. </t>
  </si>
  <si>
    <t xml:space="preserve">12.4.2 Protección de los registros de información. </t>
  </si>
  <si>
    <t xml:space="preserve">14.2.5 Uso de principios de ingeniería en protección de sistemas. </t>
  </si>
  <si>
    <t>18.2.3 Comprobación del cumplimiento.</t>
  </si>
  <si>
    <t xml:space="preserve">8.3.3 Soportes físicos en tránsito. </t>
  </si>
  <si>
    <t xml:space="preserve">9.3.1 Uso de información confidencial para la autenticación. </t>
  </si>
  <si>
    <t xml:space="preserve">11.2.3 Seguridad del cableado. </t>
  </si>
  <si>
    <t xml:space="preserve">12.4.3 Registros de actividad del administrador y operador del sistema. </t>
  </si>
  <si>
    <t xml:space="preserve">14.2.6 Seguridad en entornos de desarrollo. </t>
  </si>
  <si>
    <t xml:space="preserve">9.4.1 Restricción del acceso a la información. </t>
  </si>
  <si>
    <t xml:space="preserve">11.2.4 Mantenimiento de los equipos. </t>
  </si>
  <si>
    <t xml:space="preserve">12.4.4 Sincronización de relojes. </t>
  </si>
  <si>
    <t xml:space="preserve">14.2.7 Externalización del desarrollo de software. </t>
  </si>
  <si>
    <t xml:space="preserve">9.4.2 Procedimientos seguros de inicio de sesión. </t>
  </si>
  <si>
    <t xml:space="preserve">11.2.5 Salida de activos fuera de las dependencias de la empresa. </t>
  </si>
  <si>
    <t xml:space="preserve">12.5.1 Instalación del software en sistemas en producción. </t>
  </si>
  <si>
    <t xml:space="preserve">14.2.8 Pruebas de funcionalidad durante el desarrollo de los sistemas. </t>
  </si>
  <si>
    <t xml:space="preserve">9.4.3 Gestión de contraseñas de usuario. </t>
  </si>
  <si>
    <t xml:space="preserve">11.2.6 Seguridad de los equipos y activos fuera de las instalaciones. </t>
  </si>
  <si>
    <t xml:space="preserve">12.6.1 Gestión de las vulnerabilidades técnicas. </t>
  </si>
  <si>
    <t>14.2.9 Pruebas de aceptación.</t>
  </si>
  <si>
    <t xml:space="preserve">9.4.4 Uso de herramientas de administración de sistemas.   </t>
  </si>
  <si>
    <t xml:space="preserve">11.2.7 Reutilización o retirada segura de dispositivos de almacenamiento. </t>
  </si>
  <si>
    <t xml:space="preserve">12.6.2 Restricciones en la instalación de software. </t>
  </si>
  <si>
    <t xml:space="preserve">14.3.1 Protección de los datos utilizados en pruebas. </t>
  </si>
  <si>
    <t xml:space="preserve">9.4.5 Control de acceso al código fuente de los programas. </t>
  </si>
  <si>
    <t xml:space="preserve">11.2.8 Equipo informático de usuario desatendido. </t>
  </si>
  <si>
    <t xml:space="preserve">12.7.1 Controles de auditoría de los sistemas de información. </t>
  </si>
  <si>
    <t xml:space="preserve">11.2.9 Política de puesto de trabajo despejado y bloqueo de pantalla. </t>
  </si>
  <si>
    <t>Naturaleza del control</t>
  </si>
  <si>
    <t>Oficialidad</t>
  </si>
  <si>
    <t>Medible</t>
  </si>
  <si>
    <t>Pruebas de recorrido</t>
  </si>
  <si>
    <t>Automático</t>
  </si>
  <si>
    <t>Aprobado y divulgado</t>
  </si>
  <si>
    <t>Si y las métricas se tienen en cuenta en los indicadores</t>
  </si>
  <si>
    <t>Altamente efectivo</t>
  </si>
  <si>
    <t>Semiautomático</t>
  </si>
  <si>
    <t>Aprobado no divulgado</t>
  </si>
  <si>
    <t>Se mide periódicamente o por demanda y se lleva un registro</t>
  </si>
  <si>
    <t>Medianamente efectivo</t>
  </si>
  <si>
    <t>Manual</t>
  </si>
  <si>
    <t>Documentado</t>
  </si>
  <si>
    <t>Se mide periódicamente o por demandapero no se lleva un registro</t>
  </si>
  <si>
    <t>Poco efectivo</t>
  </si>
  <si>
    <t>No documentado</t>
  </si>
  <si>
    <t>No se mide</t>
  </si>
  <si>
    <t>No se realizaron pruebas</t>
  </si>
  <si>
    <t>No Aplica</t>
  </si>
  <si>
    <t>NA</t>
  </si>
  <si>
    <t xml:space="preserve"> </t>
  </si>
  <si>
    <t>Criterios para calificar la probabilidad</t>
  </si>
  <si>
    <t>Nivel</t>
  </si>
  <si>
    <t>Descripción</t>
  </si>
  <si>
    <t>Frecuencia</t>
  </si>
  <si>
    <t>El evento se presenta en la mayoria de circunstancias</t>
  </si>
  <si>
    <t>Se ha presentado al menos una vez en el último mes</t>
  </si>
  <si>
    <t>Se presentan eventos de manera frecuente</t>
  </si>
  <si>
    <t>Se ha presentado al menos una vez  en los últimos dos meses</t>
  </si>
  <si>
    <t>Se presentan eventos ocasionalmente</t>
  </si>
  <si>
    <t>Se ha presentado al menos dos veces en el último año</t>
  </si>
  <si>
    <t>El evento no es probable que ocurra</t>
  </si>
  <si>
    <t>Se ha presentado al menos una vez  una vez en el último año</t>
  </si>
  <si>
    <t>Rara vez</t>
  </si>
  <si>
    <t>El evento solo puede ocurrir en circunstancias excepcionales</t>
  </si>
  <si>
    <t>No se ha presentado en el ultimo año</t>
  </si>
  <si>
    <t>Recuerde que el Riesgo de CORRUPCIÓN debe contar con los cuatro elementos descritos a continuación, para cada riesgo que ud describa, identifique claramente si esta presente cada elemento colocando una X</t>
  </si>
  <si>
    <t>Acción u omisión</t>
  </si>
  <si>
    <t>Uso del poder</t>
  </si>
  <si>
    <t>Desviar la gestión de lo público</t>
  </si>
  <si>
    <t>Beneficio privado</t>
  </si>
  <si>
    <t>Seleccionar una inciativa que no cumpla con los requisitos</t>
  </si>
  <si>
    <t xml:space="preserve">aprovechando la concentración de la información </t>
  </si>
  <si>
    <t>a fin de que esta sea favorecida con recursos públicos</t>
  </si>
  <si>
    <t>y recibiendo un beneficio o beneficiando a un tercero</t>
  </si>
  <si>
    <t>Seleccionar una inciativa que no cumpla con los requisitos aprovechando la concentración de la información a fin de que esta sea favorecida con recursos públicos permitiendo la recepción de un beneficio o beneficiando a un tercero</t>
  </si>
  <si>
    <t>Registro</t>
  </si>
  <si>
    <t>Articulación Interinstitucional</t>
  </si>
  <si>
    <t>Riesgo de Corrupción</t>
  </si>
  <si>
    <t>Baja</t>
  </si>
  <si>
    <t>Estapa Judicial (Gestión de Restitución Ley 1448)</t>
  </si>
  <si>
    <t>Articulación para el Cumplimiento de las Órdenes</t>
  </si>
  <si>
    <t>Medidas de Prevención</t>
  </si>
  <si>
    <t>Atención al Ciudadano</t>
  </si>
  <si>
    <t>Caracterizaciones y Registro</t>
  </si>
  <si>
    <t>Estapa Judicial (Gestión de Restitución de Derechos Étnicos Territoriales)</t>
  </si>
  <si>
    <t>Cumplimiento Órdenes URT</t>
  </si>
  <si>
    <t>Planeación Estratégica</t>
  </si>
  <si>
    <t>Evaluación Sistema de Control Interno</t>
  </si>
  <si>
    <t>Gestión de Comunicaciones</t>
  </si>
  <si>
    <t>Prevención y Gestión de Seguridad</t>
  </si>
  <si>
    <t>Gestión del Conocimiento e Información</t>
  </si>
  <si>
    <t>Mejoramiento Continuo</t>
  </si>
  <si>
    <t>Gestión Logística y de Rec. Físicos</t>
  </si>
  <si>
    <t>Gestión Talento Humano</t>
  </si>
  <si>
    <t>Gestión TIC</t>
  </si>
  <si>
    <t>PASOS</t>
  </si>
  <si>
    <t>Componente</t>
  </si>
  <si>
    <t>Ejemplo</t>
  </si>
  <si>
    <t>Paso 1</t>
  </si>
  <si>
    <t>Responsable de llevar a cabo el Control</t>
  </si>
  <si>
    <t>El tesorero, el secretario general y/o el cordinador del grupo de gestión financiera,</t>
  </si>
  <si>
    <t>Paso 2</t>
  </si>
  <si>
    <t>Periodicidad definida para su
ejecución.</t>
  </si>
  <si>
    <t>cada vez que se requiera realizar un movimiento bancario y</t>
  </si>
  <si>
    <t>Paso 3</t>
  </si>
  <si>
    <t>Indicar cuál es el propósito del control</t>
  </si>
  <si>
    <t>con el fin de prevenir que los movimientos que se den por ventanilla sean suplantados,</t>
  </si>
  <si>
    <t>Suplantación de representante legal para retiro de dinero de cuentas Bancarias de Minjusticia</t>
  </si>
  <si>
    <t>Paso 4</t>
  </si>
  <si>
    <t>Establecer el cómo se realiza la actividad de control.</t>
  </si>
  <si>
    <t>todas las solicitudes de débitos o traslados se realizarán mediante oficio con dos firmas de aprobación que se encuentren autorizadas ante la entidad bancaria.</t>
  </si>
  <si>
    <t>Paso 5</t>
  </si>
  <si>
    <t>Indicar qué pasa con las observaciones o desviaciones resultantes de ejecutar el control</t>
  </si>
  <si>
    <t>Si no se cuenta con las dos firmas de aprobación, no se podrá realizar el débito o traslado bancario.</t>
  </si>
  <si>
    <t>Paso 6</t>
  </si>
  <si>
    <t>Evidencia de la ejecución del control</t>
  </si>
  <si>
    <t>Como evidencia queda el oficio radicado ante entidad bancaria con las dos firmas.</t>
  </si>
  <si>
    <t>Paso 7</t>
  </si>
  <si>
    <t>Está en el procedimiento</t>
  </si>
  <si>
    <t>Paso 8</t>
  </si>
  <si>
    <t>Si su respuesta es afirmativa, ¿en cuál procedimiento?</t>
  </si>
  <si>
    <t>Manejo de Bienes y Servicios</t>
  </si>
  <si>
    <t>Paso 9</t>
  </si>
  <si>
    <t>Si su respuesta es negativa, ¿en dónde esta documentado el control? Política - Manual - Guía</t>
  </si>
  <si>
    <t>-</t>
  </si>
  <si>
    <t>Control completo</t>
  </si>
  <si>
    <t>El equipo seleccionado del Grupo de Fortalecimiento a la Justicia étnica una vez el grupo culmina la revisión de los requisitos mínimos y  a fin de establecer si este ánalisis es correcto, realizará la revisión y validación aleatoria del 10% de las iniciativas, contrastando los requisitos vs la información diligenciada en una reunión grupal donde participan un numero impar de integrantes con voz y voto. Si en el momento de la revisión, se encuentra alguna inconsistencia en el diligenciamiento de la matriz se procede a realizar el ajuste y la decisión de mantener o no la iniciativa en el proceso. Evidencia: Grabación de la reunión si se realiza de forma virtual
Acta de reunión si esta se realiza de forma presencial. En ambas se concluirá sobre las iniciativas revisadas y validadas.</t>
  </si>
  <si>
    <t>El coordinador del Grupo de Fortalecimiento a la Justicia étnica después de la reunión con el equipo de validación de requisitos mínimos y antes de la publicación de la matriz de las propuestas, a fin de complementar el trabajo desarrollado por el equipo, realizará la revisión y validación aleatoria del 6% de las iniciativas adicionales a las ya reviasadas, contrastando los requisitos vs la información diligenciada. Si en el momento de la revisión, se encuentra alguna inconsistencia en el diligenciamiento de la matriz se procede a realizar el ajuste y la decisión de mantener o no la iniciativa en el proceso. Evidencia: Campo diligenciado de la revisión por parte de la coordinación de aquellas iniciativas seleccionadas con la respectiva decisión</t>
  </si>
  <si>
    <t>El tesorero, el secretario general y/o el cordinador del grupo de gestión financiera, cada vez que se requiera realizar un movimiento bancario y con el fin de prevenir que los movimientos que se den por ventanilla sean suplantados, todas las solicitudes de débitos o traslados se realizarán mediante oficio con dos firmas de aprobación que se encuentren autorizadas ante la entidad bancaria. Si no se cuenta con las dos firmas de aprobación, no se podrá realizar el débito o traslado bancario. Como evidencia queda el oficio radicado ante entidad bancaria con las dos firmas.</t>
  </si>
  <si>
    <t>PROBABILIDAD DE OCURRENCIA</t>
  </si>
  <si>
    <t>CASI SEGURO
(5)</t>
  </si>
  <si>
    <t>PROBABLE
(4)</t>
  </si>
  <si>
    <t>POSIBLE
(3)</t>
  </si>
  <si>
    <t>IMPROBABLE
(2)</t>
  </si>
  <si>
    <t>RARO VEZ
(1)</t>
  </si>
  <si>
    <t>INSIGNIFICANTE (1)</t>
  </si>
  <si>
    <t>MENOR
(2)</t>
  </si>
  <si>
    <t>MODERADO 
(3)</t>
  </si>
  <si>
    <t>MAYOR 
(4)</t>
  </si>
  <si>
    <t>CATASTRÓFICO
(5)</t>
  </si>
  <si>
    <t>Extrema</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</si>
  <si>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</si>
  <si>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</si>
  <si>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</si>
  <si>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</si>
  <si>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</si>
  <si>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</si>
  <si>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</si>
  <si>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</si>
  <si>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</si>
  <si>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 xml:space="preserve">Tomado de la “Guía para la administración del riesgo y el diseño de controles en entidades públicas” Versión 04 de Oct de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</si>
</sst>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dd/mm/yyyy;@"/>
  </numFmts>
  <fonts count="81">
    <font>
      <sz val="11"/>
      <color theme="1"/>
      <name val="Calibri"/>
      <family val="2"/>
      <scheme val="minor"/>
    </font>
    <font>
      <sz val="11"/>
      <color theme="1"/>
      <name val="Calibri"/>
      <scheme val="minor"/>
    </font>
    <font>
      <sz val="10"/>
      <name val="Arial"/>
      <family val="2"/>
    </font>
    <font>
      <b/>
      <sz val="11"/>
      <color theme="1"/>
      <name val="Calibri"/>
      <family val="2"/>
      <scheme val="minor"/>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sz val="10"/>
      <color theme="1"/>
      <name val="Arial"/>
      <family val="2"/>
    </font>
    <font>
      <sz val="11"/>
      <color rgb="FF000000"/>
      <name val="Calibri"/>
      <family val="2"/>
    </font>
    <font>
      <b/>
      <sz val="10"/>
      <color theme="0"/>
      <name val="Arial"/>
      <family val="2"/>
    </font>
    <font>
      <b/>
      <sz val="10"/>
      <name val="Arial"/>
      <family val="2"/>
    </font>
    <font>
      <sz val="10"/>
      <color rgb="FF003300"/>
      <name val="Arial"/>
      <family val="2"/>
    </font>
    <font>
      <sz val="12"/>
      <color theme="1"/>
      <name val="Arial"/>
      <family val="2"/>
    </font>
    <font>
      <b/>
      <sz val="12"/>
      <color theme="1"/>
      <name val="Arial"/>
      <family val="2"/>
    </font>
    <font>
      <b/>
      <sz val="9"/>
      <color indexed="81"/>
      <name val="Tahoma"/>
      <family val="2"/>
    </font>
    <font>
      <sz val="9"/>
      <color indexed="81"/>
      <name val="Tahoma"/>
      <family val="2"/>
    </font>
    <font>
      <sz val="12"/>
      <name val="Arial"/>
      <family val="2"/>
    </font>
    <font>
      <sz val="16"/>
      <color theme="1"/>
      <name val="Calibri"/>
      <family val="2"/>
      <scheme val="minor"/>
    </font>
    <font>
      <b/>
      <sz val="11"/>
      <color theme="4" tint="-0.499984740745262"/>
      <name val="Calibri"/>
      <family val="2"/>
      <scheme val="minor"/>
    </font>
    <font>
      <b/>
      <sz val="11"/>
      <color theme="7" tint="-0.499984740745262"/>
      <name val="Calibri"/>
      <family val="2"/>
      <scheme val="minor"/>
    </font>
    <font>
      <b/>
      <sz val="11"/>
      <color rgb="FF00B050"/>
      <name val="Calibri"/>
      <family val="2"/>
      <scheme val="minor"/>
    </font>
    <font>
      <b/>
      <sz val="11"/>
      <color rgb="FF7030A0"/>
      <name val="Calibri"/>
      <family val="2"/>
      <scheme val="minor"/>
    </font>
    <font>
      <b/>
      <sz val="11"/>
      <color theme="4" tint="-0.249977111117893"/>
      <name val="Calibri"/>
      <family val="2"/>
      <scheme val="minor"/>
    </font>
    <font>
      <b/>
      <sz val="11"/>
      <color theme="5" tint="-0.249977111117893"/>
      <name val="Calibri"/>
      <family val="2"/>
      <scheme val="minor"/>
    </font>
    <font>
      <i/>
      <sz val="11"/>
      <name val="Gadugi"/>
      <family val="2"/>
    </font>
    <font>
      <sz val="11"/>
      <color rgb="FF212529"/>
      <name val="Arial"/>
      <family val="2"/>
    </font>
    <font>
      <b/>
      <sz val="11"/>
      <color rgb="FF333333"/>
      <name val="Arial"/>
      <family val="2"/>
    </font>
    <font>
      <sz val="72"/>
      <color theme="1"/>
      <name val="Arial"/>
      <family val="2"/>
    </font>
    <font>
      <sz val="22"/>
      <color theme="1"/>
      <name val="Arial"/>
      <family val="2"/>
    </font>
    <font>
      <sz val="24"/>
      <color theme="1"/>
      <name val="Arial"/>
      <family val="2"/>
    </font>
    <font>
      <sz val="11"/>
      <color theme="1"/>
      <name val="Calibri"/>
      <family val="2"/>
      <scheme val="minor"/>
    </font>
    <font>
      <sz val="11"/>
      <color rgb="FFFF0000"/>
      <name val="Calibri"/>
      <family val="2"/>
      <scheme val="minor"/>
    </font>
    <font>
      <sz val="11"/>
      <color rgb="FF222222"/>
      <name val="Calibri"/>
      <family val="2"/>
      <scheme val="minor"/>
    </font>
    <font>
      <b/>
      <sz val="11"/>
      <color theme="0"/>
      <name val="Calibri"/>
      <family val="2"/>
      <scheme val="minor"/>
    </font>
    <font>
      <b/>
      <i/>
      <sz val="14"/>
      <color indexed="81"/>
      <name val="Tahoma"/>
      <family val="2"/>
    </font>
    <font>
      <b/>
      <sz val="10"/>
      <color theme="0"/>
      <name val="Verdana"/>
      <family val="2"/>
    </font>
    <font>
      <b/>
      <sz val="10"/>
      <color theme="1"/>
      <name val="Verdana"/>
      <family val="2"/>
    </font>
    <font>
      <sz val="10"/>
      <color theme="1"/>
      <name val="Verdana"/>
      <family val="2"/>
    </font>
    <font>
      <b/>
      <sz val="16"/>
      <color indexed="81"/>
      <name val="Tahoma"/>
      <family val="2"/>
    </font>
    <font>
      <sz val="16"/>
      <color indexed="81"/>
      <name val="Tahoma"/>
      <family val="2"/>
    </font>
    <font>
      <b/>
      <sz val="18"/>
      <color indexed="81"/>
      <name val="Tahoma"/>
      <family val="2"/>
    </font>
    <font>
      <sz val="18"/>
      <color indexed="81"/>
      <name val="Tahoma"/>
      <family val="2"/>
    </font>
    <font>
      <sz val="11"/>
      <color theme="1"/>
      <name val="Abadi"/>
      <family val="2"/>
    </font>
    <font>
      <sz val="11"/>
      <color rgb="FF003300"/>
      <name val="Abadi"/>
      <family val="2"/>
    </font>
    <font>
      <sz val="11"/>
      <name val="Abadi"/>
      <family val="2"/>
    </font>
    <font>
      <b/>
      <sz val="11"/>
      <color theme="1"/>
      <name val="Abadi"/>
      <family val="2"/>
    </font>
    <font>
      <sz val="11"/>
      <color theme="0"/>
      <name val="Abadi"/>
      <family val="2"/>
    </font>
    <font>
      <sz val="20"/>
      <color theme="1"/>
      <name val="Arial"/>
      <family val="2"/>
    </font>
    <font>
      <sz val="26"/>
      <color theme="1"/>
      <name val="Calibri"/>
      <family val="2"/>
      <scheme val="minor"/>
    </font>
    <font>
      <sz val="72"/>
      <color theme="1"/>
      <name val="Calibri"/>
      <family val="2"/>
      <scheme val="minor"/>
    </font>
    <font>
      <sz val="11"/>
      <name val="Calibri"/>
      <family val="2"/>
      <scheme val="minor"/>
    </font>
    <font>
      <i/>
      <u/>
      <sz val="11"/>
      <color rgb="FF002060"/>
      <name val="Calibri"/>
      <family val="2"/>
      <scheme val="minor"/>
    </font>
    <font>
      <i/>
      <sz val="11"/>
      <color theme="1"/>
      <name val="Calibri"/>
      <family val="2"/>
      <scheme val="minor"/>
    </font>
    <font>
      <i/>
      <u/>
      <sz val="11"/>
      <color theme="1"/>
      <name val="Calibri"/>
      <family val="2"/>
      <scheme val="minor"/>
    </font>
    <font>
      <sz val="11"/>
      <color rgb="FF000000"/>
      <name val="Calibri"/>
      <family val="2"/>
      <scheme val="minor"/>
    </font>
    <font>
      <sz val="10"/>
      <color rgb="FF000000"/>
      <name val="Arial"/>
      <family val="2"/>
    </font>
    <font>
      <sz val="11"/>
      <color rgb="FF000000"/>
      <name val="Arial"/>
      <family val="2"/>
    </font>
    <font>
      <sz val="11"/>
      <color theme="1"/>
      <name val="Arial"/>
      <family val="2"/>
    </font>
    <font>
      <u/>
      <sz val="10"/>
      <name val="Arial"/>
      <family val="2"/>
    </font>
    <font>
      <b/>
      <sz val="11"/>
      <color rgb="FF000000"/>
      <name val="Arial"/>
      <family val="2"/>
    </font>
    <font>
      <sz val="11"/>
      <color rgb="FF3366CC"/>
      <name val="Calibri"/>
      <family val="2"/>
      <scheme val="minor"/>
    </font>
    <font>
      <b/>
      <sz val="11"/>
      <color rgb="FF003399"/>
      <name val="Calibri"/>
      <family val="2"/>
      <scheme val="minor"/>
    </font>
    <font>
      <b/>
      <sz val="11"/>
      <color rgb="FF3366CC"/>
      <name val="Calibri"/>
      <family val="2"/>
      <scheme val="minor"/>
    </font>
    <font>
      <sz val="11"/>
      <color rgb="FF000000"/>
      <name val="Arial"/>
    </font>
    <font>
      <b/>
      <sz val="11"/>
      <color rgb="FF000000"/>
      <name val="Arial"/>
    </font>
    <font>
      <sz val="11"/>
      <color rgb="FFFF0000"/>
      <name val="Calibri"/>
      <scheme val="minor"/>
    </font>
    <font>
      <sz val="10"/>
      <color rgb="FFFF0000"/>
      <name val="Arial"/>
    </font>
    <font>
      <sz val="10"/>
      <color rgb="FF000000"/>
      <name val="Arial"/>
    </font>
    <font>
      <sz val="10"/>
      <name val="Arial"/>
    </font>
    <font>
      <sz val="11"/>
      <color rgb="FF000000"/>
      <name val="Calibri"/>
      <scheme val="minor"/>
    </font>
    <font>
      <b/>
      <sz val="11"/>
      <color rgb="FF000000"/>
      <name val="Calibri"/>
      <scheme val="minor"/>
    </font>
    <font>
      <sz val="11"/>
      <name val="Calibri"/>
      <scheme val="minor"/>
    </font>
    <font>
      <i/>
      <u/>
      <sz val="11"/>
      <color rgb="FF000000"/>
      <name val="Calibri"/>
      <scheme val="minor"/>
    </font>
    <font>
      <i/>
      <sz val="11"/>
      <color rgb="FF000000"/>
      <name val="Calibri"/>
      <scheme val="minor"/>
    </font>
    <font>
      <sz val="11"/>
      <color rgb="FF3366CC"/>
      <name val="Calibri"/>
      <scheme val="minor"/>
    </font>
    <font>
      <b/>
      <sz val="11"/>
      <color rgb="FF003399"/>
      <name val="Calibri"/>
      <scheme val="minor"/>
    </font>
    <font>
      <sz val="11"/>
      <color theme="1"/>
      <name val="Abadi"/>
    </font>
  </fonts>
  <fills count="27">
    <fill>
      <patternFill patternType="none"/>
    </fill>
    <fill>
      <patternFill patternType="gray125"/>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theme="6" tint="0.79998168889431442"/>
        <bgColor indexed="64"/>
      </patternFill>
    </fill>
    <fill>
      <patternFill patternType="solid">
        <fgColor theme="0"/>
        <bgColor theme="0"/>
      </patternFill>
    </fill>
    <fill>
      <patternFill patternType="solid">
        <fgColor theme="0"/>
        <bgColor indexed="64"/>
      </patternFill>
    </fill>
    <fill>
      <patternFill patternType="solid">
        <fgColor theme="9" tint="0.59999389629810485"/>
        <bgColor indexed="64"/>
      </patternFill>
    </fill>
    <fill>
      <patternFill patternType="solid">
        <fgColor theme="0"/>
        <bgColor indexed="31"/>
      </patternFill>
    </fill>
    <fill>
      <patternFill patternType="solid">
        <fgColor rgb="FF3366CC"/>
        <bgColor indexed="64"/>
      </patternFill>
    </fill>
    <fill>
      <patternFill patternType="solid">
        <fgColor rgb="FFE2ECF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0070C0"/>
        <bgColor indexed="64"/>
      </patternFill>
    </fill>
    <fill>
      <patternFill patternType="solid">
        <fgColor rgb="FF92D050"/>
        <bgColor indexed="64"/>
      </patternFill>
    </fill>
    <fill>
      <patternFill patternType="solid">
        <fgColor rgb="FFFFFFFF"/>
        <bgColor rgb="FF000000"/>
      </patternFill>
    </fill>
  </fills>
  <borders count="76">
    <border>
      <left/>
      <right/>
      <top/>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ck">
        <color theme="0" tint="-0.499984740745262"/>
      </left>
      <right/>
      <top/>
      <bottom/>
      <diagonal/>
    </border>
    <border>
      <left style="thick">
        <color theme="0" tint="-0.499984740745262"/>
      </left>
      <right/>
      <top/>
      <bottom style="thin">
        <color theme="0" tint="-0.499984740745262"/>
      </bottom>
      <diagonal/>
    </border>
    <border>
      <left/>
      <right/>
      <top/>
      <bottom style="thin">
        <color theme="0" tint="-0.4999847407452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top/>
      <bottom style="thin">
        <color rgb="FF7F7F7F"/>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rgb="FFDEE2E6"/>
      </top>
      <bottom/>
      <diagonal/>
    </border>
    <border>
      <left style="thick">
        <color theme="0" tint="-0.499984740745262"/>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rgb="FF7F7F7F"/>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rgb="FF7F7F7F"/>
      </top>
      <bottom style="thin">
        <color rgb="FF7F7F7F"/>
      </bottom>
      <diagonal/>
    </border>
    <border>
      <left style="thin">
        <color indexed="64"/>
      </left>
      <right style="thin">
        <color indexed="64"/>
      </right>
      <top style="thin">
        <color rgb="FF7F7F7F"/>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indexed="9"/>
      </left>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7">
    <xf numFmtId="0" fontId="0" fillId="0" borderId="0"/>
    <xf numFmtId="0" fontId="2" fillId="0" borderId="0"/>
    <xf numFmtId="0" fontId="2" fillId="0" borderId="0"/>
    <xf numFmtId="0" fontId="4" fillId="0" borderId="0"/>
    <xf numFmtId="0" fontId="12" fillId="0" borderId="0"/>
    <xf numFmtId="9" fontId="34" fillId="0" borderId="0" applyFont="0" applyFill="0" applyBorder="0" applyAlignment="0" applyProtection="0"/>
    <xf numFmtId="0" fontId="2" fillId="0" borderId="0"/>
  </cellStyleXfs>
  <cellXfs count="577">
    <xf numFmtId="0" fontId="0" fillId="0" borderId="0" xfId="0"/>
    <xf numFmtId="0" fontId="4" fillId="0" borderId="0" xfId="3"/>
    <xf numFmtId="0" fontId="6" fillId="0" borderId="0" xfId="3" applyFont="1"/>
    <xf numFmtId="0" fontId="8" fillId="0" borderId="0" xfId="3" applyFont="1"/>
    <xf numFmtId="0" fontId="4" fillId="0" borderId="1" xfId="3" applyBorder="1" applyAlignment="1">
      <alignment horizontal="center" vertical="center"/>
    </xf>
    <xf numFmtId="0" fontId="4" fillId="0" borderId="2" xfId="3" applyBorder="1" applyAlignment="1">
      <alignment horizontal="center" vertical="center"/>
    </xf>
    <xf numFmtId="0" fontId="4" fillId="0" borderId="2" xfId="3" applyBorder="1"/>
    <xf numFmtId="0" fontId="4" fillId="0" borderId="1" xfId="3" applyBorder="1"/>
    <xf numFmtId="0" fontId="9" fillId="0" borderId="0" xfId="3" applyFont="1"/>
    <xf numFmtId="0" fontId="4" fillId="0" borderId="0" xfId="3" applyAlignment="1">
      <alignment horizontal="center" vertical="center"/>
    </xf>
    <xf numFmtId="0" fontId="3" fillId="0" borderId="0" xfId="0" applyFont="1"/>
    <xf numFmtId="0" fontId="4" fillId="0" borderId="0" xfId="3" applyAlignment="1">
      <alignment vertical="center"/>
    </xf>
    <xf numFmtId="0" fontId="7" fillId="0" borderId="0" xfId="3" applyFont="1" applyAlignment="1">
      <alignment horizontal="center" vertical="center" wrapText="1"/>
    </xf>
    <xf numFmtId="0" fontId="5" fillId="12" borderId="0" xfId="3" applyFont="1" applyFill="1" applyAlignment="1">
      <alignment horizontal="center" vertical="center"/>
    </xf>
    <xf numFmtId="0" fontId="11" fillId="16" borderId="0" xfId="0" applyFont="1" applyFill="1" applyAlignment="1">
      <alignment vertical="center" wrapText="1"/>
    </xf>
    <xf numFmtId="0" fontId="2" fillId="0" borderId="0" xfId="0" applyFont="1"/>
    <xf numFmtId="0" fontId="14" fillId="14" borderId="10" xfId="0" applyFont="1" applyFill="1" applyBorder="1" applyAlignment="1">
      <alignment horizontal="center" vertical="center" wrapText="1"/>
    </xf>
    <xf numFmtId="0" fontId="2" fillId="9" borderId="4" xfId="0" applyFont="1" applyFill="1" applyBorder="1" applyAlignment="1" applyProtection="1">
      <alignment vertical="center" wrapText="1"/>
      <protection locked="0"/>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wrapText="1"/>
    </xf>
    <xf numFmtId="0" fontId="14" fillId="10" borderId="12" xfId="0" applyFont="1" applyFill="1" applyBorder="1" applyAlignment="1">
      <alignment horizontal="center" vertical="center" wrapText="1"/>
    </xf>
    <xf numFmtId="0" fontId="16" fillId="16" borderId="0" xfId="0" applyFont="1" applyFill="1" applyAlignment="1">
      <alignment vertical="center" wrapText="1"/>
    </xf>
    <xf numFmtId="0" fontId="0" fillId="0" borderId="0" xfId="0" applyAlignment="1">
      <alignment wrapText="1"/>
    </xf>
    <xf numFmtId="0" fontId="0" fillId="0" borderId="0" xfId="0" applyAlignment="1">
      <alignment horizontal="center" wrapText="1"/>
    </xf>
    <xf numFmtId="0" fontId="21" fillId="0" borderId="0" xfId="0" applyFont="1"/>
    <xf numFmtId="0" fontId="21" fillId="0" borderId="0" xfId="0" applyFont="1" applyAlignment="1">
      <alignment wrapText="1"/>
    </xf>
    <xf numFmtId="0" fontId="2" fillId="0" borderId="18" xfId="0" applyFont="1" applyBorder="1" applyAlignment="1">
      <alignment horizontal="center" vertical="center" wrapText="1"/>
    </xf>
    <xf numFmtId="0" fontId="2" fillId="10" borderId="16" xfId="0" applyFont="1" applyFill="1" applyBorder="1" applyAlignment="1" applyProtection="1">
      <alignment vertical="center" wrapText="1"/>
      <protection locked="0"/>
    </xf>
    <xf numFmtId="0" fontId="20" fillId="9" borderId="16" xfId="0" applyFont="1" applyFill="1" applyBorder="1" applyAlignment="1" applyProtection="1">
      <alignment vertical="center" wrapText="1"/>
      <protection locked="0"/>
    </xf>
    <xf numFmtId="0" fontId="2" fillId="10" borderId="8" xfId="0" applyFont="1" applyFill="1" applyBorder="1" applyAlignment="1" applyProtection="1">
      <alignment vertical="center" wrapText="1"/>
      <protection locked="0"/>
    </xf>
    <xf numFmtId="0" fontId="20" fillId="9" borderId="8" xfId="0" applyFont="1" applyFill="1" applyBorder="1" applyAlignment="1" applyProtection="1">
      <alignment vertical="center" wrapText="1"/>
      <protection locked="0"/>
    </xf>
    <xf numFmtId="0" fontId="3" fillId="0" borderId="5" xfId="0" applyFont="1" applyBorder="1"/>
    <xf numFmtId="0" fontId="3" fillId="0" borderId="4" xfId="0" applyFont="1" applyBorder="1"/>
    <xf numFmtId="0" fontId="3" fillId="0" borderId="6" xfId="0" applyFont="1" applyBorder="1"/>
    <xf numFmtId="0" fontId="22" fillId="0" borderId="33" xfId="0" applyFont="1" applyBorder="1"/>
    <xf numFmtId="0" fontId="23" fillId="0" borderId="33" xfId="0" applyFont="1" applyBorder="1" applyAlignment="1">
      <alignment wrapText="1"/>
    </xf>
    <xf numFmtId="0" fontId="24" fillId="0" borderId="33" xfId="0" applyFont="1" applyBorder="1"/>
    <xf numFmtId="0" fontId="25" fillId="0" borderId="33" xfId="0" applyFont="1" applyBorder="1" applyAlignment="1">
      <alignment wrapText="1"/>
    </xf>
    <xf numFmtId="0" fontId="26" fillId="0" borderId="33" xfId="0" applyFont="1" applyBorder="1" applyAlignment="1">
      <alignment wrapText="1"/>
    </xf>
    <xf numFmtId="0" fontId="27" fillId="0" borderId="33" xfId="0" applyFont="1" applyBorder="1" applyAlignment="1">
      <alignment wrapText="1"/>
    </xf>
    <xf numFmtId="0" fontId="0" fillId="0" borderId="33"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xf numFmtId="0" fontId="0" fillId="20" borderId="0" xfId="0" applyFill="1"/>
    <xf numFmtId="0" fontId="30" fillId="20" borderId="39" xfId="0" applyFont="1" applyFill="1" applyBorder="1" applyAlignment="1">
      <alignment vertical="center" wrapText="1"/>
    </xf>
    <xf numFmtId="0" fontId="15" fillId="0" borderId="32" xfId="0" applyFont="1" applyBorder="1" applyAlignment="1" applyProtection="1">
      <alignment horizontal="justify" vertical="center" wrapText="1"/>
      <protection locked="0"/>
    </xf>
    <xf numFmtId="0" fontId="14" fillId="8" borderId="12" xfId="0" applyFont="1" applyFill="1" applyBorder="1" applyAlignment="1">
      <alignment horizontal="center" vertical="center" wrapText="1"/>
    </xf>
    <xf numFmtId="0" fontId="14" fillId="14" borderId="16" xfId="0" applyFont="1" applyFill="1" applyBorder="1" applyAlignment="1">
      <alignment horizontal="center" vertical="center" wrapText="1"/>
    </xf>
    <xf numFmtId="0" fontId="35" fillId="21" borderId="0" xfId="0" applyFont="1" applyFill="1"/>
    <xf numFmtId="0" fontId="0" fillId="14" borderId="0" xfId="0" applyFill="1"/>
    <xf numFmtId="0" fontId="11" fillId="0" borderId="12" xfId="0" applyFont="1" applyBorder="1" applyAlignment="1" applyProtection="1">
      <alignment vertical="center" wrapText="1"/>
      <protection locked="0"/>
    </xf>
    <xf numFmtId="0" fontId="11" fillId="0" borderId="8" xfId="0" applyFont="1" applyBorder="1" applyAlignment="1" applyProtection="1">
      <alignment vertical="center" wrapText="1"/>
      <protection locked="0"/>
    </xf>
    <xf numFmtId="0" fontId="14" fillId="14" borderId="30" xfId="0" applyFont="1" applyFill="1" applyBorder="1" applyAlignment="1">
      <alignment horizontal="center" vertical="center" wrapText="1"/>
    </xf>
    <xf numFmtId="0" fontId="20" fillId="9" borderId="12" xfId="0" applyFont="1" applyFill="1" applyBorder="1" applyAlignment="1" applyProtection="1">
      <alignment vertical="center" wrapText="1"/>
      <protection locked="0"/>
    </xf>
    <xf numFmtId="0" fontId="2" fillId="9" borderId="12" xfId="0" applyFont="1" applyFill="1" applyBorder="1" applyAlignment="1" applyProtection="1">
      <alignment vertical="center" wrapText="1"/>
      <protection locked="0"/>
    </xf>
    <xf numFmtId="0" fontId="2" fillId="0" borderId="12" xfId="0" applyFont="1" applyBorder="1" applyProtection="1">
      <protection locked="0"/>
    </xf>
    <xf numFmtId="0" fontId="14" fillId="8" borderId="16" xfId="0" applyFont="1" applyFill="1" applyBorder="1" applyAlignment="1">
      <alignment vertical="center" wrapText="1"/>
    </xf>
    <xf numFmtId="0" fontId="15" fillId="0" borderId="43" xfId="0" applyFont="1" applyBorder="1" applyAlignment="1" applyProtection="1">
      <alignment horizontal="justify" vertical="center" wrapText="1"/>
      <protection locked="0"/>
    </xf>
    <xf numFmtId="0" fontId="15" fillId="0" borderId="4" xfId="0" applyFont="1" applyBorder="1" applyAlignment="1" applyProtection="1">
      <alignment horizontal="justify" vertical="center" wrapText="1"/>
      <protection locked="0"/>
    </xf>
    <xf numFmtId="0" fontId="2" fillId="0" borderId="4" xfId="0" applyFont="1" applyBorder="1" applyAlignment="1" applyProtection="1">
      <alignment vertical="center" wrapText="1"/>
      <protection locked="0"/>
    </xf>
    <xf numFmtId="0" fontId="2" fillId="0" borderId="4" xfId="0" applyFont="1" applyBorder="1" applyAlignment="1" applyProtection="1">
      <alignment horizontal="center" vertical="center" wrapText="1"/>
      <protection locked="0"/>
    </xf>
    <xf numFmtId="0" fontId="2" fillId="0" borderId="44" xfId="0" applyFont="1" applyBorder="1" applyAlignment="1">
      <alignment horizontal="center" vertical="center" wrapText="1"/>
    </xf>
    <xf numFmtId="0" fontId="14" fillId="8" borderId="25" xfId="0" applyFont="1" applyFill="1" applyBorder="1" applyAlignment="1">
      <alignment vertical="center" wrapText="1"/>
    </xf>
    <xf numFmtId="0" fontId="11" fillId="0" borderId="47" xfId="0" applyFont="1" applyBorder="1" applyAlignment="1" applyProtection="1">
      <alignment vertical="center" wrapText="1"/>
      <protection locked="0"/>
    </xf>
    <xf numFmtId="0" fontId="2" fillId="9" borderId="8" xfId="0" applyFont="1" applyFill="1" applyBorder="1" applyAlignment="1" applyProtection="1">
      <alignment vertical="center" wrapText="1"/>
      <protection locked="0"/>
    </xf>
    <xf numFmtId="0" fontId="15" fillId="0" borderId="8" xfId="0" applyFont="1" applyBorder="1" applyAlignment="1" applyProtection="1">
      <alignment horizontal="justify" vertical="center" wrapText="1"/>
      <protection locked="0"/>
    </xf>
    <xf numFmtId="0" fontId="2" fillId="0" borderId="8" xfId="0" applyFont="1" applyBorder="1" applyAlignment="1" applyProtection="1">
      <alignment vertical="center" wrapText="1"/>
      <protection locked="0"/>
    </xf>
    <xf numFmtId="0" fontId="2" fillId="0" borderId="8" xfId="0" applyFont="1" applyBorder="1" applyAlignment="1" applyProtection="1">
      <alignment horizontal="center" vertical="center" wrapText="1"/>
      <protection locked="0"/>
    </xf>
    <xf numFmtId="0" fontId="2" fillId="0" borderId="24" xfId="0" applyFont="1" applyBorder="1" applyAlignment="1">
      <alignment horizontal="center" vertical="center" wrapText="1"/>
    </xf>
    <xf numFmtId="0" fontId="14" fillId="8" borderId="8" xfId="0" applyFont="1" applyFill="1" applyBorder="1" applyAlignment="1">
      <alignment vertical="center" wrapText="1"/>
    </xf>
    <xf numFmtId="0" fontId="15" fillId="0" borderId="50" xfId="0" applyFont="1" applyBorder="1" applyAlignment="1" applyProtection="1">
      <alignment horizontal="justify" vertical="center" wrapText="1"/>
      <protection locked="0"/>
    </xf>
    <xf numFmtId="0" fontId="15" fillId="0" borderId="51" xfId="0" applyFont="1" applyBorder="1" applyAlignment="1" applyProtection="1">
      <alignment horizontal="justify" vertical="center" wrapText="1"/>
      <protection locked="0"/>
    </xf>
    <xf numFmtId="0" fontId="0" fillId="0" borderId="0" xfId="0" applyAlignment="1">
      <alignment vertical="center"/>
    </xf>
    <xf numFmtId="0" fontId="3" fillId="0" borderId="0" xfId="0" applyFont="1" applyAlignment="1">
      <alignment vertical="center"/>
    </xf>
    <xf numFmtId="0" fontId="36" fillId="0" borderId="0" xfId="0" applyFont="1"/>
    <xf numFmtId="0" fontId="14" fillId="8" borderId="49" xfId="0" applyFont="1" applyFill="1" applyBorder="1" applyAlignment="1">
      <alignment horizontal="center" vertical="center" wrapText="1"/>
    </xf>
    <xf numFmtId="0" fontId="14" fillId="10" borderId="54" xfId="0" applyFont="1" applyFill="1" applyBorder="1" applyAlignment="1">
      <alignment horizontal="center" vertical="center" wrapText="1"/>
    </xf>
    <xf numFmtId="0" fontId="0" fillId="0" borderId="52" xfId="0" applyBorder="1"/>
    <xf numFmtId="1" fontId="0" fillId="0" borderId="0" xfId="0" applyNumberFormat="1"/>
    <xf numFmtId="0" fontId="0" fillId="0" borderId="0" xfId="5" applyNumberFormat="1" applyFont="1"/>
    <xf numFmtId="0" fontId="40" fillId="23" borderId="9" xfId="0" applyFont="1" applyFill="1" applyBorder="1" applyAlignment="1" applyProtection="1">
      <alignment horizontal="center"/>
      <protection hidden="1"/>
    </xf>
    <xf numFmtId="0" fontId="41" fillId="0" borderId="59" xfId="0" applyFont="1" applyBorder="1" applyAlignment="1" applyProtection="1">
      <alignment horizontal="center" vertical="center"/>
      <protection hidden="1"/>
    </xf>
    <xf numFmtId="0" fontId="41" fillId="0" borderId="0" xfId="0" applyFont="1" applyAlignment="1" applyProtection="1">
      <alignment horizontal="center" vertical="center"/>
      <protection hidden="1"/>
    </xf>
    <xf numFmtId="0" fontId="41" fillId="0" borderId="12" xfId="0" applyFont="1" applyBorder="1" applyAlignment="1" applyProtection="1">
      <alignment horizontal="center" vertical="center" wrapText="1"/>
      <protection hidden="1"/>
    </xf>
    <xf numFmtId="0" fontId="41" fillId="0" borderId="60" xfId="0" applyFont="1" applyBorder="1" applyAlignment="1" applyProtection="1">
      <alignment horizontal="center" vertical="center" wrapText="1"/>
      <protection hidden="1"/>
    </xf>
    <xf numFmtId="0" fontId="41" fillId="0" borderId="33" xfId="0" applyFont="1" applyBorder="1" applyAlignment="1" applyProtection="1">
      <alignment horizontal="center" vertical="center"/>
      <protection hidden="1"/>
    </xf>
    <xf numFmtId="0" fontId="41" fillId="0" borderId="3" xfId="0" applyFont="1" applyBorder="1" applyAlignment="1" applyProtection="1">
      <alignment horizontal="center" vertical="center" wrapText="1"/>
      <protection hidden="1"/>
    </xf>
    <xf numFmtId="0" fontId="41" fillId="0" borderId="7" xfId="0" applyFont="1" applyBorder="1" applyAlignment="1" applyProtection="1">
      <alignment horizontal="center" vertical="center"/>
      <protection hidden="1"/>
    </xf>
    <xf numFmtId="0" fontId="41" fillId="0" borderId="8" xfId="0" applyFont="1" applyBorder="1" applyAlignment="1" applyProtection="1">
      <alignment horizontal="center" vertical="center"/>
      <protection hidden="1"/>
    </xf>
    <xf numFmtId="0" fontId="41" fillId="0" borderId="8" xfId="0" applyFont="1" applyBorder="1" applyAlignment="1" applyProtection="1">
      <alignment horizontal="center" vertical="center" wrapText="1"/>
      <protection hidden="1"/>
    </xf>
    <xf numFmtId="0" fontId="41" fillId="0" borderId="9" xfId="0" applyFont="1" applyBorder="1" applyAlignment="1" applyProtection="1">
      <alignment horizontal="center" vertical="center" wrapText="1"/>
      <protection hidden="1"/>
    </xf>
    <xf numFmtId="0" fontId="2" fillId="0" borderId="42"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52"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11" fillId="0" borderId="4" xfId="0" applyFont="1" applyBorder="1" applyAlignment="1" applyProtection="1">
      <alignment vertical="center" wrapText="1"/>
      <protection locked="0"/>
    </xf>
    <xf numFmtId="0" fontId="15" fillId="0" borderId="0" xfId="0" applyFont="1" applyAlignment="1" applyProtection="1">
      <alignment horizontal="justify" vertical="center" wrapText="1"/>
      <protection locked="0"/>
    </xf>
    <xf numFmtId="0" fontId="15" fillId="0" borderId="12" xfId="0" applyFont="1" applyBorder="1" applyAlignment="1" applyProtection="1">
      <alignment horizontal="justify" vertical="center"/>
      <protection locked="0"/>
    </xf>
    <xf numFmtId="0" fontId="20" fillId="9" borderId="4" xfId="0" applyFont="1" applyFill="1" applyBorder="1" applyAlignment="1" applyProtection="1">
      <alignment vertical="center" wrapText="1"/>
      <protection locked="0"/>
    </xf>
    <xf numFmtId="0" fontId="21" fillId="25" borderId="0" xfId="0" applyFont="1" applyFill="1" applyAlignment="1">
      <alignment wrapText="1"/>
    </xf>
    <xf numFmtId="0" fontId="2" fillId="9" borderId="12" xfId="0" applyFont="1" applyFill="1" applyBorder="1" applyAlignment="1" applyProtection="1">
      <alignment horizontal="justify" vertical="center" wrapText="1"/>
      <protection locked="0"/>
    </xf>
    <xf numFmtId="0" fontId="2" fillId="9" borderId="8" xfId="0" applyFont="1" applyFill="1" applyBorder="1" applyAlignment="1" applyProtection="1">
      <alignment horizontal="justify" vertical="center" wrapText="1"/>
      <protection locked="0"/>
    </xf>
    <xf numFmtId="0" fontId="2" fillId="9" borderId="4" xfId="0" applyFont="1" applyFill="1" applyBorder="1" applyAlignment="1" applyProtection="1">
      <alignment horizontal="justify" vertical="center" wrapText="1"/>
      <protection locked="0"/>
    </xf>
    <xf numFmtId="0" fontId="2" fillId="0" borderId="12" xfId="0" applyFont="1" applyBorder="1" applyAlignment="1" applyProtection="1">
      <alignment horizontal="center" vertical="center" wrapText="1"/>
      <protection locked="0"/>
    </xf>
    <xf numFmtId="0" fontId="2" fillId="9" borderId="16" xfId="0" applyFont="1" applyFill="1" applyBorder="1" applyAlignment="1" applyProtection="1">
      <alignment horizontal="justify" vertical="center" wrapText="1"/>
      <protection locked="0"/>
    </xf>
    <xf numFmtId="0" fontId="14" fillId="8" borderId="11"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40" fillId="23" borderId="8" xfId="0" applyFont="1" applyFill="1" applyBorder="1" applyAlignment="1" applyProtection="1">
      <alignment horizontal="center"/>
      <protection hidden="1"/>
    </xf>
    <xf numFmtId="0" fontId="21" fillId="0" borderId="61" xfId="0" applyFont="1" applyBorder="1"/>
    <xf numFmtId="0" fontId="21" fillId="25" borderId="61" xfId="0" applyFont="1" applyFill="1" applyBorder="1" applyAlignment="1">
      <alignment wrapText="1"/>
    </xf>
    <xf numFmtId="0" fontId="21" fillId="0" borderId="61" xfId="0" applyFont="1" applyBorder="1" applyAlignment="1">
      <alignment wrapText="1"/>
    </xf>
    <xf numFmtId="0" fontId="21" fillId="24" borderId="61" xfId="0" applyFont="1" applyFill="1" applyBorder="1" applyAlignment="1">
      <alignment wrapText="1"/>
    </xf>
    <xf numFmtId="0" fontId="17" fillId="15" borderId="61" xfId="0" applyFont="1" applyFill="1" applyBorder="1" applyAlignment="1">
      <alignment horizontal="left" vertical="center" wrapText="1"/>
    </xf>
    <xf numFmtId="0" fontId="4" fillId="0" borderId="62" xfId="3" applyBorder="1"/>
    <xf numFmtId="0" fontId="9" fillId="6" borderId="63" xfId="3" applyFont="1" applyFill="1" applyBorder="1" applyAlignment="1">
      <alignment horizontal="center" vertical="center"/>
    </xf>
    <xf numFmtId="0" fontId="7" fillId="0" borderId="64" xfId="3" applyFont="1" applyBorder="1"/>
    <xf numFmtId="0" fontId="7" fillId="0" borderId="62" xfId="3" applyFont="1" applyBorder="1"/>
    <xf numFmtId="0" fontId="9" fillId="7" borderId="63" xfId="3" applyFont="1" applyFill="1" applyBorder="1" applyAlignment="1">
      <alignment horizontal="center" vertical="center"/>
    </xf>
    <xf numFmtId="0" fontId="9" fillId="4" borderId="63" xfId="3" applyFont="1" applyFill="1" applyBorder="1" applyAlignment="1">
      <alignment horizontal="center" vertical="center"/>
    </xf>
    <xf numFmtId="0" fontId="9" fillId="0" borderId="65" xfId="3" applyFont="1" applyBorder="1"/>
    <xf numFmtId="0" fontId="9" fillId="3" borderId="63" xfId="3" applyFont="1" applyFill="1" applyBorder="1" applyAlignment="1">
      <alignment horizontal="center" vertical="center"/>
    </xf>
    <xf numFmtId="0" fontId="4" fillId="0" borderId="66" xfId="3" applyBorder="1"/>
    <xf numFmtId="0" fontId="4" fillId="0" borderId="66" xfId="3"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52" fillId="0" borderId="0" xfId="0" applyFont="1"/>
    <xf numFmtId="0" fontId="52" fillId="21" borderId="0" xfId="0" applyFont="1" applyFill="1"/>
    <xf numFmtId="0" fontId="52" fillId="25" borderId="0" xfId="0" applyFont="1" applyFill="1"/>
    <xf numFmtId="0" fontId="52" fillId="17" borderId="0" xfId="0" applyFont="1" applyFill="1"/>
    <xf numFmtId="0" fontId="53" fillId="16" borderId="0" xfId="0" applyFont="1" applyFill="1"/>
    <xf numFmtId="0" fontId="22" fillId="0" borderId="3" xfId="0" applyFont="1" applyBorder="1" applyAlignment="1">
      <alignment vertical="center" wrapText="1"/>
    </xf>
    <xf numFmtId="0" fontId="23" fillId="0" borderId="3" xfId="0" applyFont="1" applyBorder="1" applyAlignment="1">
      <alignment vertical="center" wrapText="1"/>
    </xf>
    <xf numFmtId="0" fontId="24" fillId="0" borderId="3" xfId="0" applyFont="1" applyBorder="1" applyAlignment="1">
      <alignment vertical="center" wrapText="1"/>
    </xf>
    <xf numFmtId="0" fontId="25" fillId="0" borderId="3" xfId="0" applyFont="1" applyBorder="1" applyAlignment="1">
      <alignment vertical="center" wrapText="1"/>
    </xf>
    <xf numFmtId="0" fontId="26" fillId="0" borderId="3" xfId="0" applyFont="1" applyBorder="1" applyAlignment="1">
      <alignment vertical="center" wrapText="1"/>
    </xf>
    <xf numFmtId="0" fontId="27" fillId="0" borderId="3" xfId="0" applyFont="1" applyBorder="1" applyAlignment="1">
      <alignment vertical="center" wrapText="1"/>
    </xf>
    <xf numFmtId="0" fontId="0" fillId="0" borderId="3" xfId="0" applyBorder="1" applyAlignment="1">
      <alignment vertical="center"/>
    </xf>
    <xf numFmtId="0" fontId="2" fillId="10" borderId="18" xfId="0" applyFont="1" applyFill="1" applyBorder="1" applyAlignment="1">
      <alignment horizontal="center" vertical="center" wrapText="1"/>
    </xf>
    <xf numFmtId="0" fontId="0" fillId="0" borderId="0" xfId="0" applyAlignment="1">
      <alignment vertical="center" wrapText="1"/>
    </xf>
    <xf numFmtId="14" fontId="0" fillId="0" borderId="0" xfId="0" applyNumberFormat="1" applyAlignment="1">
      <alignment vertical="center" wrapText="1"/>
    </xf>
    <xf numFmtId="0" fontId="14" fillId="8" borderId="16" xfId="0" applyFont="1" applyFill="1" applyBorder="1" applyAlignment="1">
      <alignment horizontal="center" vertical="center" wrapText="1"/>
    </xf>
    <xf numFmtId="0" fontId="14" fillId="10" borderId="16" xfId="0" applyFont="1" applyFill="1" applyBorder="1" applyAlignment="1">
      <alignment horizontal="center" vertical="center" wrapText="1"/>
    </xf>
    <xf numFmtId="0" fontId="54" fillId="0" borderId="32" xfId="0" applyFont="1" applyBorder="1" applyAlignment="1" applyProtection="1">
      <alignment horizontal="center" vertical="center" wrapText="1"/>
      <protection locked="0"/>
    </xf>
    <xf numFmtId="0" fontId="0" fillId="0" borderId="8" xfId="0" applyBorder="1" applyAlignment="1">
      <alignment vertical="center" wrapText="1"/>
    </xf>
    <xf numFmtId="0" fontId="2" fillId="8" borderId="16" xfId="0" applyFont="1" applyFill="1" applyBorder="1" applyAlignment="1">
      <alignment horizontal="center" vertical="center" wrapText="1"/>
    </xf>
    <xf numFmtId="0" fontId="15" fillId="10" borderId="32" xfId="0" applyFont="1" applyFill="1" applyBorder="1" applyAlignment="1" applyProtection="1">
      <alignment horizontal="justify" vertical="center" wrapText="1"/>
      <protection locked="0"/>
    </xf>
    <xf numFmtId="0" fontId="0" fillId="0" borderId="12" xfId="0" applyBorder="1" applyAlignment="1">
      <alignment vertical="center" wrapText="1"/>
    </xf>
    <xf numFmtId="14" fontId="0" fillId="0" borderId="12" xfId="0" applyNumberFormat="1" applyBorder="1" applyAlignment="1">
      <alignment vertical="center" wrapText="1"/>
    </xf>
    <xf numFmtId="0" fontId="0" fillId="10" borderId="16" xfId="0" applyFill="1" applyBorder="1" applyAlignment="1">
      <alignment vertical="center" wrapText="1"/>
    </xf>
    <xf numFmtId="0" fontId="0" fillId="10" borderId="12" xfId="0" applyFill="1" applyBorder="1" applyAlignment="1">
      <alignment vertical="center" wrapText="1"/>
    </xf>
    <xf numFmtId="0" fontId="2" fillId="0" borderId="32" xfId="0" applyFont="1" applyBorder="1" applyAlignment="1" applyProtection="1">
      <alignment horizontal="justify" vertical="center" wrapText="1"/>
      <protection locked="0"/>
    </xf>
    <xf numFmtId="0" fontId="15" fillId="0" borderId="14" xfId="0" applyFont="1" applyBorder="1" applyAlignment="1" applyProtection="1">
      <alignment horizontal="justify" vertical="center" wrapText="1"/>
      <protection locked="0"/>
    </xf>
    <xf numFmtId="0" fontId="54" fillId="0" borderId="4" xfId="0" applyFont="1" applyBorder="1" applyAlignment="1">
      <alignment vertical="center" wrapText="1"/>
    </xf>
    <xf numFmtId="0" fontId="60"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wrapText="1"/>
    </xf>
    <xf numFmtId="0" fontId="54" fillId="0" borderId="12" xfId="0" applyFont="1" applyBorder="1" applyAlignment="1">
      <alignment horizontal="center" vertical="center" wrapText="1"/>
    </xf>
    <xf numFmtId="0" fontId="0" fillId="10" borderId="68" xfId="0" applyFill="1" applyBorder="1" applyAlignment="1">
      <alignment vertical="center" wrapText="1"/>
    </xf>
    <xf numFmtId="0" fontId="67" fillId="0" borderId="68" xfId="0" applyFont="1" applyBorder="1" applyAlignment="1">
      <alignment horizontal="left" vertical="center" wrapText="1"/>
    </xf>
    <xf numFmtId="0" fontId="54" fillId="0" borderId="4" xfId="0" applyFont="1" applyBorder="1" applyAlignment="1">
      <alignment horizontal="justify" vertical="center" wrapText="1"/>
    </xf>
    <xf numFmtId="0" fontId="54" fillId="0" borderId="4" xfId="0" applyFont="1" applyBorder="1" applyAlignment="1">
      <alignment horizontal="center" vertical="center" wrapText="1"/>
    </xf>
    <xf numFmtId="14" fontId="54" fillId="0" borderId="4" xfId="0" applyNumberFormat="1" applyFont="1" applyBorder="1" applyAlignment="1">
      <alignment horizontal="center" vertical="center" wrapText="1"/>
    </xf>
    <xf numFmtId="0" fontId="0" fillId="0" borderId="4" xfId="0" applyBorder="1" applyAlignment="1">
      <alignment horizontal="justify" vertical="center" wrapText="1"/>
    </xf>
    <xf numFmtId="0" fontId="13" fillId="13" borderId="69" xfId="0" applyFont="1" applyFill="1" applyBorder="1" applyAlignment="1">
      <alignment horizontal="center" vertical="center" wrapText="1"/>
    </xf>
    <xf numFmtId="0" fontId="13" fillId="13" borderId="70" xfId="0" applyFont="1" applyFill="1" applyBorder="1" applyAlignment="1">
      <alignment horizontal="center" vertical="center" wrapText="1"/>
    </xf>
    <xf numFmtId="0" fontId="13" fillId="13" borderId="71" xfId="0" applyFont="1" applyFill="1" applyBorder="1" applyAlignment="1">
      <alignment horizontal="center" vertical="center" wrapText="1"/>
    </xf>
    <xf numFmtId="0" fontId="14" fillId="14" borderId="74" xfId="0" applyFont="1" applyFill="1" applyBorder="1" applyAlignment="1">
      <alignment horizontal="center" vertical="center" textRotation="90" wrapText="1"/>
    </xf>
    <xf numFmtId="0" fontId="2" fillId="8" borderId="74" xfId="0" applyFont="1" applyFill="1" applyBorder="1" applyAlignment="1">
      <alignment horizontal="center" vertical="center" wrapText="1"/>
    </xf>
    <xf numFmtId="0" fontId="14" fillId="8" borderId="74" xfId="0" applyFont="1" applyFill="1" applyBorder="1" applyAlignment="1">
      <alignment vertical="center" wrapText="1"/>
    </xf>
    <xf numFmtId="0" fontId="2" fillId="0" borderId="74" xfId="0" applyFont="1" applyBorder="1" applyProtection="1">
      <protection locked="0"/>
    </xf>
    <xf numFmtId="0" fontId="48" fillId="0" borderId="71" xfId="0" applyFont="1" applyBorder="1" applyAlignment="1">
      <alignment wrapText="1"/>
    </xf>
    <xf numFmtId="0" fontId="14" fillId="14" borderId="74" xfId="0" applyFont="1" applyFill="1" applyBorder="1" applyAlignment="1">
      <alignment horizontal="center" vertical="center" wrapText="1"/>
    </xf>
    <xf numFmtId="0" fontId="14" fillId="14" borderId="69" xfId="0" applyFont="1" applyFill="1" applyBorder="1" applyAlignment="1">
      <alignment horizontal="center" vertical="center" wrapText="1"/>
    </xf>
    <xf numFmtId="0" fontId="0" fillId="0" borderId="74" xfId="0" applyBorder="1" applyAlignment="1" applyProtection="1">
      <alignment horizontal="left" vertical="center" wrapText="1"/>
      <protection locked="0"/>
    </xf>
    <xf numFmtId="0" fontId="14" fillId="10" borderId="74" xfId="0" applyFont="1" applyFill="1" applyBorder="1" applyAlignment="1">
      <alignment horizontal="center" vertical="center" wrapText="1"/>
    </xf>
    <xf numFmtId="0" fontId="14" fillId="10" borderId="74" xfId="0" applyFont="1" applyFill="1" applyBorder="1" applyAlignment="1" applyProtection="1">
      <alignment horizontal="center" vertical="center" wrapText="1"/>
      <protection locked="0"/>
    </xf>
    <xf numFmtId="0" fontId="20" fillId="9" borderId="74" xfId="0" applyFont="1" applyFill="1" applyBorder="1" applyAlignment="1" applyProtection="1">
      <alignment horizontal="center" vertical="center" wrapText="1"/>
      <protection locked="0"/>
    </xf>
    <xf numFmtId="0" fontId="2" fillId="10" borderId="74" xfId="0" applyFont="1" applyFill="1" applyBorder="1" applyAlignment="1" applyProtection="1">
      <alignment horizontal="center" vertical="center" wrapText="1"/>
      <protection locked="0"/>
    </xf>
    <xf numFmtId="0" fontId="54" fillId="0" borderId="74" xfId="0" applyFont="1" applyBorder="1" applyAlignment="1">
      <alignment horizontal="justify" vertical="center" wrapText="1"/>
    </xf>
    <xf numFmtId="0" fontId="2" fillId="9" borderId="74" xfId="0" applyFont="1" applyFill="1" applyBorder="1" applyAlignment="1" applyProtection="1">
      <alignment horizontal="center" vertical="center" wrapText="1"/>
      <protection locked="0"/>
    </xf>
    <xf numFmtId="0" fontId="0" fillId="10" borderId="74" xfId="0" applyFill="1" applyBorder="1" applyAlignment="1">
      <alignment vertical="center" wrapText="1"/>
    </xf>
    <xf numFmtId="0" fontId="2" fillId="10" borderId="74" xfId="0" applyFont="1" applyFill="1" applyBorder="1" applyAlignment="1">
      <alignment horizontal="justify" vertical="center" wrapText="1"/>
    </xf>
    <xf numFmtId="0" fontId="11" fillId="0" borderId="74" xfId="0" applyFont="1" applyBorder="1" applyAlignment="1" applyProtection="1">
      <alignment vertical="center" wrapText="1"/>
      <protection locked="0"/>
    </xf>
    <xf numFmtId="0" fontId="2" fillId="0" borderId="74" xfId="0" applyFont="1" applyBorder="1" applyAlignment="1" applyProtection="1">
      <alignment vertical="center"/>
      <protection locked="0"/>
    </xf>
    <xf numFmtId="0" fontId="2" fillId="0" borderId="74" xfId="0" applyFont="1" applyBorder="1" applyAlignment="1" applyProtection="1">
      <alignment horizontal="center" vertical="center" wrapText="1"/>
      <protection locked="0"/>
    </xf>
    <xf numFmtId="0" fontId="2" fillId="9" borderId="74" xfId="0" applyFont="1" applyFill="1" applyBorder="1" applyAlignment="1" applyProtection="1">
      <alignment vertical="center" wrapText="1"/>
      <protection locked="0"/>
    </xf>
    <xf numFmtId="0" fontId="54" fillId="0" borderId="74" xfId="0" applyFont="1" applyBorder="1" applyAlignment="1">
      <alignment vertical="center" wrapText="1"/>
    </xf>
    <xf numFmtId="14" fontId="54" fillId="0" borderId="74" xfId="0" applyNumberFormat="1" applyFont="1" applyBorder="1" applyAlignment="1">
      <alignment vertical="center" wrapText="1"/>
    </xf>
    <xf numFmtId="0" fontId="2" fillId="10" borderId="74" xfId="0" applyFont="1" applyFill="1" applyBorder="1" applyAlignment="1" applyProtection="1">
      <alignment horizontal="center" vertical="center"/>
      <protection locked="0"/>
    </xf>
    <xf numFmtId="0" fontId="14" fillId="14" borderId="74" xfId="0" applyFont="1" applyFill="1" applyBorder="1" applyAlignment="1" applyProtection="1">
      <alignment horizontal="center" vertical="center" textRotation="90" wrapText="1"/>
      <protection locked="0" hidden="1"/>
    </xf>
    <xf numFmtId="0" fontId="2" fillId="0" borderId="71" xfId="0" applyFont="1" applyBorder="1" applyAlignment="1" applyProtection="1">
      <alignment horizontal="center" vertical="center" wrapText="1"/>
      <protection locked="0"/>
    </xf>
    <xf numFmtId="0" fontId="0" fillId="0" borderId="71" xfId="0" applyBorder="1"/>
    <xf numFmtId="0" fontId="0" fillId="0" borderId="69" xfId="0" applyBorder="1"/>
    <xf numFmtId="0" fontId="0" fillId="14" borderId="69" xfId="0" applyFill="1" applyBorder="1"/>
    <xf numFmtId="0" fontId="14" fillId="14" borderId="67" xfId="0" applyFont="1" applyFill="1" applyBorder="1" applyAlignment="1">
      <alignment horizontal="center" vertical="center" textRotation="90" wrapText="1"/>
    </xf>
    <xf numFmtId="0" fontId="14" fillId="14" borderId="67" xfId="0" applyFont="1" applyFill="1" applyBorder="1" applyAlignment="1">
      <alignment horizontal="center" vertical="center" wrapText="1"/>
    </xf>
    <xf numFmtId="0" fontId="14" fillId="14" borderId="67" xfId="0" applyFont="1" applyFill="1" applyBorder="1" applyAlignment="1">
      <alignment horizontal="center" vertical="center"/>
    </xf>
    <xf numFmtId="0" fontId="46" fillId="0" borderId="67" xfId="0" applyFont="1" applyBorder="1" applyAlignment="1" applyProtection="1">
      <alignment horizontal="center" vertical="center" wrapText="1"/>
      <protection locked="0"/>
    </xf>
    <xf numFmtId="0" fontId="46" fillId="0" borderId="67" xfId="0" applyFont="1" applyBorder="1" applyAlignment="1" applyProtection="1">
      <alignment horizontal="justify" vertical="center" wrapText="1"/>
      <protection locked="0"/>
    </xf>
    <xf numFmtId="0" fontId="46" fillId="0" borderId="67" xfId="0" applyFont="1" applyBorder="1" applyAlignment="1" applyProtection="1">
      <alignment vertical="center" wrapText="1"/>
      <protection locked="0"/>
    </xf>
    <xf numFmtId="0" fontId="46" fillId="0" borderId="67" xfId="0" applyFont="1" applyBorder="1" applyAlignment="1" applyProtection="1">
      <alignment wrapText="1"/>
      <protection locked="0"/>
    </xf>
    <xf numFmtId="0" fontId="47" fillId="0" borderId="67" xfId="0" applyFont="1" applyBorder="1" applyAlignment="1" applyProtection="1">
      <alignment horizontal="justify" vertical="center"/>
      <protection locked="0"/>
    </xf>
    <xf numFmtId="0" fontId="48" fillId="0" borderId="67" xfId="0" applyFont="1" applyBorder="1" applyAlignment="1" applyProtection="1">
      <alignment vertical="center" wrapText="1"/>
      <protection locked="0"/>
    </xf>
    <xf numFmtId="0" fontId="2" fillId="0" borderId="67" xfId="0" applyFont="1" applyBorder="1" applyAlignment="1" applyProtection="1">
      <alignment horizontal="center" vertical="center" wrapText="1"/>
      <protection locked="0"/>
    </xf>
    <xf numFmtId="0" fontId="14" fillId="10" borderId="67" xfId="0" applyFont="1" applyFill="1" applyBorder="1" applyAlignment="1" applyProtection="1">
      <alignment horizontal="center" vertical="center" wrapText="1"/>
      <protection locked="0"/>
    </xf>
    <xf numFmtId="0" fontId="14" fillId="10" borderId="67" xfId="0" applyFont="1" applyFill="1" applyBorder="1" applyAlignment="1">
      <alignment horizontal="center" vertical="center" wrapText="1"/>
    </xf>
    <xf numFmtId="0" fontId="2" fillId="0" borderId="67" xfId="0" applyFont="1" applyBorder="1" applyAlignment="1">
      <alignment horizontal="center" vertical="center" wrapText="1"/>
    </xf>
    <xf numFmtId="0" fontId="15" fillId="0" borderId="67" xfId="0" applyFont="1" applyBorder="1" applyAlignment="1" applyProtection="1">
      <alignment horizontal="justify" vertical="center"/>
      <protection locked="0"/>
    </xf>
    <xf numFmtId="0" fontId="2" fillId="0" borderId="67" xfId="0" applyFont="1" applyBorder="1" applyAlignment="1" applyProtection="1">
      <alignment vertical="center" wrapText="1"/>
      <protection locked="0"/>
    </xf>
    <xf numFmtId="0" fontId="46" fillId="0" borderId="67" xfId="0" applyFont="1" applyBorder="1" applyAlignment="1" applyProtection="1">
      <alignment horizontal="left" vertical="center" wrapText="1"/>
      <protection locked="0"/>
    </xf>
    <xf numFmtId="0" fontId="2" fillId="0" borderId="67" xfId="0" applyFont="1" applyBorder="1" applyProtection="1">
      <protection locked="0"/>
    </xf>
    <xf numFmtId="0" fontId="46" fillId="0" borderId="67" xfId="0" applyFont="1" applyBorder="1" applyAlignment="1" applyProtection="1">
      <alignment horizontal="justify" vertical="center"/>
      <protection locked="0"/>
    </xf>
    <xf numFmtId="0" fontId="46" fillId="0" borderId="67" xfId="0" applyFont="1" applyBorder="1" applyProtection="1">
      <protection locked="0"/>
    </xf>
    <xf numFmtId="0" fontId="46" fillId="10" borderId="67" xfId="0" applyFont="1" applyFill="1" applyBorder="1" applyAlignment="1" applyProtection="1">
      <alignment wrapText="1"/>
      <protection locked="0"/>
    </xf>
    <xf numFmtId="0" fontId="46" fillId="10" borderId="67" xfId="0" applyFont="1" applyFill="1" applyBorder="1" applyAlignment="1" applyProtection="1">
      <alignment vertical="center" wrapText="1"/>
      <protection locked="0"/>
    </xf>
    <xf numFmtId="0" fontId="46" fillId="10" borderId="67" xfId="0" applyFont="1" applyFill="1" applyBorder="1" applyAlignment="1" applyProtection="1">
      <alignment horizontal="center" vertical="center" wrapText="1"/>
      <protection locked="0"/>
    </xf>
    <xf numFmtId="0" fontId="46" fillId="0" borderId="67" xfId="0" applyFont="1" applyBorder="1" applyAlignment="1">
      <alignment horizontal="justify" vertical="center" wrapText="1"/>
    </xf>
    <xf numFmtId="0" fontId="2" fillId="9" borderId="67" xfId="0" applyFont="1" applyFill="1" applyBorder="1" applyAlignment="1" applyProtection="1">
      <alignment vertical="center" wrapText="1"/>
      <protection locked="0"/>
    </xf>
    <xf numFmtId="0" fontId="46" fillId="0" borderId="67" xfId="0" applyFont="1" applyBorder="1" applyAlignment="1" applyProtection="1">
      <alignment vertical="center" wrapText="1"/>
      <protection locked="0" hidden="1"/>
    </xf>
    <xf numFmtId="0" fontId="46" fillId="0" borderId="67" xfId="0" applyFont="1" applyBorder="1" applyAlignment="1" applyProtection="1">
      <alignment horizontal="left" vertical="center" wrapText="1"/>
      <protection locked="0" hidden="1"/>
    </xf>
    <xf numFmtId="0" fontId="46" fillId="0" borderId="67" xfId="0" applyFont="1" applyBorder="1" applyAlignment="1">
      <alignment vertical="center" wrapText="1"/>
    </xf>
    <xf numFmtId="0" fontId="46" fillId="0" borderId="67" xfId="0" applyFont="1" applyBorder="1" applyAlignment="1">
      <alignment wrapText="1"/>
    </xf>
    <xf numFmtId="0" fontId="2" fillId="0" borderId="67" xfId="0" applyFont="1" applyBorder="1"/>
    <xf numFmtId="0" fontId="46" fillId="0" borderId="67" xfId="0" applyFont="1" applyBorder="1" applyAlignment="1">
      <alignment horizontal="left" wrapText="1"/>
    </xf>
    <xf numFmtId="0" fontId="46" fillId="10" borderId="67" xfId="0" applyFont="1" applyFill="1" applyBorder="1" applyAlignment="1" applyProtection="1">
      <alignment vertical="center" wrapText="1"/>
      <protection locked="0" hidden="1"/>
    </xf>
    <xf numFmtId="0" fontId="50" fillId="10" borderId="67" xfId="0" applyFont="1" applyFill="1" applyBorder="1" applyAlignment="1" applyProtection="1">
      <alignment vertical="center" wrapText="1"/>
      <protection locked="0"/>
    </xf>
    <xf numFmtId="0" fontId="47" fillId="0" borderId="67" xfId="0" applyFont="1" applyBorder="1" applyAlignment="1">
      <alignment horizontal="justify" vertical="center" wrapText="1"/>
    </xf>
    <xf numFmtId="0" fontId="48" fillId="0" borderId="67" xfId="0" applyFont="1" applyBorder="1" applyAlignment="1">
      <alignment vertical="center" wrapText="1"/>
    </xf>
    <xf numFmtId="0" fontId="2" fillId="9" borderId="67" xfId="0" applyFont="1" applyFill="1" applyBorder="1" applyAlignment="1" applyProtection="1">
      <alignment horizontal="justify" vertical="center" wrapText="1"/>
      <protection locked="0"/>
    </xf>
    <xf numFmtId="0" fontId="2" fillId="10" borderId="67" xfId="0" applyFont="1" applyFill="1" applyBorder="1" applyAlignment="1" applyProtection="1">
      <alignment horizontal="center" vertical="center" wrapText="1"/>
      <protection locked="0"/>
    </xf>
    <xf numFmtId="0" fontId="2" fillId="10" borderId="67" xfId="0" applyFont="1" applyFill="1" applyBorder="1" applyAlignment="1" applyProtection="1">
      <alignment vertical="center" wrapText="1"/>
      <protection locked="0"/>
    </xf>
    <xf numFmtId="0" fontId="20" fillId="9" borderId="67" xfId="0" applyFont="1" applyFill="1" applyBorder="1" applyAlignment="1" applyProtection="1">
      <alignment vertical="center" wrapText="1"/>
      <protection locked="0"/>
    </xf>
    <xf numFmtId="0" fontId="11" fillId="0" borderId="67" xfId="0" applyFont="1" applyBorder="1" applyAlignment="1" applyProtection="1">
      <alignment vertical="center" wrapText="1"/>
      <protection locked="0"/>
    </xf>
    <xf numFmtId="0" fontId="17" fillId="15" borderId="67" xfId="0" applyFont="1" applyFill="1" applyBorder="1" applyAlignment="1">
      <alignment horizontal="left" vertical="center" wrapText="1"/>
    </xf>
    <xf numFmtId="0" fontId="13" fillId="13" borderId="67" xfId="0" applyFont="1" applyFill="1" applyBorder="1" applyAlignment="1">
      <alignment horizontal="center" vertical="center"/>
    </xf>
    <xf numFmtId="0" fontId="2" fillId="10" borderId="67" xfId="0" applyFont="1" applyFill="1" applyBorder="1" applyAlignment="1">
      <alignment horizontal="justify" vertical="center" wrapText="1"/>
    </xf>
    <xf numFmtId="0" fontId="15" fillId="0" borderId="67" xfId="0" applyFont="1" applyBorder="1" applyAlignment="1" applyProtection="1">
      <alignment horizontal="justify" vertical="center" wrapText="1"/>
      <protection locked="0"/>
    </xf>
    <xf numFmtId="0" fontId="0" fillId="18" borderId="67" xfId="0" applyFill="1" applyBorder="1" applyAlignment="1">
      <alignment horizontal="justify" vertical="center" wrapText="1"/>
    </xf>
    <xf numFmtId="0" fontId="0" fillId="10" borderId="67" xfId="0" applyFill="1" applyBorder="1" applyAlignment="1">
      <alignment horizontal="justify" vertical="center" wrapText="1"/>
    </xf>
    <xf numFmtId="0" fontId="0" fillId="0" borderId="67" xfId="0" applyBorder="1" applyAlignment="1" applyProtection="1">
      <alignment horizontal="center" vertical="center" wrapText="1"/>
      <protection locked="0"/>
    </xf>
    <xf numFmtId="0" fontId="2" fillId="10" borderId="67" xfId="0" applyFont="1" applyFill="1" applyBorder="1" applyAlignment="1">
      <alignment horizontal="center" vertical="center" wrapText="1"/>
    </xf>
    <xf numFmtId="0" fontId="20" fillId="9" borderId="67" xfId="0" applyFont="1" applyFill="1" applyBorder="1" applyAlignment="1" applyProtection="1">
      <alignment horizontal="center" vertical="center" wrapText="1"/>
      <protection locked="0"/>
    </xf>
    <xf numFmtId="0" fontId="0" fillId="10" borderId="67" xfId="0" applyFill="1" applyBorder="1" applyAlignment="1" applyProtection="1">
      <alignment vertical="center" wrapText="1"/>
      <protection locked="0"/>
    </xf>
    <xf numFmtId="0" fontId="15" fillId="10" borderId="67" xfId="0" applyFont="1" applyFill="1" applyBorder="1" applyAlignment="1" applyProtection="1">
      <alignment horizontal="justify" vertical="center" wrapText="1"/>
      <protection locked="0"/>
    </xf>
    <xf numFmtId="0" fontId="2" fillId="10" borderId="67" xfId="0" applyFont="1" applyFill="1" applyBorder="1" applyAlignment="1" applyProtection="1">
      <alignment horizontal="center" vertical="center"/>
      <protection locked="0"/>
    </xf>
    <xf numFmtId="0" fontId="0" fillId="10" borderId="67" xfId="0" applyFill="1" applyBorder="1" applyAlignment="1">
      <alignment horizontal="center" vertical="center" wrapText="1"/>
    </xf>
    <xf numFmtId="14" fontId="54" fillId="0" borderId="67" xfId="0" applyNumberFormat="1" applyFont="1" applyBorder="1" applyAlignment="1">
      <alignment vertical="center" wrapText="1"/>
    </xf>
    <xf numFmtId="0" fontId="0" fillId="0" borderId="67" xfId="0" applyBorder="1" applyAlignment="1">
      <alignment horizontal="center" vertical="center" wrapText="1"/>
    </xf>
    <xf numFmtId="0" fontId="54" fillId="10" borderId="67" xfId="0" applyFont="1" applyFill="1" applyBorder="1" applyAlignment="1">
      <alignment horizontal="justify" vertical="center" wrapText="1"/>
    </xf>
    <xf numFmtId="0" fontId="58" fillId="0" borderId="67" xfId="0" applyFont="1" applyBorder="1" applyAlignment="1">
      <alignment horizontal="justify" vertical="center" wrapText="1"/>
    </xf>
    <xf numFmtId="0" fontId="0" fillId="0" borderId="67" xfId="0" applyBorder="1" applyAlignment="1">
      <alignment horizontal="justify" vertical="center" wrapText="1"/>
    </xf>
    <xf numFmtId="0" fontId="0" fillId="0" borderId="67" xfId="0" applyBorder="1" applyAlignment="1" applyProtection="1">
      <alignment vertical="center" wrapText="1"/>
      <protection locked="0"/>
    </xf>
    <xf numFmtId="0" fontId="69" fillId="10" borderId="67" xfId="0" applyFont="1" applyFill="1" applyBorder="1" applyAlignment="1">
      <alignment horizontal="left" vertical="center" wrapText="1"/>
    </xf>
    <xf numFmtId="0" fontId="0" fillId="0" borderId="67" xfId="0" applyBorder="1" applyAlignment="1">
      <alignment vertical="center" wrapText="1"/>
    </xf>
    <xf numFmtId="0" fontId="2" fillId="0" borderId="67" xfId="0" applyFont="1" applyBorder="1" applyAlignment="1">
      <alignment horizontal="justify" vertical="center" wrapText="1"/>
    </xf>
    <xf numFmtId="0" fontId="11" fillId="0" borderId="67" xfId="0" applyFont="1" applyBorder="1" applyAlignment="1" applyProtection="1">
      <alignment horizontal="justify" vertical="center" wrapText="1"/>
      <protection locked="0"/>
    </xf>
    <xf numFmtId="0" fontId="2" fillId="26" borderId="67" xfId="0" applyFont="1" applyFill="1" applyBorder="1" applyAlignment="1">
      <alignment horizontal="justify" vertical="center" wrapText="1"/>
    </xf>
    <xf numFmtId="0" fontId="54" fillId="0" borderId="67" xfId="0" applyFont="1" applyBorder="1" applyAlignment="1">
      <alignment vertical="center" wrapText="1"/>
    </xf>
    <xf numFmtId="0" fontId="60" fillId="0" borderId="67" xfId="0" applyFont="1" applyBorder="1" applyAlignment="1">
      <alignment horizontal="left" vertical="center" wrapText="1"/>
    </xf>
    <xf numFmtId="0" fontId="54" fillId="0" borderId="67" xfId="0" applyFont="1" applyBorder="1" applyAlignment="1" applyProtection="1">
      <alignment vertical="center" wrapText="1"/>
      <protection locked="0"/>
    </xf>
    <xf numFmtId="0" fontId="61" fillId="0" borderId="67" xfId="0" applyFont="1" applyBorder="1" applyAlignment="1">
      <alignment horizontal="left" vertical="center" wrapText="1"/>
    </xf>
    <xf numFmtId="0" fontId="2" fillId="10" borderId="67" xfId="0" applyFont="1" applyFill="1" applyBorder="1" applyAlignment="1" applyProtection="1">
      <alignment horizontal="justify" vertical="center" wrapText="1"/>
      <protection locked="0"/>
    </xf>
    <xf numFmtId="0" fontId="2" fillId="9" borderId="67" xfId="0" applyFont="1" applyFill="1" applyBorder="1" applyAlignment="1" applyProtection="1">
      <alignment horizontal="center" vertical="center" wrapText="1"/>
      <protection locked="0"/>
    </xf>
    <xf numFmtId="0" fontId="0" fillId="10" borderId="67" xfId="0" applyFill="1" applyBorder="1" applyAlignment="1">
      <alignment vertical="center" wrapText="1"/>
    </xf>
    <xf numFmtId="0" fontId="0" fillId="18" borderId="67" xfId="0" applyFill="1" applyBorder="1" applyAlignment="1">
      <alignment vertical="center" wrapText="1"/>
    </xf>
    <xf numFmtId="0" fontId="0" fillId="10" borderId="67" xfId="0" applyFill="1" applyBorder="1" applyAlignment="1">
      <alignment vertical="center"/>
    </xf>
    <xf numFmtId="0" fontId="54" fillId="0" borderId="67" xfId="0" applyFont="1" applyBorder="1" applyAlignment="1" applyProtection="1">
      <alignment horizontal="left" vertical="center" wrapText="1"/>
      <protection locked="0"/>
    </xf>
    <xf numFmtId="0" fontId="2" fillId="26" borderId="67" xfId="0" applyFont="1" applyFill="1" applyBorder="1" applyAlignment="1">
      <alignment vertical="center"/>
    </xf>
    <xf numFmtId="0" fontId="75" fillId="0" borderId="67" xfId="0" applyFont="1" applyBorder="1" applyAlignment="1">
      <alignment vertical="center" wrapText="1"/>
    </xf>
    <xf numFmtId="0" fontId="54" fillId="0" borderId="67" xfId="0" applyFont="1" applyBorder="1" applyAlignment="1">
      <alignment horizontal="center" vertical="center" wrapText="1"/>
    </xf>
    <xf numFmtId="14" fontId="54" fillId="0" borderId="67" xfId="0" applyNumberFormat="1" applyFont="1" applyBorder="1" applyAlignment="1">
      <alignment horizontal="center" vertical="center" wrapText="1"/>
    </xf>
    <xf numFmtId="0" fontId="61" fillId="0" borderId="67" xfId="0" applyFont="1" applyBorder="1" applyAlignment="1">
      <alignment vertical="center" wrapText="1"/>
    </xf>
    <xf numFmtId="0" fontId="2" fillId="26" borderId="67" xfId="0" applyFont="1" applyFill="1" applyBorder="1" applyAlignment="1">
      <alignment vertical="center" wrapText="1"/>
    </xf>
    <xf numFmtId="14" fontId="0" fillId="0" borderId="67" xfId="0" applyNumberFormat="1" applyBorder="1" applyAlignment="1">
      <alignment vertical="center" wrapText="1"/>
    </xf>
    <xf numFmtId="0" fontId="0" fillId="0" borderId="67" xfId="0" applyBorder="1" applyAlignment="1">
      <alignment horizontal="justify" vertical="top" wrapText="1"/>
    </xf>
    <xf numFmtId="0" fontId="2" fillId="0" borderId="67" xfId="0" applyFont="1" applyBorder="1" applyAlignment="1" applyProtection="1">
      <alignment horizontal="justify" vertical="center" wrapText="1"/>
      <protection locked="0"/>
    </xf>
    <xf numFmtId="0" fontId="2" fillId="0" borderId="67" xfId="0" applyFont="1" applyBorder="1" applyAlignment="1" applyProtection="1">
      <alignment horizontal="left" vertical="center" wrapText="1"/>
      <protection locked="0"/>
    </xf>
    <xf numFmtId="0" fontId="2" fillId="10" borderId="67" xfId="0" applyFont="1" applyFill="1" applyBorder="1" applyAlignment="1" applyProtection="1">
      <alignment vertical="center"/>
      <protection locked="0"/>
    </xf>
    <xf numFmtId="0" fontId="2" fillId="0" borderId="67" xfId="0" applyFont="1" applyBorder="1" applyAlignment="1" applyProtection="1">
      <alignment vertical="center"/>
      <protection locked="0"/>
    </xf>
    <xf numFmtId="0" fontId="54" fillId="10" borderId="67" xfId="0" applyFont="1" applyFill="1" applyBorder="1" applyAlignment="1">
      <alignment vertical="center" wrapText="1"/>
    </xf>
    <xf numFmtId="165" fontId="54" fillId="10" borderId="67" xfId="0" applyNumberFormat="1" applyFont="1" applyFill="1" applyBorder="1" applyAlignment="1">
      <alignment vertical="center" wrapText="1"/>
    </xf>
    <xf numFmtId="14" fontId="54" fillId="10" borderId="67" xfId="0" applyNumberFormat="1" applyFont="1" applyFill="1" applyBorder="1" applyAlignment="1">
      <alignment vertical="center" wrapText="1"/>
    </xf>
    <xf numFmtId="0" fontId="20" fillId="0" borderId="67" xfId="0" applyFont="1" applyBorder="1" applyAlignment="1" applyProtection="1">
      <alignment vertical="center" wrapText="1"/>
      <protection locked="0"/>
    </xf>
    <xf numFmtId="0" fontId="54" fillId="0" borderId="67" xfId="0" applyFont="1" applyBorder="1" applyAlignment="1">
      <alignment horizontal="justify" vertical="center" wrapText="1"/>
    </xf>
    <xf numFmtId="0" fontId="54" fillId="18" borderId="67" xfId="0" applyFont="1" applyFill="1" applyBorder="1" applyAlignment="1">
      <alignment vertical="center" wrapText="1"/>
    </xf>
    <xf numFmtId="0" fontId="58" fillId="0" borderId="67" xfId="0" applyFont="1" applyBorder="1" applyAlignment="1">
      <alignment vertical="center" wrapText="1"/>
    </xf>
    <xf numFmtId="0" fontId="60" fillId="0" borderId="67" xfId="0" applyFont="1" applyBorder="1" applyAlignment="1">
      <alignment vertical="center" wrapText="1"/>
    </xf>
    <xf numFmtId="0" fontId="67" fillId="0" borderId="67" xfId="0" applyFont="1" applyBorder="1" applyAlignment="1">
      <alignment vertical="center" wrapText="1"/>
    </xf>
    <xf numFmtId="0" fontId="0" fillId="0" borderId="67" xfId="0" applyBorder="1" applyProtection="1">
      <protection locked="0"/>
    </xf>
    <xf numFmtId="0" fontId="0" fillId="0" borderId="67" xfId="0" applyBorder="1"/>
    <xf numFmtId="0" fontId="0" fillId="14" borderId="67" xfId="0" applyFill="1" applyBorder="1"/>
    <xf numFmtId="0" fontId="41" fillId="0" borderId="67" xfId="0" applyFont="1" applyBorder="1" applyAlignment="1" applyProtection="1">
      <alignment horizontal="center" vertical="center"/>
      <protection hidden="1"/>
    </xf>
    <xf numFmtId="0" fontId="41" fillId="0" borderId="67" xfId="0" applyFont="1" applyBorder="1" applyAlignment="1" applyProtection="1">
      <alignment horizontal="center" vertical="center" wrapText="1"/>
      <protection hidden="1"/>
    </xf>
    <xf numFmtId="0" fontId="22" fillId="0" borderId="67" xfId="0" applyFont="1" applyBorder="1"/>
    <xf numFmtId="0" fontId="23" fillId="0" borderId="67" xfId="0" applyFont="1" applyBorder="1" applyAlignment="1">
      <alignment wrapText="1"/>
    </xf>
    <xf numFmtId="0" fontId="24" fillId="0" borderId="67" xfId="0" applyFont="1" applyBorder="1"/>
    <xf numFmtId="0" fontId="11" fillId="21" borderId="67" xfId="0" applyFont="1" applyFill="1" applyBorder="1" applyAlignment="1" applyProtection="1">
      <alignment vertical="center" wrapText="1"/>
      <protection locked="0"/>
    </xf>
    <xf numFmtId="0" fontId="25" fillId="0" borderId="67" xfId="0" applyFont="1" applyBorder="1" applyAlignment="1">
      <alignment wrapText="1"/>
    </xf>
    <xf numFmtId="0" fontId="26" fillId="0" borderId="67" xfId="0" applyFont="1" applyBorder="1" applyAlignment="1">
      <alignment wrapText="1"/>
    </xf>
    <xf numFmtId="0" fontId="27" fillId="0" borderId="67" xfId="0" applyFont="1" applyBorder="1" applyAlignment="1">
      <alignment wrapText="1"/>
    </xf>
    <xf numFmtId="0" fontId="0" fillId="0" borderId="67" xfId="0" applyBorder="1" applyAlignment="1">
      <alignment wrapText="1"/>
    </xf>
    <xf numFmtId="0" fontId="71" fillId="0" borderId="32" xfId="0" applyFont="1" applyBorder="1" applyAlignment="1" applyProtection="1">
      <alignment horizontal="justify" vertical="center" wrapText="1"/>
      <protection locked="0"/>
    </xf>
    <xf numFmtId="0" fontId="1" fillId="10" borderId="67" xfId="0" applyFont="1" applyFill="1" applyBorder="1" applyAlignment="1">
      <alignment horizontal="justify" vertical="center" wrapText="1"/>
    </xf>
    <xf numFmtId="0" fontId="1" fillId="0" borderId="67" xfId="0" applyFont="1" applyBorder="1" applyAlignment="1" applyProtection="1">
      <alignment vertical="center" wrapText="1"/>
      <protection locked="0"/>
    </xf>
    <xf numFmtId="0" fontId="1" fillId="0" borderId="67" xfId="0" applyFont="1" applyBorder="1" applyAlignment="1">
      <alignment horizontal="justify" vertical="center" wrapText="1"/>
    </xf>
    <xf numFmtId="0" fontId="0" fillId="0" borderId="0" xfId="0"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3" fillId="13" borderId="72" xfId="0" applyFont="1" applyFill="1" applyBorder="1" applyAlignment="1">
      <alignment horizontal="center" vertical="center" wrapText="1"/>
    </xf>
    <xf numFmtId="0" fontId="13" fillId="13" borderId="73" xfId="0" applyFont="1" applyFill="1" applyBorder="1" applyAlignment="1">
      <alignment horizontal="center" vertical="center" wrapText="1"/>
    </xf>
    <xf numFmtId="0" fontId="13" fillId="13" borderId="17" xfId="0" applyFont="1" applyFill="1" applyBorder="1" applyAlignment="1">
      <alignment horizontal="center" vertical="center" wrapText="1"/>
    </xf>
    <xf numFmtId="0" fontId="13" fillId="13" borderId="0" xfId="0" applyFont="1" applyFill="1" applyAlignment="1">
      <alignment horizontal="center" vertical="center" wrapText="1"/>
    </xf>
    <xf numFmtId="0" fontId="13" fillId="13" borderId="61" xfId="0" applyFont="1" applyFill="1" applyBorder="1" applyAlignment="1">
      <alignment horizontal="center" vertical="center" wrapText="1"/>
    </xf>
    <xf numFmtId="0" fontId="13" fillId="13" borderId="69" xfId="0" applyFont="1" applyFill="1" applyBorder="1" applyAlignment="1">
      <alignment horizontal="center" vertical="center"/>
    </xf>
    <xf numFmtId="0" fontId="13" fillId="13" borderId="70" xfId="0" applyFont="1" applyFill="1" applyBorder="1" applyAlignment="1">
      <alignment horizontal="center" vertical="center"/>
    </xf>
    <xf numFmtId="0" fontId="13" fillId="13" borderId="71" xfId="0" applyFont="1" applyFill="1" applyBorder="1" applyAlignment="1">
      <alignment horizontal="center" vertical="center"/>
    </xf>
    <xf numFmtId="0" fontId="13" fillId="13" borderId="69" xfId="0" applyFont="1" applyFill="1" applyBorder="1" applyAlignment="1">
      <alignment horizontal="center" vertical="center" wrapText="1"/>
    </xf>
    <xf numFmtId="0" fontId="13" fillId="13" borderId="70" xfId="0" applyFont="1" applyFill="1" applyBorder="1" applyAlignment="1">
      <alignment horizontal="center" vertical="center" wrapText="1"/>
    </xf>
    <xf numFmtId="0" fontId="13" fillId="13" borderId="71" xfId="0" applyFont="1" applyFill="1" applyBorder="1" applyAlignment="1">
      <alignment horizontal="center" vertical="center" wrapText="1"/>
    </xf>
    <xf numFmtId="0" fontId="31" fillId="0" borderId="61" xfId="0" applyFont="1" applyBorder="1" applyAlignment="1">
      <alignment horizontal="center" vertical="center" wrapText="1"/>
    </xf>
    <xf numFmtId="0" fontId="16" fillId="15" borderId="61" xfId="0" applyFont="1" applyFill="1" applyBorder="1" applyAlignment="1">
      <alignment horizontal="center" vertical="center" wrapText="1"/>
    </xf>
    <xf numFmtId="164" fontId="16" fillId="10" borderId="61" xfId="0" applyNumberFormat="1" applyFont="1" applyFill="1" applyBorder="1" applyAlignment="1">
      <alignment horizontal="center" vertical="center" wrapText="1"/>
    </xf>
    <xf numFmtId="0" fontId="2" fillId="17" borderId="29" xfId="0" applyFont="1" applyFill="1" applyBorder="1" applyAlignment="1">
      <alignment horizontal="center" vertical="center"/>
    </xf>
    <xf numFmtId="0" fontId="2" fillId="17" borderId="30" xfId="0" applyFont="1" applyFill="1" applyBorder="1" applyAlignment="1">
      <alignment horizontal="center" vertical="center"/>
    </xf>
    <xf numFmtId="0" fontId="2" fillId="17" borderId="10" xfId="0" applyFont="1" applyFill="1" applyBorder="1" applyAlignment="1">
      <alignment horizontal="center" vertical="center"/>
    </xf>
    <xf numFmtId="0" fontId="46" fillId="0" borderId="67" xfId="0" applyFont="1" applyBorder="1" applyAlignment="1" applyProtection="1">
      <alignment horizontal="center" vertical="center" wrapText="1"/>
      <protection locked="0"/>
    </xf>
    <xf numFmtId="0" fontId="46" fillId="0" borderId="67" xfId="0" applyFont="1" applyBorder="1" applyAlignment="1">
      <alignment horizontal="center" vertical="center" wrapText="1"/>
    </xf>
    <xf numFmtId="0" fontId="46" fillId="0" borderId="67" xfId="0" applyFont="1" applyBorder="1" applyAlignment="1" applyProtection="1">
      <alignment horizontal="justify" vertical="center" wrapText="1"/>
      <protection locked="0"/>
    </xf>
    <xf numFmtId="0" fontId="13" fillId="13" borderId="5" xfId="0" applyFont="1" applyFill="1" applyBorder="1" applyAlignment="1">
      <alignment horizontal="center" vertical="center"/>
    </xf>
    <xf numFmtId="0" fontId="13" fillId="13" borderId="4" xfId="0" applyFont="1" applyFill="1" applyBorder="1" applyAlignment="1">
      <alignment horizontal="center" vertical="center"/>
    </xf>
    <xf numFmtId="0" fontId="13" fillId="13" borderId="7" xfId="0" applyFont="1" applyFill="1" applyBorder="1" applyAlignment="1">
      <alignment horizontal="center" vertical="center"/>
    </xf>
    <xf numFmtId="0" fontId="13" fillId="13" borderId="8" xfId="0" applyFont="1" applyFill="1" applyBorder="1" applyAlignment="1">
      <alignment horizontal="center" vertical="center"/>
    </xf>
    <xf numFmtId="0" fontId="13" fillId="13" borderId="61" xfId="0" applyFont="1" applyFill="1" applyBorder="1" applyAlignment="1">
      <alignment horizontal="center" vertical="center"/>
    </xf>
    <xf numFmtId="0" fontId="32" fillId="0" borderId="26" xfId="0" applyFont="1" applyBorder="1" applyAlignment="1">
      <alignment horizontal="center" vertical="center" wrapText="1"/>
    </xf>
    <xf numFmtId="0" fontId="32" fillId="0" borderId="0" xfId="0" applyFont="1" applyAlignment="1">
      <alignment horizontal="center" vertical="center" wrapText="1"/>
    </xf>
    <xf numFmtId="0" fontId="32" fillId="0" borderId="1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24"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8" borderId="74"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12" xfId="0" applyFont="1" applyFill="1" applyBorder="1" applyAlignment="1" applyProtection="1">
      <alignment horizontal="center" vertical="center" wrapText="1"/>
      <protection locked="0"/>
    </xf>
    <xf numFmtId="0" fontId="2" fillId="8" borderId="67" xfId="0" applyFont="1" applyFill="1" applyBorder="1" applyAlignment="1" applyProtection="1">
      <alignment horizontal="center" vertical="center" wrapText="1"/>
      <protection locked="0"/>
    </xf>
    <xf numFmtId="0" fontId="2" fillId="0" borderId="67" xfId="0" applyFont="1" applyBorder="1" applyAlignment="1">
      <alignment horizontal="center" vertical="center" wrapText="1"/>
    </xf>
    <xf numFmtId="0" fontId="14" fillId="8" borderId="74"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67" xfId="0" applyFont="1" applyFill="1" applyBorder="1" applyAlignment="1">
      <alignment horizontal="center" vertical="center" wrapText="1"/>
    </xf>
    <xf numFmtId="0" fontId="2" fillId="0" borderId="58" xfId="0" applyFont="1" applyBorder="1" applyAlignment="1">
      <alignment horizontal="center" vertical="center" wrapText="1"/>
    </xf>
    <xf numFmtId="0" fontId="2" fillId="0" borderId="69" xfId="0" applyFont="1" applyBorder="1" applyAlignment="1">
      <alignment horizontal="center" vertical="center" wrapText="1"/>
    </xf>
    <xf numFmtId="0" fontId="2" fillId="8" borderId="74"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2" fillId="8" borderId="67" xfId="0" applyFont="1" applyFill="1" applyBorder="1" applyAlignment="1">
      <alignment horizontal="center" vertical="center" wrapText="1"/>
    </xf>
    <xf numFmtId="0" fontId="2" fillId="0" borderId="17" xfId="0" applyFont="1" applyBorder="1" applyAlignment="1" applyProtection="1">
      <alignment horizontal="center" vertical="center" wrapText="1"/>
      <protection locked="0"/>
    </xf>
    <xf numFmtId="0" fontId="2" fillId="10" borderId="16"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9" borderId="12" xfId="0" applyFont="1" applyFill="1" applyBorder="1" applyAlignment="1" applyProtection="1">
      <alignment horizontal="justify" vertical="center" wrapText="1"/>
      <protection locked="0"/>
    </xf>
    <xf numFmtId="0" fontId="2" fillId="9" borderId="67" xfId="0" applyFont="1" applyFill="1" applyBorder="1" applyAlignment="1" applyProtection="1">
      <alignment horizontal="justify" vertical="center" wrapText="1"/>
      <protection locked="0"/>
    </xf>
    <xf numFmtId="0" fontId="2" fillId="9" borderId="8" xfId="0" applyFont="1" applyFill="1" applyBorder="1" applyAlignment="1" applyProtection="1">
      <alignment horizontal="justify" vertical="center" wrapText="1"/>
      <protection locked="0"/>
    </xf>
    <xf numFmtId="0" fontId="2" fillId="10" borderId="12" xfId="0" applyFont="1" applyFill="1" applyBorder="1" applyAlignment="1" applyProtection="1">
      <alignment horizontal="center" vertical="center" wrapText="1"/>
      <protection locked="0"/>
    </xf>
    <xf numFmtId="0" fontId="2" fillId="10" borderId="67" xfId="0" applyFont="1" applyFill="1" applyBorder="1" applyAlignment="1" applyProtection="1">
      <alignment horizontal="center" vertical="center" wrapText="1"/>
      <protection locked="0"/>
    </xf>
    <xf numFmtId="0" fontId="2" fillId="10" borderId="25" xfId="0" applyFont="1" applyFill="1" applyBorder="1" applyAlignment="1">
      <alignment horizontal="center" vertical="center" wrapText="1"/>
    </xf>
    <xf numFmtId="0" fontId="2" fillId="9" borderId="4" xfId="0" applyFont="1" applyFill="1" applyBorder="1" applyAlignment="1" applyProtection="1">
      <alignment horizontal="justify" vertical="center" wrapText="1"/>
      <protection locked="0"/>
    </xf>
    <xf numFmtId="0" fontId="2" fillId="0" borderId="31" xfId="0" applyFont="1" applyBorder="1" applyAlignment="1" applyProtection="1">
      <alignment horizontal="center" vertical="center" wrapText="1"/>
      <protection locked="0"/>
    </xf>
    <xf numFmtId="0" fontId="2" fillId="0" borderId="67" xfId="0" applyFont="1" applyBorder="1" applyAlignment="1" applyProtection="1">
      <alignment horizontal="center" vertical="center" wrapText="1"/>
      <protection locked="0"/>
    </xf>
    <xf numFmtId="0" fontId="0" fillId="0" borderId="74"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2" fillId="10" borderId="12" xfId="0" applyFont="1" applyFill="1" applyBorder="1" applyAlignment="1">
      <alignment horizontal="center" vertical="center" wrapText="1"/>
    </xf>
    <xf numFmtId="0" fontId="2" fillId="10" borderId="67" xfId="0" applyFont="1" applyFill="1" applyBorder="1" applyAlignment="1">
      <alignment horizontal="center" vertical="center" wrapText="1"/>
    </xf>
    <xf numFmtId="0" fontId="2" fillId="10" borderId="74" xfId="0" applyFont="1" applyFill="1" applyBorder="1" applyAlignment="1">
      <alignment horizontal="center" vertical="center" wrapText="1"/>
    </xf>
    <xf numFmtId="0" fontId="0" fillId="0" borderId="74" xfId="0" applyBorder="1" applyAlignment="1">
      <alignment horizontal="justify" vertical="center" wrapText="1"/>
    </xf>
    <xf numFmtId="0" fontId="0" fillId="0" borderId="16" xfId="0" applyBorder="1" applyAlignment="1">
      <alignment horizontal="justify" vertical="center" wrapText="1"/>
    </xf>
    <xf numFmtId="0" fontId="0" fillId="0" borderId="12" xfId="0" applyBorder="1" applyAlignment="1">
      <alignment horizontal="justify" vertical="center" wrapText="1"/>
    </xf>
    <xf numFmtId="0" fontId="14" fillId="10" borderId="74" xfId="0" applyFont="1" applyFill="1" applyBorder="1" applyAlignment="1">
      <alignment horizontal="center" vertical="center" wrapText="1"/>
    </xf>
    <xf numFmtId="0" fontId="14" fillId="10" borderId="16" xfId="0" applyFont="1" applyFill="1" applyBorder="1" applyAlignment="1">
      <alignment horizontal="center" vertical="center" wrapText="1"/>
    </xf>
    <xf numFmtId="0" fontId="14" fillId="10" borderId="12" xfId="0" applyFont="1" applyFill="1" applyBorder="1" applyAlignment="1">
      <alignment horizontal="center" vertical="center" wrapText="1"/>
    </xf>
    <xf numFmtId="14" fontId="0" fillId="0" borderId="74" xfId="0" applyNumberFormat="1" applyBorder="1" applyAlignment="1">
      <alignment horizontal="center" vertical="center" wrapText="1"/>
    </xf>
    <xf numFmtId="14" fontId="0" fillId="0" borderId="16" xfId="0" applyNumberFormat="1" applyBorder="1" applyAlignment="1">
      <alignment horizontal="center" vertical="center" wrapText="1"/>
    </xf>
    <xf numFmtId="14" fontId="0" fillId="0" borderId="12" xfId="0" applyNumberFormat="1" applyBorder="1" applyAlignment="1">
      <alignment horizontal="center" vertical="center" wrapText="1"/>
    </xf>
    <xf numFmtId="0" fontId="1" fillId="0" borderId="74" xfId="0" applyFont="1"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0" fillId="10" borderId="74" xfId="0" applyFill="1" applyBorder="1" applyAlignment="1">
      <alignment horizontal="justify" vertical="center" wrapText="1"/>
    </xf>
    <xf numFmtId="0" fontId="0" fillId="10" borderId="16" xfId="0" applyFill="1" applyBorder="1" applyAlignment="1">
      <alignment horizontal="justify" vertical="center" wrapText="1"/>
    </xf>
    <xf numFmtId="0" fontId="0" fillId="10" borderId="12" xfId="0" applyFill="1" applyBorder="1" applyAlignment="1">
      <alignment horizontal="justify" vertical="center" wrapText="1"/>
    </xf>
    <xf numFmtId="0" fontId="0" fillId="0" borderId="67" xfId="0" applyBorder="1" applyAlignment="1">
      <alignment horizontal="center" vertical="center" wrapText="1"/>
    </xf>
    <xf numFmtId="14" fontId="0" fillId="0" borderId="67" xfId="0" applyNumberFormat="1" applyBorder="1" applyAlignment="1">
      <alignment horizontal="center" vertical="center" wrapText="1"/>
    </xf>
    <xf numFmtId="0" fontId="1" fillId="10" borderId="67" xfId="0" applyFont="1" applyFill="1" applyBorder="1" applyAlignment="1">
      <alignment horizontal="left" vertical="center" wrapText="1"/>
    </xf>
    <xf numFmtId="0" fontId="0" fillId="10" borderId="67" xfId="0" applyFill="1" applyBorder="1" applyAlignment="1">
      <alignment horizontal="left" vertical="center" wrapText="1"/>
    </xf>
    <xf numFmtId="0" fontId="0" fillId="0" borderId="67" xfId="0" applyBorder="1" applyAlignment="1">
      <alignment horizontal="justify" vertical="center" wrapText="1"/>
    </xf>
    <xf numFmtId="0" fontId="46" fillId="0" borderId="74" xfId="0" applyFont="1" applyBorder="1" applyAlignment="1">
      <alignment horizontal="justify" vertical="center" wrapText="1"/>
    </xf>
    <xf numFmtId="0" fontId="46" fillId="0" borderId="12" xfId="0" applyFont="1" applyBorder="1" applyAlignment="1">
      <alignment horizontal="justify" vertical="center" wrapText="1"/>
    </xf>
    <xf numFmtId="0" fontId="0" fillId="18" borderId="74" xfId="0" applyFill="1" applyBorder="1" applyAlignment="1">
      <alignment horizontal="center" vertical="center" wrapText="1"/>
    </xf>
    <xf numFmtId="0" fontId="0" fillId="18" borderId="16" xfId="0" applyFill="1" applyBorder="1" applyAlignment="1">
      <alignment horizontal="center" vertical="center" wrapText="1"/>
    </xf>
    <xf numFmtId="0" fontId="0" fillId="18" borderId="12" xfId="0" applyFill="1" applyBorder="1" applyAlignment="1">
      <alignment horizontal="center" vertical="center" wrapText="1"/>
    </xf>
    <xf numFmtId="0" fontId="0" fillId="18" borderId="74" xfId="0" applyFill="1" applyBorder="1" applyAlignment="1">
      <alignment horizontal="justify" vertical="center" wrapText="1"/>
    </xf>
    <xf numFmtId="0" fontId="0" fillId="18" borderId="16" xfId="0" applyFill="1" applyBorder="1" applyAlignment="1">
      <alignment horizontal="justify" vertical="center" wrapText="1"/>
    </xf>
    <xf numFmtId="0" fontId="0" fillId="18" borderId="12" xfId="0" applyFill="1" applyBorder="1" applyAlignment="1">
      <alignment horizontal="justify" vertical="center" wrapText="1"/>
    </xf>
    <xf numFmtId="0" fontId="0" fillId="0" borderId="74" xfId="0" applyBorder="1" applyAlignment="1">
      <alignment horizontal="left" vertical="center" wrapText="1"/>
    </xf>
    <xf numFmtId="0" fontId="2" fillId="0" borderId="12" xfId="0" applyFont="1" applyBorder="1" applyAlignment="1" applyProtection="1">
      <alignment horizontal="center" vertical="center" wrapText="1"/>
      <protection locked="0"/>
    </xf>
    <xf numFmtId="0" fontId="0" fillId="10" borderId="67" xfId="0" applyFill="1" applyBorder="1" applyAlignment="1">
      <alignment horizontal="justify" vertical="center" wrapText="1"/>
    </xf>
    <xf numFmtId="0" fontId="2" fillId="10" borderId="74" xfId="0" applyFont="1" applyFill="1" applyBorder="1" applyAlignment="1" applyProtection="1">
      <alignment horizontal="center" vertical="center" wrapText="1"/>
      <protection locked="0"/>
    </xf>
    <xf numFmtId="0" fontId="14" fillId="10" borderId="67" xfId="0" applyFont="1" applyFill="1" applyBorder="1" applyAlignment="1">
      <alignment horizontal="center" vertical="center" wrapText="1"/>
    </xf>
    <xf numFmtId="14" fontId="2" fillId="0" borderId="74" xfId="0" applyNumberFormat="1" applyFont="1" applyBorder="1" applyAlignment="1">
      <alignment horizontal="center" vertical="center" wrapText="1"/>
    </xf>
    <xf numFmtId="14" fontId="2" fillId="0" borderId="16"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0" fontId="54" fillId="0" borderId="67" xfId="0" applyFont="1" applyBorder="1" applyAlignment="1">
      <alignment horizontal="center" vertical="center" wrapText="1"/>
    </xf>
    <xf numFmtId="14" fontId="54" fillId="0" borderId="67" xfId="0" applyNumberFormat="1" applyFont="1" applyBorder="1" applyAlignment="1">
      <alignment horizontal="center" vertical="center" wrapText="1"/>
    </xf>
    <xf numFmtId="0" fontId="20" fillId="9" borderId="67" xfId="0" applyFont="1" applyFill="1" applyBorder="1" applyAlignment="1" applyProtection="1">
      <alignment horizontal="center" vertical="center" wrapText="1"/>
      <protection locked="0"/>
    </xf>
    <xf numFmtId="0" fontId="0" fillId="0" borderId="12" xfId="0" applyBorder="1" applyAlignment="1">
      <alignment horizontal="justify" vertical="center"/>
    </xf>
    <xf numFmtId="0" fontId="15" fillId="0" borderId="74" xfId="0" applyFont="1" applyBorder="1" applyAlignment="1" applyProtection="1">
      <alignment horizontal="justify" vertical="center" wrapText="1"/>
      <protection locked="0"/>
    </xf>
    <xf numFmtId="0" fontId="15" fillId="0" borderId="12" xfId="0" applyFont="1" applyBorder="1" applyAlignment="1" applyProtection="1">
      <alignment horizontal="justify" vertical="center" wrapText="1"/>
      <protection locked="0"/>
    </xf>
    <xf numFmtId="0" fontId="20" fillId="9" borderId="74" xfId="0" applyFont="1" applyFill="1" applyBorder="1" applyAlignment="1" applyProtection="1">
      <alignment horizontal="center" vertical="center" wrapText="1"/>
      <protection locked="0"/>
    </xf>
    <xf numFmtId="0" fontId="20" fillId="9" borderId="12" xfId="0" applyFont="1" applyFill="1" applyBorder="1" applyAlignment="1" applyProtection="1">
      <alignment horizontal="center" vertical="center" wrapText="1"/>
      <protection locked="0"/>
    </xf>
    <xf numFmtId="0" fontId="14" fillId="10" borderId="74" xfId="0" applyFont="1" applyFill="1" applyBorder="1" applyAlignment="1" applyProtection="1">
      <alignment horizontal="center" vertical="center" wrapText="1"/>
      <protection locked="0"/>
    </xf>
    <xf numFmtId="0" fontId="14" fillId="10" borderId="12" xfId="0" applyFont="1" applyFill="1" applyBorder="1" applyAlignment="1" applyProtection="1">
      <alignment horizontal="center" vertical="center" wrapText="1"/>
      <protection locked="0"/>
    </xf>
    <xf numFmtId="0" fontId="2" fillId="10" borderId="72" xfId="0" applyFont="1" applyFill="1" applyBorder="1" applyAlignment="1">
      <alignment horizontal="center" vertical="center" wrapText="1"/>
    </xf>
    <xf numFmtId="0" fontId="2" fillId="10" borderId="17" xfId="0" applyFont="1" applyFill="1" applyBorder="1" applyAlignment="1">
      <alignment horizontal="center" vertical="center" wrapText="1"/>
    </xf>
    <xf numFmtId="0" fontId="2" fillId="10" borderId="16" xfId="0" applyFont="1" applyFill="1" applyBorder="1" applyAlignment="1" applyProtection="1">
      <alignment horizontal="center" vertical="center" wrapText="1"/>
      <protection locked="0"/>
    </xf>
    <xf numFmtId="0" fontId="2" fillId="0" borderId="74"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9" borderId="74" xfId="0" applyFont="1" applyFill="1" applyBorder="1" applyAlignment="1" applyProtection="1">
      <alignment horizontal="center" vertical="center" wrapText="1"/>
      <protection locked="0"/>
    </xf>
    <xf numFmtId="0" fontId="2" fillId="9" borderId="16" xfId="0" applyFont="1" applyFill="1" applyBorder="1" applyAlignment="1" applyProtection="1">
      <alignment horizontal="center" vertical="center" wrapText="1"/>
      <protection locked="0"/>
    </xf>
    <xf numFmtId="0" fontId="2" fillId="9" borderId="12" xfId="0" applyFont="1" applyFill="1" applyBorder="1" applyAlignment="1" applyProtection="1">
      <alignment horizontal="center" vertical="center" wrapText="1"/>
      <protection locked="0"/>
    </xf>
    <xf numFmtId="0" fontId="2" fillId="18" borderId="67" xfId="0" applyFont="1" applyFill="1" applyBorder="1" applyAlignment="1" applyProtection="1">
      <alignment horizontal="justify" vertical="center" wrapText="1"/>
      <protection locked="0"/>
    </xf>
    <xf numFmtId="0" fontId="2" fillId="18" borderId="74" xfId="0" applyFont="1" applyFill="1" applyBorder="1" applyAlignment="1" applyProtection="1">
      <alignment horizontal="justify" vertical="center" wrapText="1"/>
      <protection locked="0"/>
    </xf>
    <xf numFmtId="0" fontId="72" fillId="18" borderId="67" xfId="0" applyFont="1" applyFill="1" applyBorder="1" applyAlignment="1" applyProtection="1">
      <alignment horizontal="justify" vertical="center" wrapText="1"/>
      <protection locked="0"/>
    </xf>
    <xf numFmtId="0" fontId="2" fillId="18" borderId="16" xfId="0" applyFont="1" applyFill="1" applyBorder="1" applyAlignment="1" applyProtection="1">
      <alignment horizontal="justify" vertical="center" wrapText="1"/>
      <protection locked="0"/>
    </xf>
    <xf numFmtId="0" fontId="2" fillId="18" borderId="12" xfId="0" applyFont="1" applyFill="1" applyBorder="1" applyAlignment="1" applyProtection="1">
      <alignment horizontal="justify" vertical="center" wrapText="1"/>
      <protection locked="0"/>
    </xf>
    <xf numFmtId="0" fontId="2" fillId="9" borderId="4" xfId="0" applyFont="1" applyFill="1" applyBorder="1" applyAlignment="1" applyProtection="1">
      <alignment horizontal="center" vertical="center" wrapText="1"/>
      <protection locked="0"/>
    </xf>
    <xf numFmtId="0" fontId="2" fillId="9" borderId="67" xfId="0" applyFont="1" applyFill="1" applyBorder="1" applyAlignment="1" applyProtection="1">
      <alignment horizontal="center" vertical="center" wrapText="1"/>
      <protection locked="0"/>
    </xf>
    <xf numFmtId="0" fontId="72" fillId="18" borderId="25" xfId="0" applyFont="1" applyFill="1" applyBorder="1" applyAlignment="1">
      <alignment horizontal="justify" vertical="center" wrapText="1"/>
    </xf>
    <xf numFmtId="0" fontId="2" fillId="18" borderId="12" xfId="0" applyFont="1" applyFill="1" applyBorder="1" applyAlignment="1">
      <alignment horizontal="justify" vertical="center" wrapText="1"/>
    </xf>
    <xf numFmtId="0" fontId="2" fillId="0" borderId="67" xfId="0" applyFont="1" applyBorder="1" applyAlignment="1" applyProtection="1">
      <alignment horizontal="center" vertical="center"/>
      <protection locked="0"/>
    </xf>
    <xf numFmtId="0" fontId="71" fillId="18" borderId="67" xfId="0" applyFont="1" applyFill="1" applyBorder="1" applyAlignment="1">
      <alignment horizontal="center" vertical="center" wrapText="1"/>
    </xf>
    <xf numFmtId="0" fontId="2" fillId="18" borderId="67" xfId="0" applyFont="1" applyFill="1" applyBorder="1" applyAlignment="1">
      <alignment horizontal="center" vertical="center" wrapText="1"/>
    </xf>
    <xf numFmtId="0" fontId="2" fillId="0" borderId="7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10" borderId="67" xfId="0" applyFont="1" applyFill="1" applyBorder="1" applyAlignment="1">
      <alignment horizontal="justify" vertical="center" wrapText="1"/>
    </xf>
    <xf numFmtId="0" fontId="2" fillId="10" borderId="74" xfId="0" applyFont="1" applyFill="1" applyBorder="1" applyAlignment="1">
      <alignment horizontal="justify" vertical="center" wrapText="1"/>
    </xf>
    <xf numFmtId="0" fontId="2" fillId="0" borderId="4" xfId="0" applyFont="1" applyBorder="1" applyAlignment="1" applyProtection="1">
      <alignment horizontal="justify" vertical="center" wrapText="1"/>
      <protection locked="0"/>
    </xf>
    <xf numFmtId="0" fontId="2" fillId="0" borderId="67" xfId="0" applyFont="1" applyBorder="1" applyAlignment="1" applyProtection="1">
      <alignment horizontal="justify" vertical="center" wrapText="1"/>
      <protection locked="0"/>
    </xf>
    <xf numFmtId="0" fontId="71" fillId="18" borderId="67" xfId="0" applyFont="1" applyFill="1" applyBorder="1" applyAlignment="1" applyProtection="1">
      <alignment horizontal="justify" vertical="center" wrapText="1"/>
      <protection locked="0"/>
    </xf>
    <xf numFmtId="0" fontId="13" fillId="13" borderId="67" xfId="0" applyFont="1" applyFill="1" applyBorder="1" applyAlignment="1">
      <alignment horizontal="center" vertical="center"/>
    </xf>
    <xf numFmtId="0" fontId="13" fillId="13" borderId="67" xfId="0" applyFont="1" applyFill="1" applyBorder="1" applyAlignment="1">
      <alignment horizontal="center" vertical="center" wrapText="1"/>
    </xf>
    <xf numFmtId="0" fontId="51" fillId="0" borderId="19" xfId="0" applyFont="1" applyBorder="1" applyAlignment="1">
      <alignment horizontal="right" vertical="center" wrapText="1"/>
    </xf>
    <xf numFmtId="0" fontId="51" fillId="0" borderId="20" xfId="0" applyFont="1" applyBorder="1" applyAlignment="1">
      <alignment horizontal="right" vertical="center" wrapText="1"/>
    </xf>
    <xf numFmtId="0" fontId="51" fillId="0" borderId="26" xfId="0" applyFont="1" applyBorder="1" applyAlignment="1">
      <alignment horizontal="right" vertical="center" wrapText="1"/>
    </xf>
    <xf numFmtId="0" fontId="51" fillId="0" borderId="0" xfId="0" applyFont="1" applyAlignment="1">
      <alignment horizontal="right" vertical="center" wrapText="1"/>
    </xf>
    <xf numFmtId="0" fontId="51" fillId="0" borderId="27" xfId="0" applyFont="1" applyBorder="1" applyAlignment="1">
      <alignment horizontal="right" vertical="center" wrapText="1"/>
    </xf>
    <xf numFmtId="0" fontId="51" fillId="0" borderId="28" xfId="0" applyFont="1" applyBorder="1" applyAlignment="1">
      <alignment horizontal="right" vertical="center" wrapText="1"/>
    </xf>
    <xf numFmtId="0" fontId="33" fillId="0" borderId="67" xfId="0" applyFont="1" applyBorder="1" applyAlignment="1">
      <alignment horizontal="center" vertical="center" wrapText="1"/>
    </xf>
    <xf numFmtId="0" fontId="16" fillId="15" borderId="67" xfId="0" applyFont="1" applyFill="1" applyBorder="1" applyAlignment="1">
      <alignment horizontal="center" vertical="center" wrapText="1"/>
    </xf>
    <xf numFmtId="164" fontId="16" fillId="10" borderId="67" xfId="0" applyNumberFormat="1" applyFont="1" applyFill="1" applyBorder="1" applyAlignment="1" applyProtection="1">
      <alignment horizontal="center" vertical="center" wrapText="1"/>
      <protection locked="0"/>
    </xf>
    <xf numFmtId="0" fontId="17" fillId="15" borderId="67" xfId="0" applyFont="1" applyFill="1" applyBorder="1" applyAlignment="1">
      <alignment horizontal="left" vertical="center" wrapText="1"/>
    </xf>
    <xf numFmtId="164" fontId="16" fillId="10" borderId="67" xfId="0" applyNumberFormat="1" applyFont="1" applyFill="1" applyBorder="1" applyAlignment="1">
      <alignment horizontal="center" vertical="center" wrapText="1"/>
    </xf>
    <xf numFmtId="0" fontId="14" fillId="10" borderId="16" xfId="0" applyFont="1" applyFill="1" applyBorder="1" applyAlignment="1" applyProtection="1">
      <alignment horizontal="center" vertical="center" wrapText="1"/>
      <protection locked="0"/>
    </xf>
    <xf numFmtId="0" fontId="0" fillId="0" borderId="16" xfId="0" applyBorder="1" applyAlignment="1">
      <alignment horizontal="justify" vertical="center"/>
    </xf>
    <xf numFmtId="0" fontId="0" fillId="10" borderId="16" xfId="0" applyFill="1" applyBorder="1" applyAlignment="1">
      <alignment horizontal="justify" vertical="center"/>
    </xf>
    <xf numFmtId="0" fontId="0" fillId="10" borderId="12" xfId="0" applyFill="1" applyBorder="1" applyAlignment="1">
      <alignment horizontal="justify" vertical="center"/>
    </xf>
    <xf numFmtId="14" fontId="0" fillId="0" borderId="74" xfId="0" applyNumberFormat="1" applyBorder="1" applyAlignment="1">
      <alignment horizontal="center" vertical="center"/>
    </xf>
    <xf numFmtId="14" fontId="0" fillId="0" borderId="16" xfId="0" applyNumberFormat="1" applyBorder="1" applyAlignment="1">
      <alignment horizontal="center" vertical="center"/>
    </xf>
    <xf numFmtId="14" fontId="0" fillId="0" borderId="12" xfId="0" applyNumberFormat="1" applyBorder="1" applyAlignment="1">
      <alignment horizontal="center" vertical="center"/>
    </xf>
    <xf numFmtId="0" fontId="0" fillId="18" borderId="67" xfId="0" applyFill="1" applyBorder="1" applyAlignment="1">
      <alignment horizontal="justify" vertical="center" wrapText="1"/>
    </xf>
    <xf numFmtId="0" fontId="0" fillId="18" borderId="11" xfId="0" applyFill="1" applyBorder="1" applyAlignment="1">
      <alignment horizontal="justify" vertical="center" wrapText="1"/>
    </xf>
    <xf numFmtId="0" fontId="0" fillId="18" borderId="67" xfId="0" applyFill="1" applyBorder="1" applyAlignment="1">
      <alignment horizontal="justify" vertical="center"/>
    </xf>
    <xf numFmtId="0" fontId="0" fillId="10" borderId="67" xfId="0" applyFill="1" applyBorder="1" applyAlignment="1">
      <alignment horizontal="justify" vertical="center"/>
    </xf>
    <xf numFmtId="0" fontId="73" fillId="0" borderId="74" xfId="0" applyFont="1" applyBorder="1" applyAlignment="1">
      <alignment horizontal="left" vertical="center" wrapText="1"/>
    </xf>
    <xf numFmtId="0" fontId="0" fillId="0" borderId="16" xfId="0" applyBorder="1" applyAlignment="1">
      <alignment horizontal="left" vertical="center"/>
    </xf>
    <xf numFmtId="0" fontId="0" fillId="0" borderId="12" xfId="0" applyBorder="1" applyAlignment="1">
      <alignment horizontal="left" vertical="center"/>
    </xf>
    <xf numFmtId="0" fontId="54" fillId="0" borderId="74" xfId="0" applyFont="1" applyBorder="1" applyAlignment="1">
      <alignment horizontal="center" vertical="center" wrapText="1"/>
    </xf>
    <xf numFmtId="0" fontId="54" fillId="0" borderId="12" xfId="0" applyFont="1" applyBorder="1" applyAlignment="1">
      <alignment horizontal="center" vertical="center" wrapText="1"/>
    </xf>
    <xf numFmtId="14" fontId="54" fillId="0" borderId="74" xfId="0" applyNumberFormat="1" applyFont="1" applyBorder="1" applyAlignment="1">
      <alignment horizontal="center" vertical="center" wrapText="1"/>
    </xf>
    <xf numFmtId="14" fontId="54" fillId="0" borderId="12" xfId="0" applyNumberFormat="1" applyFont="1" applyBorder="1" applyAlignment="1">
      <alignment horizontal="center" vertical="center" wrapText="1"/>
    </xf>
    <xf numFmtId="0" fontId="2" fillId="0" borderId="74"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17" borderId="67" xfId="0" applyFont="1" applyFill="1" applyBorder="1" applyAlignment="1">
      <alignment horizontal="center" vertical="center"/>
    </xf>
    <xf numFmtId="0" fontId="2" fillId="9" borderId="74" xfId="0" applyFont="1" applyFill="1" applyBorder="1" applyAlignment="1" applyProtection="1">
      <alignment horizontal="justify" vertical="center" wrapText="1"/>
      <protection locked="0"/>
    </xf>
    <xf numFmtId="0" fontId="54" fillId="0" borderId="16" xfId="0" applyFont="1" applyBorder="1" applyAlignment="1">
      <alignment horizontal="center" vertical="center" wrapText="1"/>
    </xf>
    <xf numFmtId="14" fontId="54" fillId="0" borderId="16" xfId="0" applyNumberFormat="1" applyFont="1" applyBorder="1" applyAlignment="1">
      <alignment horizontal="center" vertical="center" wrapText="1"/>
    </xf>
    <xf numFmtId="0" fontId="54" fillId="0" borderId="74" xfId="0" applyFont="1" applyBorder="1" applyAlignment="1">
      <alignment horizontal="justify" vertical="center" wrapText="1"/>
    </xf>
    <xf numFmtId="0" fontId="54" fillId="0" borderId="16" xfId="0" applyFont="1" applyBorder="1" applyAlignment="1">
      <alignment horizontal="justify" vertical="center" wrapText="1"/>
    </xf>
    <xf numFmtId="0" fontId="54" fillId="0" borderId="12" xfId="0" applyFont="1" applyBorder="1" applyAlignment="1">
      <alignment horizontal="justify" vertical="center" wrapText="1"/>
    </xf>
    <xf numFmtId="0" fontId="0" fillId="18" borderId="74" xfId="0" applyFill="1" applyBorder="1" applyAlignment="1">
      <alignment horizontal="left" vertical="center" wrapText="1"/>
    </xf>
    <xf numFmtId="0" fontId="0" fillId="18" borderId="12" xfId="0" applyFill="1" applyBorder="1" applyAlignment="1">
      <alignment horizontal="left" vertical="center" wrapText="1"/>
    </xf>
    <xf numFmtId="0" fontId="80" fillId="0" borderId="74" xfId="0" applyFont="1" applyBorder="1" applyAlignment="1">
      <alignment horizontal="justify" vertical="center" wrapText="1"/>
    </xf>
    <xf numFmtId="0" fontId="54" fillId="0" borderId="67" xfId="0" applyFont="1" applyBorder="1" applyAlignment="1">
      <alignment horizontal="left" vertical="center" wrapText="1"/>
    </xf>
    <xf numFmtId="0" fontId="54" fillId="0" borderId="67" xfId="0" applyFont="1" applyBorder="1" applyAlignment="1">
      <alignment horizontal="justify" vertical="center" wrapText="1"/>
    </xf>
    <xf numFmtId="0" fontId="0" fillId="0" borderId="67" xfId="0" applyBorder="1" applyAlignment="1">
      <alignment horizontal="justify" vertical="top" wrapText="1"/>
    </xf>
    <xf numFmtId="0" fontId="37" fillId="13" borderId="72" xfId="0" applyFont="1" applyFill="1" applyBorder="1" applyAlignment="1">
      <alignment horizontal="center" vertical="center"/>
    </xf>
    <xf numFmtId="0" fontId="37" fillId="13" borderId="73" xfId="0" applyFont="1" applyFill="1" applyBorder="1" applyAlignment="1">
      <alignment horizontal="center" vertical="center"/>
    </xf>
    <xf numFmtId="0" fontId="37" fillId="13" borderId="75" xfId="0" applyFont="1" applyFill="1" applyBorder="1" applyAlignment="1">
      <alignment horizontal="center" vertical="center"/>
    </xf>
    <xf numFmtId="0" fontId="37" fillId="13" borderId="58" xfId="0" applyFont="1" applyFill="1" applyBorder="1" applyAlignment="1">
      <alignment horizontal="center" vertical="center"/>
    </xf>
    <xf numFmtId="0" fontId="37" fillId="13" borderId="41" xfId="0" applyFont="1" applyFill="1" applyBorder="1" applyAlignment="1">
      <alignment horizontal="center" vertical="center"/>
    </xf>
    <xf numFmtId="0" fontId="37" fillId="13" borderId="52" xfId="0" applyFont="1" applyFill="1" applyBorder="1" applyAlignment="1">
      <alignment horizontal="center" vertical="center"/>
    </xf>
    <xf numFmtId="0" fontId="2" fillId="9" borderId="25" xfId="0" applyFont="1" applyFill="1" applyBorder="1" applyAlignment="1" applyProtection="1">
      <alignment horizontal="center" vertical="center" wrapText="1"/>
      <protection locked="0"/>
    </xf>
    <xf numFmtId="0" fontId="2" fillId="9" borderId="11" xfId="0" applyFont="1" applyFill="1" applyBorder="1" applyAlignment="1" applyProtection="1">
      <alignment horizontal="center" vertical="center" wrapText="1"/>
      <protection locked="0"/>
    </xf>
    <xf numFmtId="0" fontId="2" fillId="8" borderId="11"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4"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2" fillId="0" borderId="8" xfId="0" applyFont="1" applyBorder="1" applyAlignment="1">
      <alignment horizontal="center" vertical="center" wrapText="1"/>
    </xf>
    <xf numFmtId="0" fontId="2" fillId="0" borderId="17" xfId="0" applyFont="1" applyBorder="1" applyAlignment="1" applyProtection="1">
      <alignment horizontal="center"/>
      <protection locked="0"/>
    </xf>
    <xf numFmtId="0" fontId="2" fillId="10" borderId="8" xfId="0" applyFont="1" applyFill="1" applyBorder="1" applyAlignment="1" applyProtection="1">
      <alignment horizontal="center" vertical="center" wrapText="1"/>
      <protection locked="0"/>
    </xf>
    <xf numFmtId="0" fontId="2" fillId="10" borderId="4" xfId="0" applyFont="1" applyFill="1" applyBorder="1" applyAlignment="1" applyProtection="1">
      <alignment horizontal="center" vertical="center" wrapText="1"/>
      <protection locked="0"/>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1" xfId="0" applyFont="1" applyBorder="1" applyAlignment="1" applyProtection="1">
      <alignment horizontal="center"/>
      <protection locked="0"/>
    </xf>
    <xf numFmtId="0" fontId="33" fillId="0" borderId="19" xfId="0" applyFont="1" applyBorder="1" applyAlignment="1">
      <alignment horizontal="right" vertical="center" wrapText="1"/>
    </xf>
    <xf numFmtId="0" fontId="33" fillId="0" borderId="20" xfId="0" applyFont="1" applyBorder="1" applyAlignment="1">
      <alignment horizontal="right" vertical="center" wrapText="1"/>
    </xf>
    <xf numFmtId="0" fontId="33" fillId="0" borderId="26" xfId="0" applyFont="1" applyBorder="1" applyAlignment="1">
      <alignment horizontal="right" vertical="center" wrapText="1"/>
    </xf>
    <xf numFmtId="0" fontId="33" fillId="0" borderId="0" xfId="0" applyFont="1" applyAlignment="1">
      <alignment horizontal="right" vertical="center" wrapText="1"/>
    </xf>
    <xf numFmtId="0" fontId="33" fillId="0" borderId="27" xfId="0" applyFont="1" applyBorder="1" applyAlignment="1">
      <alignment horizontal="right" vertical="center" wrapText="1"/>
    </xf>
    <xf numFmtId="0" fontId="33" fillId="0" borderId="28" xfId="0" applyFont="1" applyBorder="1" applyAlignment="1">
      <alignment horizontal="right" vertical="center" wrapText="1"/>
    </xf>
    <xf numFmtId="0" fontId="31" fillId="0" borderId="67" xfId="0" applyFont="1" applyBorder="1" applyAlignment="1">
      <alignment horizontal="center" vertical="center" wrapText="1"/>
    </xf>
    <xf numFmtId="0" fontId="2" fillId="9" borderId="8" xfId="0" applyFont="1" applyFill="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14" fillId="8" borderId="25"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2" fillId="0" borderId="67" xfId="0" applyFont="1" applyBorder="1" applyAlignment="1" applyProtection="1">
      <alignment horizontal="center"/>
      <protection locked="0"/>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5"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2" fillId="0" borderId="57" xfId="0" applyFont="1" applyBorder="1" applyAlignment="1" applyProtection="1">
      <alignment horizontal="center" vertical="center" wrapText="1"/>
      <protection locked="0"/>
    </xf>
    <xf numFmtId="0" fontId="35" fillId="21" borderId="41" xfId="0" applyFont="1" applyFill="1" applyBorder="1" applyAlignment="1">
      <alignment horizontal="center"/>
    </xf>
    <xf numFmtId="0" fontId="35" fillId="21" borderId="69" xfId="0" applyFont="1" applyFill="1" applyBorder="1" applyAlignment="1">
      <alignment horizontal="center"/>
    </xf>
    <xf numFmtId="0" fontId="35" fillId="21" borderId="70" xfId="0" applyFont="1" applyFill="1" applyBorder="1" applyAlignment="1">
      <alignment horizontal="center"/>
    </xf>
    <xf numFmtId="0" fontId="35" fillId="21" borderId="71" xfId="0" applyFont="1" applyFill="1" applyBorder="1" applyAlignment="1">
      <alignment horizontal="center"/>
    </xf>
    <xf numFmtId="0" fontId="39" fillId="22" borderId="21" xfId="0" applyFont="1" applyFill="1" applyBorder="1" applyAlignment="1" applyProtection="1">
      <alignment horizontal="center"/>
      <protection hidden="1"/>
    </xf>
    <xf numFmtId="0" fontId="39" fillId="22" borderId="22" xfId="0" applyFont="1" applyFill="1" applyBorder="1" applyAlignment="1" applyProtection="1">
      <alignment horizontal="center"/>
      <protection hidden="1"/>
    </xf>
    <xf numFmtId="0" fontId="39" fillId="22" borderId="23" xfId="0" applyFont="1" applyFill="1" applyBorder="1" applyAlignment="1" applyProtection="1">
      <alignment horizontal="center"/>
      <protection hidden="1"/>
    </xf>
    <xf numFmtId="0" fontId="40" fillId="23" borderId="7" xfId="0" applyFont="1" applyFill="1" applyBorder="1" applyAlignment="1" applyProtection="1">
      <alignment horizontal="center"/>
      <protection hidden="1"/>
    </xf>
    <xf numFmtId="0" fontId="40" fillId="23" borderId="8" xfId="0" applyFont="1" applyFill="1" applyBorder="1" applyAlignment="1" applyProtection="1">
      <alignment horizontal="center"/>
      <protection hidden="1"/>
    </xf>
    <xf numFmtId="0" fontId="0" fillId="18" borderId="21" xfId="0" applyFill="1" applyBorder="1" applyAlignment="1">
      <alignment horizontal="center" wrapText="1"/>
    </xf>
    <xf numFmtId="0" fontId="0" fillId="18" borderId="22" xfId="0" applyFill="1" applyBorder="1" applyAlignment="1">
      <alignment horizontal="center" wrapText="1"/>
    </xf>
    <xf numFmtId="0" fontId="0" fillId="18" borderId="23" xfId="0" applyFill="1" applyBorder="1" applyAlignment="1">
      <alignment horizontal="center" wrapText="1"/>
    </xf>
    <xf numFmtId="0" fontId="0" fillId="18" borderId="13" xfId="0" applyFill="1" applyBorder="1" applyAlignment="1">
      <alignment horizontal="center" wrapText="1"/>
    </xf>
    <xf numFmtId="0" fontId="0" fillId="18" borderId="14" xfId="0" applyFill="1" applyBorder="1" applyAlignment="1">
      <alignment horizontal="center" wrapText="1"/>
    </xf>
    <xf numFmtId="0" fontId="0" fillId="18" borderId="15" xfId="0" applyFill="1" applyBorder="1" applyAlignment="1">
      <alignment horizontal="center" wrapText="1"/>
    </xf>
    <xf numFmtId="0" fontId="0" fillId="19" borderId="34" xfId="0" applyFill="1" applyBorder="1" applyAlignment="1">
      <alignment horizontal="center" vertical="center" wrapText="1"/>
    </xf>
    <xf numFmtId="0" fontId="0" fillId="19" borderId="35" xfId="0" applyFill="1" applyBorder="1" applyAlignment="1">
      <alignment horizontal="center" vertical="center" wrapText="1"/>
    </xf>
    <xf numFmtId="0" fontId="0" fillId="19" borderId="36" xfId="0" applyFill="1" applyBorder="1" applyAlignment="1">
      <alignment horizontal="center" vertical="center" wrapText="1"/>
    </xf>
    <xf numFmtId="0" fontId="28" fillId="19" borderId="21" xfId="0" applyFont="1" applyFill="1" applyBorder="1" applyAlignment="1">
      <alignment horizontal="center" wrapText="1"/>
    </xf>
    <xf numFmtId="0" fontId="28" fillId="19" borderId="22" xfId="0" applyFont="1" applyFill="1" applyBorder="1" applyAlignment="1">
      <alignment horizontal="center" wrapText="1"/>
    </xf>
    <xf numFmtId="0" fontId="28" fillId="19" borderId="23" xfId="0" applyFont="1" applyFill="1" applyBorder="1" applyAlignment="1">
      <alignment horizontal="center" wrapText="1"/>
    </xf>
    <xf numFmtId="0" fontId="28" fillId="19" borderId="37" xfId="0" applyFont="1" applyFill="1" applyBorder="1" applyAlignment="1">
      <alignment horizontal="center" wrapText="1"/>
    </xf>
    <xf numFmtId="0" fontId="28" fillId="19" borderId="0" xfId="0" applyFont="1" applyFill="1" applyAlignment="1">
      <alignment horizontal="center" wrapText="1"/>
    </xf>
    <xf numFmtId="0" fontId="28" fillId="19" borderId="38" xfId="0" applyFont="1" applyFill="1" applyBorder="1" applyAlignment="1">
      <alignment horizontal="center" wrapText="1"/>
    </xf>
    <xf numFmtId="0" fontId="28" fillId="19" borderId="13" xfId="0" applyFont="1" applyFill="1" applyBorder="1" applyAlignment="1">
      <alignment horizontal="center" wrapText="1"/>
    </xf>
    <xf numFmtId="0" fontId="28" fillId="19" borderId="14" xfId="0" applyFont="1" applyFill="1" applyBorder="1" applyAlignment="1">
      <alignment horizontal="center" wrapText="1"/>
    </xf>
    <xf numFmtId="0" fontId="28" fillId="19" borderId="15" xfId="0" applyFont="1" applyFill="1" applyBorder="1" applyAlignment="1">
      <alignment horizontal="center" wrapText="1"/>
    </xf>
    <xf numFmtId="0" fontId="5" fillId="6" borderId="67" xfId="3" applyFont="1" applyFill="1" applyBorder="1" applyAlignment="1">
      <alignment horizontal="center" vertical="center"/>
    </xf>
    <xf numFmtId="0" fontId="7" fillId="0" borderId="67" xfId="3" applyFont="1" applyBorder="1" applyAlignment="1">
      <alignment horizontal="center" vertical="center" wrapText="1"/>
    </xf>
    <xf numFmtId="0" fontId="5" fillId="3" borderId="67" xfId="3" applyFont="1" applyFill="1" applyBorder="1" applyAlignment="1">
      <alignment horizontal="center" vertical="center"/>
    </xf>
    <xf numFmtId="0" fontId="5" fillId="4" borderId="67" xfId="3" applyFont="1" applyFill="1" applyBorder="1" applyAlignment="1">
      <alignment horizontal="center" vertical="center"/>
    </xf>
    <xf numFmtId="0" fontId="5" fillId="5" borderId="67" xfId="3" applyFont="1" applyFill="1" applyBorder="1" applyAlignment="1">
      <alignment horizontal="center" vertical="center"/>
    </xf>
    <xf numFmtId="0" fontId="10" fillId="0" borderId="0" xfId="3" applyFont="1" applyAlignment="1">
      <alignment horizontal="center" vertical="center" wrapText="1"/>
    </xf>
    <xf numFmtId="0" fontId="10" fillId="0" borderId="0" xfId="3" applyFont="1" applyAlignment="1">
      <alignment horizontal="center" wrapText="1"/>
    </xf>
    <xf numFmtId="0" fontId="5" fillId="2" borderId="0" xfId="3" applyFont="1" applyFill="1" applyAlignment="1">
      <alignment horizontal="center" vertical="center"/>
    </xf>
    <xf numFmtId="0" fontId="5" fillId="12" borderId="67" xfId="3" applyFont="1" applyFill="1" applyBorder="1" applyAlignment="1">
      <alignment horizontal="center" vertical="center"/>
    </xf>
    <xf numFmtId="0" fontId="5" fillId="11" borderId="0" xfId="3" applyFont="1" applyFill="1" applyAlignment="1">
      <alignment horizontal="center" vertical="center" textRotation="90"/>
    </xf>
  </cellXfs>
  <cellStyles count="7">
    <cellStyle name="Excel Built-in Normal" xfId="3"/>
    <cellStyle name="Normal" xfId="0" builtinId="0"/>
    <cellStyle name="Normal 2" xfId="2"/>
    <cellStyle name="Normal 3" xfId="1"/>
    <cellStyle name="Normal 4" xfId="4"/>
    <cellStyle name="Normal 5" xfId="6"/>
    <cellStyle name="Porcentaje" xfId="5" builtinId="5"/>
  </cellStyles>
  <dxfs count="77">
    <dxf>
      <alignment horizontal="general" vertical="bottom" textRotation="0" wrapText="1" indent="0" justifyLastLine="0" shrinkToFit="0" readingOrder="0"/>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0000"/>
        </patternFill>
      </fill>
    </dxf>
    <dxf>
      <fill>
        <patternFill>
          <bgColor rgb="FFFFC000"/>
        </patternFill>
      </fill>
    </dxf>
    <dxf>
      <fill>
        <patternFill>
          <bgColor rgb="FFFFFF00"/>
        </patternFill>
      </fill>
    </dxf>
    <dxf>
      <font>
        <color auto="1"/>
      </font>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ont>
        <color auto="1"/>
      </font>
      <fill>
        <patternFill>
          <bgColor rgb="FF00B050"/>
        </patternFill>
      </fill>
    </dxf>
    <dxf>
      <fill>
        <patternFill>
          <bgColor rgb="FFFFC000"/>
        </patternFill>
      </fill>
    </dxf>
    <dxf>
      <font>
        <color auto="1"/>
      </font>
      <fill>
        <patternFill>
          <bgColor rgb="FF00B050"/>
        </patternFill>
      </fill>
    </dxf>
    <dxf>
      <fill>
        <patternFill>
          <bgColor rgb="FFFF00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ont>
        <color auto="1"/>
      </font>
      <fill>
        <patternFill>
          <bgColor rgb="FF00B05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FF00"/>
        </patternFill>
      </fill>
    </dxf>
    <dxf>
      <font>
        <color auto="1"/>
      </font>
      <fill>
        <patternFill>
          <bgColor rgb="FF00B050"/>
        </patternFill>
      </fill>
    </dxf>
    <dxf>
      <fill>
        <patternFill>
          <bgColor rgb="FFFF0000"/>
        </patternFill>
      </fill>
    </dxf>
    <dxf>
      <fill>
        <patternFill>
          <bgColor rgb="FFFFC000"/>
        </patternFill>
      </fill>
    </dxf>
    <dxf>
      <font>
        <color auto="1"/>
      </font>
      <fill>
        <patternFill>
          <bgColor rgb="FF00B050"/>
        </patternFill>
      </fill>
    </dxf>
    <dxf>
      <fill>
        <patternFill>
          <bgColor rgb="FFFF0000"/>
        </patternFill>
      </fill>
    </dxf>
    <dxf>
      <fill>
        <patternFill>
          <bgColor rgb="FFFFC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00FF"/>
      <color rgb="FFE2ECFD"/>
      <color rgb="FF3366CC"/>
      <color rgb="FF66FF33"/>
      <color rgb="FF00CC99"/>
      <color rgb="FFD7EBF7"/>
      <color rgb="FFD4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4.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sharedStrings" Target="sharedStrings.xml"/><Relationship Id="rId48"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customXml" Target="../customXml/item2.xml"/><Relationship Id="rId20" Type="http://schemas.openxmlformats.org/officeDocument/2006/relationships/externalLink" Target="externalLinks/externalLink8.xml"/><Relationship Id="rId4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241481</xdr:colOff>
      <xdr:row>0</xdr:row>
      <xdr:rowOff>0</xdr:rowOff>
    </xdr:from>
    <xdr:to>
      <xdr:col>2</xdr:col>
      <xdr:colOff>1632086</xdr:colOff>
      <xdr:row>1</xdr:row>
      <xdr:rowOff>402465</xdr:rowOff>
    </xdr:to>
    <xdr:pic>
      <xdr:nvPicPr>
        <xdr:cNvPr id="3" name="Imagen 2">
          <a:extLst>
            <a:ext uri="{FF2B5EF4-FFF2-40B4-BE49-F238E27FC236}">
              <a16:creationId xmlns:a16="http://schemas.microsoft.com/office/drawing/2014/main" id="{F8AB148D-9F99-4805-AB9B-7A3BA649A9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481" y="0"/>
          <a:ext cx="3952964" cy="9793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2364406</xdr:colOff>
      <xdr:row>5</xdr:row>
      <xdr:rowOff>1090084</xdr:rowOff>
    </xdr:to>
    <xdr:pic>
      <xdr:nvPicPr>
        <xdr:cNvPr id="6" name="Imagen 5">
          <a:extLst>
            <a:ext uri="{FF2B5EF4-FFF2-40B4-BE49-F238E27FC236}">
              <a16:creationId xmlns:a16="http://schemas.microsoft.com/office/drawing/2014/main" id="{DBCD6CC9-029D-91D5-B7EF-9E827AE767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269406" cy="10900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67076</xdr:colOff>
      <xdr:row>0</xdr:row>
      <xdr:rowOff>0</xdr:rowOff>
    </xdr:from>
    <xdr:to>
      <xdr:col>2</xdr:col>
      <xdr:colOff>1837922</xdr:colOff>
      <xdr:row>2</xdr:row>
      <xdr:rowOff>339426</xdr:rowOff>
    </xdr:to>
    <xdr:pic>
      <xdr:nvPicPr>
        <xdr:cNvPr id="3" name="Imagen 2">
          <a:extLst>
            <a:ext uri="{FF2B5EF4-FFF2-40B4-BE49-F238E27FC236}">
              <a16:creationId xmlns:a16="http://schemas.microsoft.com/office/drawing/2014/main" id="{AE9BFC74-77BB-4278-88DE-11EA0E6FE0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76" y="0"/>
          <a:ext cx="4333205" cy="10906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47626</xdr:colOff>
      <xdr:row>0</xdr:row>
      <xdr:rowOff>0</xdr:rowOff>
    </xdr:from>
    <xdr:to>
      <xdr:col>3</xdr:col>
      <xdr:colOff>600076</xdr:colOff>
      <xdr:row>2</xdr:row>
      <xdr:rowOff>166469</xdr:rowOff>
    </xdr:to>
    <xdr:pic>
      <xdr:nvPicPr>
        <xdr:cNvPr id="2" name="Imagen 1">
          <a:extLst>
            <a:ext uri="{FF2B5EF4-FFF2-40B4-BE49-F238E27FC236}">
              <a16:creationId xmlns:a16="http://schemas.microsoft.com/office/drawing/2014/main" id="{FBE39CC2-E377-43C9-BB90-04EF8AFD2B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1626" y="0"/>
          <a:ext cx="2209800" cy="5474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1047750</xdr:colOff>
      <xdr:row>0</xdr:row>
      <xdr:rowOff>123825</xdr:rowOff>
    </xdr:from>
    <xdr:to>
      <xdr:col>4</xdr:col>
      <xdr:colOff>923925</xdr:colOff>
      <xdr:row>4</xdr:row>
      <xdr:rowOff>131423</xdr:rowOff>
    </xdr:to>
    <xdr:pic>
      <xdr:nvPicPr>
        <xdr:cNvPr id="2" name="Imagen 1">
          <a:extLst>
            <a:ext uri="{FF2B5EF4-FFF2-40B4-BE49-F238E27FC236}">
              <a16:creationId xmlns:a16="http://schemas.microsoft.com/office/drawing/2014/main" id="{4CBE616C-E31D-434D-9F43-D1A300C891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0" y="123825"/>
          <a:ext cx="3057525" cy="7695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iguelito/Downloads/Riesgos%20de%20Formulaci&#243;n%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Miguelito/Downloads/Riesgos%20Contractual%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Miguelito/Downloads/Riesgos%20Prensa%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Miguelito/Downloads/Riesgos%20Proyectos%20Normativos%2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Miguelito/Downloads/10.%20Mapa%20de%20Riesgos%20Gesti&#243;n%20Juridic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Miguelito/Downloads/Gesti&#243;n%20contra%20la%20criminalidad_SRPA-SPenintenciarioC.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Miguelito/Downloads/Riesgos%20Drogas_1%20(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Miguelito/Downloads/Riesgos%20Gesti&#243;n%20Financiera%20(1)%20(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Miguelito/Downloads/Riesgos%20Gesti&#243;n%20Humana%2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Miguelito/Downloads/Formato%20matriz%20de%20riesgos_Gesti&#243;n%20Mejora%20Institucional_071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SECAR/Downloads/2.%20Mapa%20de%20riesgos%20DIRyPLA__%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Miguelito/Downloads/PLANES%20Formato%20de%20Riesgos%20VF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Miguelito/Downloads/Riesgos%20Gesti&#243;n%20Humana%20oct%202020%20(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minjusticiagovco-my.sharepoint.com/personal/mjrodriguez_minjusticia_gov_co/Documents/MATRIZ%20DE%20RIESGOS/VIGENCIA%202022/PRIMER%20CUATRIMESTRE/Riesgos%20OAP%20(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minjusticiagovco-my.sharepoint.com/personal/mjrodriguez_minjusticia_gov_co/Documents/MATRIZ%20DE%20RIESGOS/VIGENCIA%202022/PRIMER%20CUATRIMESTRE/Mapa%20de%20Riesgos%20DIRECCIONAMIENTO%20(3).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Users\mauord\Downloads\Mapa%20de%20Riesgos%20corrupcion%20Ajustada_consolidada.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Users\mauord\Downloads\Mapa%20de%20Riesgos%20corrupcion%20GGFC%20SEPTIEMBRE%205%20DE%20202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MAUORD/Desktop/1.%20Mapa%20de%20Riesgos%20corrupcion%20agosto_2021%20GGH.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minjusticiagovco-my.sharepoint.com/personal/mjrodriguez_minjusticia_gov_co/Documents/MATRIZ%20DE%20RIESGOS/VIGENCIA%202022/PRIMER%20CUATRIMESTRE/MATRIZ%20RIESGOS%20GESTION%20Y%20CORRUPCI&#211;N%20FINAL%20(1).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minjusticiagovco-my.sharepoint.com/C:/Users/DIGITAL%20EXITO/Downloads/Corrupci&#243;n%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DIGITAL%20EXITO\Downloads\Riesgos%20Gestio&#769;n%20Financiera%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DIGITAL%20EXITO\Downloads\Riesgos%20Asuntos%20Internacional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na%20sofia/Downloads/RIESGO%20GRUPO%20GESTI&#211;N%20DOCUMENTAL%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iguelito/Downloads/Matriz%20de%20riesgos_Proceso%20GG_2306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iguelito/Downloads/DDDOJ%20190820%20Formato%20de%20Riesgos%20VF1%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iguelito/Downloads/Mapa%20de%20Riesgos_PROCESO%20SEGUIMIENTO%20Y%20EVALUACI&#211;N%20(1)%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iguelito/Downloads/Mapa%20de%20Riesgos%20Seguridad%20jur&#237;d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Listados"/>
      <sheetName val="Corrupción"/>
      <sheetName val="Seguridad Información"/>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sheetData sheetId="2"/>
      <sheetData sheetId="3"/>
      <sheetData sheetId="4"/>
      <sheetData sheetId="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Hoja1"/>
      <sheetName val="Matriz Riesgos Seg. Información"/>
      <sheetName val="Seguridad Información"/>
      <sheetName val="Probabilidad Seguridad Informac"/>
      <sheetName val="Riesgo Corrupción"/>
      <sheetName val="Corrupción"/>
      <sheetName val="CONTROLES"/>
      <sheetName val="Matriz de calificación"/>
      <sheetName val="Matriz de calificación (2)"/>
    </sheetNames>
    <sheetDataSet>
      <sheetData sheetId="0">
        <row r="3">
          <cell r="B3" t="str">
            <v xml:space="preserve">Gestión del Conocimiento </v>
          </cell>
          <cell r="C3" t="str">
            <v xml:space="preserve">Gestión del Conocimiento </v>
          </cell>
          <cell r="M3" t="str">
            <v>Rara vezInsignificante</v>
          </cell>
          <cell r="N3" t="str">
            <v>Bajo</v>
          </cell>
          <cell r="P3" t="str">
            <v>Bajo</v>
          </cell>
          <cell r="Q3" t="str">
            <v>Asumir el riesgo</v>
          </cell>
          <cell r="U3" t="str">
            <v>FuerteFuerte</v>
          </cell>
          <cell r="V3" t="str">
            <v>Fuerte</v>
          </cell>
        </row>
        <row r="4">
          <cell r="B4" t="str">
            <v>Gestión de la Información y las comunicaciones</v>
          </cell>
          <cell r="C4" t="str">
            <v>Proveer información oportuna, confiable, veraz y accesible a clientes internos y externos del Ministerio de Justicia y del Derecho.</v>
          </cell>
          <cell r="M4" t="str">
            <v>Rara vezMenor</v>
          </cell>
          <cell r="N4" t="str">
            <v>Bajo</v>
          </cell>
          <cell r="P4" t="str">
            <v>Moderado</v>
          </cell>
          <cell r="Q4" t="str">
            <v xml:space="preserve"> Reducir el riesgo</v>
          </cell>
          <cell r="U4" t="str">
            <v>FuerteModerado</v>
          </cell>
          <cell r="V4" t="str">
            <v>Moderado</v>
          </cell>
        </row>
        <row r="5">
          <cell r="B5" t="str">
            <v>Gestión de la Relación con los Grupos de Interés</v>
          </cell>
          <cell r="C5" t="str">
            <v>Gestionar la relación con los grupos de interés del Ministerio de Justicia y del Derecho, mediante el diseño y desarrollo de instrumentos, actividades y estrategias de servicio y participación ciudadana, la atención de sus requerimientos y la promoción del gobierno abierto. Con el propósito de contribuir a la generación de valor público en la Entidad, en alineación con los objetivos institucionales y las buenas prácticas nacionales e internacionales</v>
          </cell>
          <cell r="M5" t="str">
            <v>Rara vezModerado</v>
          </cell>
          <cell r="N5" t="str">
            <v>Moderado</v>
          </cell>
          <cell r="P5" t="str">
            <v>Alto</v>
          </cell>
          <cell r="Q5" t="str">
            <v>Reducir el riesgo</v>
          </cell>
          <cell r="U5" t="str">
            <v>FuerteDébil</v>
          </cell>
          <cell r="V5" t="str">
            <v>Débil</v>
          </cell>
        </row>
        <row r="6">
          <cell r="B6" t="str">
            <v>Mejora Integral de la Gestión Institucional</v>
          </cell>
          <cell r="C6" t="str">
            <v xml:space="preserve">Coordinar y administrar la implementación del Sistema Integrado de Gestión del Ministerio de Justicia y de Derecho, con el fin de 
asegurar su mejora contlnua, conveniencia, eficacia y eficiencia conforme con los estándares adoptados. </v>
          </cell>
          <cell r="M6" t="str">
            <v>Rara vezMayor</v>
          </cell>
          <cell r="N6" t="str">
            <v>Alto</v>
          </cell>
          <cell r="P6" t="str">
            <v>Extremo</v>
          </cell>
          <cell r="Q6" t="str">
            <v>Evitar el riesgo</v>
          </cell>
          <cell r="U6" t="str">
            <v>ModeradoFuerte</v>
          </cell>
          <cell r="V6" t="str">
            <v>Moderado</v>
          </cell>
        </row>
        <row r="7">
          <cell r="B7" t="str">
            <v>Direccionamiento y Planeación Institucional</v>
          </cell>
          <cell r="C7" t="str">
            <v xml:space="preserve">Orientar la gestion de la entidad y del sector para que las acciones se deriven de una planeación eficiente y articulada que optimice 
el uso de los recursos en el logro de los objetivos institucionales. </v>
          </cell>
          <cell r="M7" t="str">
            <v>Rara vezCatastrófico</v>
          </cell>
          <cell r="N7" t="str">
            <v>Extremo</v>
          </cell>
          <cell r="U7" t="str">
            <v>ModeradoModerado</v>
          </cell>
          <cell r="V7" t="str">
            <v>Moderado</v>
          </cell>
        </row>
        <row r="8">
          <cell r="B8" t="str">
            <v>Gestión contra la Criminalidad y la Reincidencia</v>
          </cell>
          <cell r="C8" t="str">
            <v>Gestión contra la Criminalidad y la Reincidencia</v>
          </cell>
          <cell r="K8" t="str">
            <v>Rara Vez</v>
          </cell>
          <cell r="L8">
            <v>1</v>
          </cell>
          <cell r="M8" t="str">
            <v>ImprobableInsignificante</v>
          </cell>
          <cell r="N8" t="str">
            <v>Bajo</v>
          </cell>
          <cell r="U8" t="str">
            <v>ModeradoDébil</v>
          </cell>
          <cell r="V8" t="str">
            <v>Débil</v>
          </cell>
        </row>
        <row r="9">
          <cell r="B9" t="str">
            <v>Formulación y Seguimiento de las Políticas Públicas</v>
          </cell>
          <cell r="C9" t="str">
            <v>Formularlos criterios,parámetros o lineamientos generales elegidos para abordar las prioridades de la agenda pública en materia de justicia y del derecho y orientar las decisiones respecto a una necesidad o situación de interés público en las materias de competencia del sector de Justicia y del Derecho;hacer seguimiento a las acciones definidas para su implementación o desarrollo y efectuar los ajustes que se requieran.</v>
          </cell>
          <cell r="K9" t="str">
            <v>Improbable</v>
          </cell>
          <cell r="L9">
            <v>2</v>
          </cell>
          <cell r="M9" t="str">
            <v>ImprobableMenor</v>
          </cell>
          <cell r="N9" t="str">
            <v>Bajo</v>
          </cell>
          <cell r="U9" t="str">
            <v>DébilFuerte</v>
          </cell>
          <cell r="V9" t="str">
            <v>Débil</v>
          </cell>
        </row>
        <row r="10">
          <cell r="B10" t="str">
            <v>Formulación y Seguimiento de Proyectos Normativos</v>
          </cell>
          <cell r="C10" t="str">
            <v>Formular proyectos de actos normativos de acuerdo con las políticas que orientan el sector Justicia y del Derecho,que sirven de herramienta para cumplir con los objetivos del Ministerio en beneficio de la comunidad y partes interesadas de acuerdo con el ordenamiento jurídico vigente.</v>
          </cell>
          <cell r="K10" t="str">
            <v>Posible</v>
          </cell>
          <cell r="L10">
            <v>3</v>
          </cell>
          <cell r="M10" t="str">
            <v>ImprobableModerado</v>
          </cell>
          <cell r="N10" t="str">
            <v>Moderado</v>
          </cell>
          <cell r="U10" t="str">
            <v>DébilModerado</v>
          </cell>
          <cell r="V10" t="str">
            <v>Débil</v>
          </cell>
        </row>
        <row r="11">
          <cell r="B11" t="str">
            <v>Acceso a la Justicia</v>
          </cell>
          <cell r="C11" t="str">
            <v>Acceso a la Justicia</v>
          </cell>
          <cell r="K11" t="str">
            <v>Probable</v>
          </cell>
          <cell r="L11">
            <v>4</v>
          </cell>
          <cell r="M11" t="str">
            <v>ImprobableMayor</v>
          </cell>
          <cell r="N11" t="str">
            <v>Alto</v>
          </cell>
          <cell r="U11" t="str">
            <v>DébilDébil</v>
          </cell>
          <cell r="V11" t="str">
            <v>Débil</v>
          </cell>
        </row>
        <row r="12">
          <cell r="B12" t="str">
            <v>Fortalecimiento del Principio de Seguridad Jurídica</v>
          </cell>
          <cell r="C12" t="str">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ell>
          <cell r="K12" t="str">
            <v>Casi seguro</v>
          </cell>
          <cell r="L12">
            <v>5</v>
          </cell>
          <cell r="M12" t="str">
            <v>ImprobableCatastrófico</v>
          </cell>
          <cell r="N12" t="str">
            <v>Extremo</v>
          </cell>
        </row>
        <row r="13">
          <cell r="B13" t="str">
            <v>Gestión Administrativa</v>
          </cell>
          <cell r="C13" t="str">
            <v>Fijar los lineamientos, parámetros y actividades requeridas para garantizar la gestión de los servicios administrativos, logísticos y la administración de los bienes necesario para la operación del Ministerio de Justicia y del Derecho.</v>
          </cell>
          <cell r="M13" t="str">
            <v>PosibleInsignificante</v>
          </cell>
          <cell r="N13" t="str">
            <v>Bajo</v>
          </cell>
        </row>
        <row r="14">
          <cell r="B14" t="str">
            <v>Gestión Financiera</v>
          </cell>
          <cell r="C14" t="str">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ell>
          <cell r="M14" t="str">
            <v>PosibleMenor</v>
          </cell>
          <cell r="N14" t="str">
            <v>Moderado</v>
          </cell>
        </row>
        <row r="15">
          <cell r="B15" t="str">
            <v>Gestión de las Tecnologías y la Información</v>
          </cell>
          <cell r="C15" t="str">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ell>
          <cell r="M15" t="str">
            <v>PosibleModerado</v>
          </cell>
          <cell r="N15" t="str">
            <v>Alto</v>
          </cell>
        </row>
        <row r="16">
          <cell r="B16" t="str">
            <v>Gestión Contractual</v>
          </cell>
          <cell r="C16" t="str">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ell>
          <cell r="M16" t="str">
            <v>PosibleMayor</v>
          </cell>
          <cell r="N16" t="str">
            <v>Extremo</v>
          </cell>
        </row>
        <row r="17">
          <cell r="B17" t="str">
            <v>Gestión Jurídica</v>
          </cell>
          <cell r="C17" t="str">
            <v>Apoyar a las diferentes dependencias de la Entidad y del Sector Justicia en el cumplimiento de su función administrativa, emitir conceptos jurídicos, defender y representar jurídicamente al Ministerio de Justicia y del Derecho</v>
          </cell>
          <cell r="M17" t="str">
            <v>PosibleCatastrófico</v>
          </cell>
          <cell r="N17" t="str">
            <v>Extremo</v>
          </cell>
        </row>
        <row r="18">
          <cell r="B18" t="str">
            <v>Gestión Documental</v>
          </cell>
          <cell r="C18" t="str">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ell>
          <cell r="J18">
            <v>-1</v>
          </cell>
          <cell r="K18" t="str">
            <v>Rara Vez</v>
          </cell>
          <cell r="M18" t="str">
            <v>ProbableInsignificante</v>
          </cell>
          <cell r="N18" t="str">
            <v>Moderado</v>
          </cell>
        </row>
        <row r="19">
          <cell r="B19" t="str">
            <v>Gestión del Talento Humano</v>
          </cell>
          <cell r="C19" t="str">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ell>
          <cell r="J19">
            <v>0</v>
          </cell>
          <cell r="K19" t="str">
            <v>Rara Vez</v>
          </cell>
          <cell r="M19" t="str">
            <v>ProbableMenor</v>
          </cell>
          <cell r="N19" t="str">
            <v>Alto</v>
          </cell>
        </row>
        <row r="20">
          <cell r="B20" t="str">
            <v>Seguimiento y Evaluación</v>
          </cell>
          <cell r="C20" t="str">
            <v>Evaluar y/o hacer seguimiento a la planeación, ejecución y control en la gestión de los procesos (SIG), programas, planes y proyectos del Ministerio de Justicia y del Derecho para el mejoramiento continuo de la gestión de la Entidad.</v>
          </cell>
          <cell r="J20">
            <v>1</v>
          </cell>
          <cell r="K20" t="str">
            <v>Rara Vez</v>
          </cell>
          <cell r="M20" t="str">
            <v>ProbableModerado</v>
          </cell>
          <cell r="N20" t="str">
            <v>Alto</v>
          </cell>
        </row>
        <row r="21">
          <cell r="J21">
            <v>2</v>
          </cell>
          <cell r="K21" t="str">
            <v>Improbable</v>
          </cell>
          <cell r="M21" t="str">
            <v>ProbableMayor</v>
          </cell>
          <cell r="N21" t="str">
            <v>Extremo</v>
          </cell>
        </row>
        <row r="22">
          <cell r="J22">
            <v>3</v>
          </cell>
          <cell r="K22" t="str">
            <v>Posible</v>
          </cell>
          <cell r="M22" t="str">
            <v>ProbableCatastrófico</v>
          </cell>
          <cell r="N22" t="str">
            <v>Extremo</v>
          </cell>
        </row>
        <row r="23">
          <cell r="J23">
            <v>4</v>
          </cell>
          <cell r="K23" t="str">
            <v>Probable</v>
          </cell>
          <cell r="M23" t="str">
            <v>Casi seguroInsignificante</v>
          </cell>
          <cell r="N23" t="str">
            <v>Alto</v>
          </cell>
        </row>
        <row r="24">
          <cell r="J24">
            <v>5</v>
          </cell>
          <cell r="K24" t="str">
            <v>Casi seguro</v>
          </cell>
          <cell r="M24" t="str">
            <v>Casi seguroMenor</v>
          </cell>
          <cell r="N24" t="str">
            <v>Alto</v>
          </cell>
        </row>
        <row r="25">
          <cell r="M25" t="str">
            <v>Casi seguroModerado</v>
          </cell>
          <cell r="N25" t="str">
            <v>Extremo</v>
          </cell>
        </row>
        <row r="26">
          <cell r="M26" t="str">
            <v>Casi seguroMayor</v>
          </cell>
          <cell r="N26" t="str">
            <v>Extremo</v>
          </cell>
        </row>
        <row r="27">
          <cell r="M27" t="str">
            <v>Casi seguroCatastrófico</v>
          </cell>
          <cell r="N27" t="str">
            <v>Extremo</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Hoja1"/>
      <sheetName val="Matriz Riesgos Seg. Información"/>
      <sheetName val="Seguridad Información"/>
      <sheetName val="Probabilidad Seguridad Informac"/>
      <sheetName val="Riesgo Corrupción"/>
      <sheetName val="Corrupción"/>
      <sheetName val="CONTROLES"/>
      <sheetName val="Matriz de calificación"/>
      <sheetName val="Matriz de calificación (2)"/>
    </sheetNames>
    <sheetDataSet>
      <sheetData sheetId="0">
        <row r="3">
          <cell r="M3" t="str">
            <v>Rara vezInsignificante</v>
          </cell>
          <cell r="N3" t="str">
            <v>Bajo</v>
          </cell>
          <cell r="P3" t="str">
            <v>Bajo</v>
          </cell>
          <cell r="Q3" t="str">
            <v>Asumir el riesgo</v>
          </cell>
          <cell r="U3" t="str">
            <v>FuerteFuerte</v>
          </cell>
          <cell r="V3" t="str">
            <v>Fuerte</v>
          </cell>
        </row>
        <row r="4">
          <cell r="M4" t="str">
            <v>Rara vezMenor</v>
          </cell>
          <cell r="N4" t="str">
            <v>Bajo</v>
          </cell>
          <cell r="P4" t="str">
            <v>Moderado</v>
          </cell>
          <cell r="Q4" t="str">
            <v xml:space="preserve"> Reducir el riesgo</v>
          </cell>
          <cell r="U4" t="str">
            <v>FuerteModerado</v>
          </cell>
          <cell r="V4" t="str">
            <v>Moderado</v>
          </cell>
        </row>
        <row r="5">
          <cell r="M5" t="str">
            <v>Rara vezModerado</v>
          </cell>
          <cell r="N5" t="str">
            <v>Moderado</v>
          </cell>
          <cell r="P5" t="str">
            <v>Alto</v>
          </cell>
          <cell r="Q5" t="str">
            <v>Reducir el riesgo</v>
          </cell>
          <cell r="U5" t="str">
            <v>FuerteDébil</v>
          </cell>
          <cell r="V5" t="str">
            <v>Débil</v>
          </cell>
        </row>
        <row r="6">
          <cell r="M6" t="str">
            <v>Rara vezMayor</v>
          </cell>
          <cell r="N6" t="str">
            <v>Alto</v>
          </cell>
          <cell r="P6" t="str">
            <v>Extremo</v>
          </cell>
          <cell r="Q6" t="str">
            <v>Evitar el riesgo</v>
          </cell>
          <cell r="U6" t="str">
            <v>ModeradoFuerte</v>
          </cell>
          <cell r="V6" t="str">
            <v>Moderado</v>
          </cell>
        </row>
        <row r="7">
          <cell r="M7" t="str">
            <v>Rara vezCatastrófico</v>
          </cell>
          <cell r="N7" t="str">
            <v>Extremo</v>
          </cell>
          <cell r="U7" t="str">
            <v>ModeradoModerado</v>
          </cell>
          <cell r="V7" t="str">
            <v>Moderado</v>
          </cell>
        </row>
        <row r="8">
          <cell r="K8" t="str">
            <v>Rara Vez</v>
          </cell>
          <cell r="L8">
            <v>1</v>
          </cell>
          <cell r="M8" t="str">
            <v>ImprobableInsignificante</v>
          </cell>
          <cell r="N8" t="str">
            <v>Bajo</v>
          </cell>
          <cell r="U8" t="str">
            <v>ModeradoDébil</v>
          </cell>
          <cell r="V8" t="str">
            <v>Débil</v>
          </cell>
        </row>
        <row r="9">
          <cell r="K9" t="str">
            <v>Improbable</v>
          </cell>
          <cell r="L9">
            <v>2</v>
          </cell>
          <cell r="M9" t="str">
            <v>ImprobableMenor</v>
          </cell>
          <cell r="N9" t="str">
            <v>Bajo</v>
          </cell>
          <cell r="U9" t="str">
            <v>DébilFuerte</v>
          </cell>
          <cell r="V9" t="str">
            <v>Débil</v>
          </cell>
        </row>
        <row r="10">
          <cell r="K10" t="str">
            <v>Posible</v>
          </cell>
          <cell r="L10">
            <v>3</v>
          </cell>
          <cell r="M10" t="str">
            <v>ImprobableModerado</v>
          </cell>
          <cell r="N10" t="str">
            <v>Moderado</v>
          </cell>
          <cell r="U10" t="str">
            <v>DébilModerado</v>
          </cell>
          <cell r="V10" t="str">
            <v>Débil</v>
          </cell>
        </row>
        <row r="11">
          <cell r="K11" t="str">
            <v>Probable</v>
          </cell>
          <cell r="L11">
            <v>4</v>
          </cell>
          <cell r="M11" t="str">
            <v>ImprobableMayor</v>
          </cell>
          <cell r="N11" t="str">
            <v>Alto</v>
          </cell>
          <cell r="U11" t="str">
            <v>DébilDébil</v>
          </cell>
          <cell r="V11" t="str">
            <v>Débil</v>
          </cell>
        </row>
        <row r="12">
          <cell r="K12" t="str">
            <v>Casi seguro</v>
          </cell>
          <cell r="L12">
            <v>5</v>
          </cell>
          <cell r="M12" t="str">
            <v>ImprobableCatastrófico</v>
          </cell>
          <cell r="N12" t="str">
            <v>Extremo</v>
          </cell>
        </row>
        <row r="13">
          <cell r="M13" t="str">
            <v>PosibleInsignificante</v>
          </cell>
          <cell r="N13" t="str">
            <v>Bajo</v>
          </cell>
        </row>
        <row r="14">
          <cell r="M14" t="str">
            <v>PosibleMenor</v>
          </cell>
          <cell r="N14" t="str">
            <v>Moderado</v>
          </cell>
        </row>
        <row r="15">
          <cell r="M15" t="str">
            <v>PosibleModerado</v>
          </cell>
          <cell r="N15" t="str">
            <v>Alto</v>
          </cell>
        </row>
        <row r="16">
          <cell r="M16" t="str">
            <v>PosibleMayor</v>
          </cell>
          <cell r="N16" t="str">
            <v>Extremo</v>
          </cell>
        </row>
        <row r="17">
          <cell r="M17" t="str">
            <v>PosibleCatastrófico</v>
          </cell>
          <cell r="N17" t="str">
            <v>Extremo</v>
          </cell>
        </row>
        <row r="18">
          <cell r="J18">
            <v>-1</v>
          </cell>
          <cell r="K18" t="str">
            <v>Rara Vez</v>
          </cell>
          <cell r="M18" t="str">
            <v>ProbableInsignificante</v>
          </cell>
          <cell r="N18" t="str">
            <v>Moderado</v>
          </cell>
        </row>
        <row r="19">
          <cell r="J19">
            <v>0</v>
          </cell>
          <cell r="K19" t="str">
            <v>Rara Vez</v>
          </cell>
          <cell r="M19" t="str">
            <v>ProbableMenor</v>
          </cell>
          <cell r="N19" t="str">
            <v>Alto</v>
          </cell>
        </row>
        <row r="20">
          <cell r="J20">
            <v>1</v>
          </cell>
          <cell r="K20" t="str">
            <v>Rara Vez</v>
          </cell>
          <cell r="M20" t="str">
            <v>ProbableModerado</v>
          </cell>
          <cell r="N20" t="str">
            <v>Alto</v>
          </cell>
        </row>
        <row r="21">
          <cell r="J21">
            <v>2</v>
          </cell>
          <cell r="K21" t="str">
            <v>Improbable</v>
          </cell>
          <cell r="M21" t="str">
            <v>ProbableMayor</v>
          </cell>
          <cell r="N21" t="str">
            <v>Extremo</v>
          </cell>
        </row>
        <row r="22">
          <cell r="J22">
            <v>3</v>
          </cell>
          <cell r="K22" t="str">
            <v>Posible</v>
          </cell>
          <cell r="M22" t="str">
            <v>ProbableCatastrófico</v>
          </cell>
          <cell r="N22" t="str">
            <v>Extremo</v>
          </cell>
        </row>
        <row r="23">
          <cell r="J23">
            <v>4</v>
          </cell>
          <cell r="K23" t="str">
            <v>Probable</v>
          </cell>
          <cell r="M23" t="str">
            <v>Casi seguroInsignificante</v>
          </cell>
          <cell r="N23" t="str">
            <v>Alto</v>
          </cell>
        </row>
        <row r="24">
          <cell r="J24">
            <v>5</v>
          </cell>
          <cell r="K24" t="str">
            <v>Casi seguro</v>
          </cell>
          <cell r="M24" t="str">
            <v>Casi seguroMenor</v>
          </cell>
          <cell r="N24" t="str">
            <v>Alto</v>
          </cell>
        </row>
        <row r="25">
          <cell r="M25" t="str">
            <v>Casi seguroModerado</v>
          </cell>
          <cell r="N25" t="str">
            <v>Extremo</v>
          </cell>
        </row>
        <row r="26">
          <cell r="M26" t="str">
            <v>Casi seguroMayor</v>
          </cell>
          <cell r="N26" t="str">
            <v>Extremo</v>
          </cell>
        </row>
        <row r="27">
          <cell r="M27" t="str">
            <v>Casi seguroCatastrófico</v>
          </cell>
          <cell r="N27" t="str">
            <v>Extremo</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sheetData>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3">
          <cell r="M3" t="str">
            <v>Rara vezInsignificante</v>
          </cell>
          <cell r="N3" t="str">
            <v>Bajo</v>
          </cell>
          <cell r="P3" t="str">
            <v>Bajo</v>
          </cell>
          <cell r="Q3" t="str">
            <v>Asumir el riesgo</v>
          </cell>
          <cell r="U3" t="str">
            <v>FuerteFuerte</v>
          </cell>
          <cell r="V3" t="str">
            <v>Fuerte</v>
          </cell>
        </row>
        <row r="4">
          <cell r="M4" t="str">
            <v>Rara vezMenor</v>
          </cell>
          <cell r="N4" t="str">
            <v>Bajo</v>
          </cell>
          <cell r="P4" t="str">
            <v>Moderado</v>
          </cell>
          <cell r="Q4" t="str">
            <v xml:space="preserve"> Reducir el riesgo</v>
          </cell>
          <cell r="U4" t="str">
            <v>FuerteModerado</v>
          </cell>
          <cell r="V4" t="str">
            <v>Moderado</v>
          </cell>
        </row>
        <row r="5">
          <cell r="M5" t="str">
            <v>Rara vezModerado</v>
          </cell>
          <cell r="N5" t="str">
            <v>Moderado</v>
          </cell>
          <cell r="P5" t="str">
            <v>Alto</v>
          </cell>
          <cell r="Q5" t="str">
            <v>Reducir el riesgo</v>
          </cell>
          <cell r="U5" t="str">
            <v>FuerteDébil</v>
          </cell>
          <cell r="V5" t="str">
            <v>Débil</v>
          </cell>
        </row>
        <row r="6">
          <cell r="M6" t="str">
            <v>Rara vezMayor</v>
          </cell>
          <cell r="N6" t="str">
            <v>Alto</v>
          </cell>
          <cell r="P6" t="str">
            <v>Extremo</v>
          </cell>
          <cell r="Q6" t="str">
            <v>Evitar el riesgo</v>
          </cell>
          <cell r="U6" t="str">
            <v>ModeradoFuerte</v>
          </cell>
          <cell r="V6" t="str">
            <v>Moderado</v>
          </cell>
        </row>
        <row r="7">
          <cell r="M7" t="str">
            <v>Rara vezCatastrófico</v>
          </cell>
          <cell r="N7" t="str">
            <v>Extremo</v>
          </cell>
          <cell r="U7" t="str">
            <v>ModeradoModerado</v>
          </cell>
          <cell r="V7" t="str">
            <v>Moderado</v>
          </cell>
        </row>
        <row r="8">
          <cell r="M8" t="str">
            <v>ImprobableInsignificante</v>
          </cell>
          <cell r="N8" t="str">
            <v>Bajo</v>
          </cell>
          <cell r="U8" t="str">
            <v>ModeradoDébil</v>
          </cell>
          <cell r="V8" t="str">
            <v>Débil</v>
          </cell>
        </row>
        <row r="9">
          <cell r="M9" t="str">
            <v>ImprobableMenor</v>
          </cell>
          <cell r="N9" t="str">
            <v>Bajo</v>
          </cell>
          <cell r="U9" t="str">
            <v>DébilFuerte</v>
          </cell>
          <cell r="V9" t="str">
            <v>Débil</v>
          </cell>
        </row>
        <row r="10">
          <cell r="M10" t="str">
            <v>ImprobableModerado</v>
          </cell>
          <cell r="N10" t="str">
            <v>Moderado</v>
          </cell>
          <cell r="U10" t="str">
            <v>DébilModerado</v>
          </cell>
          <cell r="V10" t="str">
            <v>Débil</v>
          </cell>
        </row>
        <row r="11">
          <cell r="M11" t="str">
            <v>ImprobableMayor</v>
          </cell>
          <cell r="N11" t="str">
            <v>Alto</v>
          </cell>
          <cell r="U11" t="str">
            <v>DébilDébil</v>
          </cell>
          <cell r="V11" t="str">
            <v>Débil</v>
          </cell>
        </row>
        <row r="12">
          <cell r="M12" t="str">
            <v>ImprobableCatastrófico</v>
          </cell>
          <cell r="N12" t="str">
            <v>Extremo</v>
          </cell>
        </row>
        <row r="13">
          <cell r="M13" t="str">
            <v>PosibleInsignificante</v>
          </cell>
          <cell r="N13" t="str">
            <v>Bajo</v>
          </cell>
        </row>
        <row r="14">
          <cell r="M14" t="str">
            <v>PosibleMenor</v>
          </cell>
          <cell r="N14" t="str">
            <v>Moderado</v>
          </cell>
        </row>
        <row r="15">
          <cell r="M15" t="str">
            <v>PosibleModerado</v>
          </cell>
          <cell r="N15" t="str">
            <v>Alto</v>
          </cell>
        </row>
        <row r="16">
          <cell r="M16" t="str">
            <v>PosibleMayor</v>
          </cell>
          <cell r="N16" t="str">
            <v>Extremo</v>
          </cell>
        </row>
        <row r="17">
          <cell r="M17" t="str">
            <v>PosibleCatastrófico</v>
          </cell>
          <cell r="N17" t="str">
            <v>Extremo</v>
          </cell>
        </row>
        <row r="18">
          <cell r="J18">
            <v>-1</v>
          </cell>
          <cell r="K18" t="str">
            <v>Rara Vez</v>
          </cell>
          <cell r="M18" t="str">
            <v>ProbableInsignificante</v>
          </cell>
          <cell r="N18" t="str">
            <v>Moderado</v>
          </cell>
        </row>
        <row r="19">
          <cell r="J19">
            <v>0</v>
          </cell>
          <cell r="K19" t="str">
            <v>Rara Vez</v>
          </cell>
          <cell r="M19" t="str">
            <v>ProbableMenor</v>
          </cell>
          <cell r="N19" t="str">
            <v>Alto</v>
          </cell>
        </row>
        <row r="20">
          <cell r="J20">
            <v>1</v>
          </cell>
          <cell r="K20" t="str">
            <v>Rara Vez</v>
          </cell>
          <cell r="M20" t="str">
            <v>ProbableModerado</v>
          </cell>
          <cell r="N20" t="str">
            <v>Alto</v>
          </cell>
        </row>
        <row r="21">
          <cell r="J21">
            <v>2</v>
          </cell>
          <cell r="K21" t="str">
            <v>Improbable</v>
          </cell>
          <cell r="M21" t="str">
            <v>ProbableMayor</v>
          </cell>
          <cell r="N21" t="str">
            <v>Extremo</v>
          </cell>
        </row>
        <row r="22">
          <cell r="J22">
            <v>3</v>
          </cell>
          <cell r="K22" t="str">
            <v>Posible</v>
          </cell>
          <cell r="M22" t="str">
            <v>ProbableCatastrófico</v>
          </cell>
          <cell r="N22" t="str">
            <v>Extremo</v>
          </cell>
        </row>
        <row r="23">
          <cell r="J23">
            <v>4</v>
          </cell>
          <cell r="K23" t="str">
            <v>Probable</v>
          </cell>
          <cell r="M23" t="str">
            <v>Casi seguroInsignificante</v>
          </cell>
          <cell r="N23" t="str">
            <v>Alto</v>
          </cell>
        </row>
        <row r="24">
          <cell r="J24">
            <v>5</v>
          </cell>
          <cell r="K24" t="str">
            <v>Casi seguro</v>
          </cell>
          <cell r="M24" t="str">
            <v>Casi seguroMenor</v>
          </cell>
          <cell r="N24" t="str">
            <v>Alto</v>
          </cell>
        </row>
        <row r="25">
          <cell r="M25" t="str">
            <v>Casi seguroModerado</v>
          </cell>
          <cell r="N25" t="str">
            <v>Extremo</v>
          </cell>
        </row>
        <row r="26">
          <cell r="M26" t="str">
            <v>Casi seguroMayor</v>
          </cell>
          <cell r="N26" t="str">
            <v>Extremo</v>
          </cell>
        </row>
        <row r="27">
          <cell r="M27" t="str">
            <v>Casi seguroCatastrófico</v>
          </cell>
          <cell r="N27" t="str">
            <v>Extremo</v>
          </cell>
        </row>
      </sheetData>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Digital"/>
      <sheetName val="Riesgo Corrupción"/>
      <sheetName val="Corrupción"/>
      <sheetName val="CONTROLES"/>
      <sheetName val="Matriz de calificación"/>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Corrupción (2)"/>
      <sheetName val="Riesgo Corrupción"/>
      <sheetName val="Corrupción"/>
      <sheetName val="Matriz Riesgos Corrupción"/>
      <sheetName val="Matriz Riesgos Gestión (2)"/>
      <sheetName val="CONTROLES"/>
      <sheetName val="Matriz Riesgos Gestión"/>
      <sheetName val="Matriz Riesgos Seg. Digital (2)"/>
      <sheetName val="Matriz RiesgosSeguridad Digital"/>
      <sheetName val="Matriz de calificación"/>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s>
    <sheetDataSet>
      <sheetData sheetId="0"/>
    </sheetDataSet>
  </externalBook>
</externalLink>
</file>

<file path=xl/tables/table1.xml><?xml version="1.0" encoding="utf-8"?>
<table xmlns="http://schemas.openxmlformats.org/spreadsheetml/2006/main" id="1" name="Tabla2" displayName="Tabla2" ref="C7:G11" totalsRowShown="0">
  <autoFilter ref="C7:G11"/>
  <tableColumns count="5">
    <tableColumn id="1" name="Descripción" dataDxfId="0"/>
    <tableColumn id="2" name="Acción u omisión"/>
    <tableColumn id="3" name="Uso del poder"/>
    <tableColumn id="4" name="Desviar la gestión de lo público"/>
    <tableColumn id="5" name="Beneficio privado"/>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2"/>
  <sheetViews>
    <sheetView zoomScaleNormal="100" workbookViewId="0">
      <selection activeCell="C6" sqref="C6"/>
    </sheetView>
  </sheetViews>
  <sheetFormatPr baseColWidth="10" defaultColWidth="11.42578125" defaultRowHeight="15"/>
  <cols>
    <col min="1" max="1" width="15" bestFit="1" customWidth="1"/>
    <col min="2" max="2" width="48.7109375" bestFit="1" customWidth="1"/>
    <col min="3" max="3" width="48.7109375" customWidth="1"/>
    <col min="4" max="4" width="11.42578125" customWidth="1"/>
    <col min="5" max="5" width="13.28515625" customWidth="1"/>
    <col min="6" max="6" width="12.28515625" bestFit="1" customWidth="1"/>
    <col min="7" max="7" width="23.5703125" customWidth="1"/>
    <col min="8" max="8" width="24.85546875" customWidth="1"/>
    <col min="9" max="9" width="17.7109375" customWidth="1"/>
    <col min="11" max="11" width="17.140625" customWidth="1"/>
    <col min="12" max="12" width="19.5703125" customWidth="1"/>
    <col min="13" max="13" width="37.28515625" customWidth="1"/>
    <col min="14" max="14" width="21.42578125" customWidth="1"/>
    <col min="21" max="21" width="19.42578125" bestFit="1" customWidth="1"/>
  </cols>
  <sheetData>
    <row r="2" spans="1:24" ht="15.75" thickBot="1">
      <c r="A2" s="10" t="s">
        <v>0</v>
      </c>
      <c r="B2" s="10" t="s">
        <v>1</v>
      </c>
      <c r="C2" s="10" t="s">
        <v>2</v>
      </c>
      <c r="D2" s="10" t="s">
        <v>3</v>
      </c>
      <c r="E2" s="10" t="s">
        <v>4</v>
      </c>
      <c r="F2" s="10" t="s">
        <v>5</v>
      </c>
      <c r="G2" s="10" t="s">
        <v>6</v>
      </c>
      <c r="H2" s="10" t="s">
        <v>7</v>
      </c>
      <c r="I2" s="10" t="s">
        <v>8</v>
      </c>
      <c r="K2" s="10" t="s">
        <v>5</v>
      </c>
      <c r="L2" s="10" t="s">
        <v>6</v>
      </c>
      <c r="M2" s="10" t="s">
        <v>9</v>
      </c>
      <c r="P2" s="10" t="s">
        <v>10</v>
      </c>
      <c r="S2" s="310" t="s">
        <v>11</v>
      </c>
      <c r="T2" s="310"/>
      <c r="U2" s="310"/>
      <c r="V2" s="310"/>
      <c r="W2" t="s">
        <v>12</v>
      </c>
    </row>
    <row r="3" spans="1:24" ht="144" thickBot="1">
      <c r="A3" s="25" t="s">
        <v>13</v>
      </c>
      <c r="B3" s="113" t="s">
        <v>14</v>
      </c>
      <c r="C3" s="113" t="s">
        <v>14</v>
      </c>
      <c r="D3" s="25" t="s">
        <v>15</v>
      </c>
      <c r="E3" s="25" t="s">
        <v>16</v>
      </c>
      <c r="F3" s="11" t="s">
        <v>17</v>
      </c>
      <c r="G3" s="11" t="s">
        <v>18</v>
      </c>
      <c r="H3" t="s">
        <v>19</v>
      </c>
      <c r="I3" t="s">
        <v>20</v>
      </c>
      <c r="K3" s="11" t="s">
        <v>21</v>
      </c>
      <c r="L3" s="11" t="s">
        <v>18</v>
      </c>
      <c r="M3" t="s">
        <v>22</v>
      </c>
      <c r="N3" t="s">
        <v>23</v>
      </c>
      <c r="P3" t="s">
        <v>23</v>
      </c>
      <c r="Q3" t="s">
        <v>24</v>
      </c>
      <c r="S3" t="s">
        <v>25</v>
      </c>
      <c r="T3" t="s">
        <v>25</v>
      </c>
      <c r="U3" t="str">
        <f>+CONCATENATE(S3,T3)</f>
        <v>FuerteFuerte</v>
      </c>
      <c r="V3" t="s">
        <v>25</v>
      </c>
      <c r="W3" s="46" t="s">
        <v>26</v>
      </c>
      <c r="X3" s="45"/>
    </row>
    <row r="4" spans="1:24" ht="201" thickBot="1">
      <c r="A4" s="25" t="s">
        <v>13</v>
      </c>
      <c r="B4" s="113" t="s">
        <v>27</v>
      </c>
      <c r="C4" s="114" t="s">
        <v>28</v>
      </c>
      <c r="D4" s="25" t="s">
        <v>29</v>
      </c>
      <c r="E4" s="25" t="s">
        <v>30</v>
      </c>
      <c r="F4" s="11" t="s">
        <v>31</v>
      </c>
      <c r="G4" s="11" t="s">
        <v>32</v>
      </c>
      <c r="H4" s="11" t="s">
        <v>33</v>
      </c>
      <c r="I4" t="s">
        <v>34</v>
      </c>
      <c r="K4" s="11" t="s">
        <v>31</v>
      </c>
      <c r="L4" s="11" t="s">
        <v>32</v>
      </c>
      <c r="M4" t="s">
        <v>35</v>
      </c>
      <c r="N4" t="s">
        <v>23</v>
      </c>
      <c r="P4" t="s">
        <v>36</v>
      </c>
      <c r="Q4" t="s">
        <v>37</v>
      </c>
      <c r="S4" t="s">
        <v>25</v>
      </c>
      <c r="T4" t="s">
        <v>36</v>
      </c>
      <c r="U4" t="str">
        <f t="shared" ref="U4:U11" si="0">+CONCATENATE(S4,T4)</f>
        <v>FuerteModerado</v>
      </c>
      <c r="V4" t="s">
        <v>36</v>
      </c>
      <c r="W4" s="46" t="s">
        <v>38</v>
      </c>
    </row>
    <row r="5" spans="1:24" ht="273.75" thickBot="1">
      <c r="A5" s="25" t="s">
        <v>13</v>
      </c>
      <c r="B5" s="113" t="s">
        <v>39</v>
      </c>
      <c r="C5" s="115" t="s">
        <v>40</v>
      </c>
      <c r="D5" s="25" t="s">
        <v>41</v>
      </c>
      <c r="E5" s="25"/>
      <c r="F5" s="11" t="s">
        <v>42</v>
      </c>
      <c r="G5" s="11" t="s">
        <v>36</v>
      </c>
      <c r="H5" t="s">
        <v>43</v>
      </c>
      <c r="K5" s="11" t="s">
        <v>44</v>
      </c>
      <c r="L5" s="11" t="s">
        <v>36</v>
      </c>
      <c r="M5" t="s">
        <v>45</v>
      </c>
      <c r="N5" t="s">
        <v>36</v>
      </c>
      <c r="P5" t="s">
        <v>46</v>
      </c>
      <c r="Q5" t="s">
        <v>47</v>
      </c>
      <c r="S5" t="s">
        <v>25</v>
      </c>
      <c r="T5" t="s">
        <v>48</v>
      </c>
      <c r="U5" t="str">
        <f t="shared" si="0"/>
        <v>FuerteDébil</v>
      </c>
      <c r="V5" t="s">
        <v>48</v>
      </c>
      <c r="W5" s="46" t="s">
        <v>49</v>
      </c>
    </row>
    <row r="6" spans="1:24" ht="168.75" thickBot="1">
      <c r="A6" s="25" t="s">
        <v>13</v>
      </c>
      <c r="B6" s="113" t="s">
        <v>50</v>
      </c>
      <c r="C6" s="115" t="s">
        <v>51</v>
      </c>
      <c r="D6" s="25" t="s">
        <v>52</v>
      </c>
      <c r="E6" s="25"/>
      <c r="F6" s="11" t="s">
        <v>53</v>
      </c>
      <c r="G6" s="11" t="s">
        <v>54</v>
      </c>
      <c r="H6" t="s">
        <v>55</v>
      </c>
      <c r="K6" s="11" t="s">
        <v>53</v>
      </c>
      <c r="L6" s="11" t="s">
        <v>54</v>
      </c>
      <c r="M6" t="s">
        <v>56</v>
      </c>
      <c r="N6" t="s">
        <v>46</v>
      </c>
      <c r="P6" t="s">
        <v>57</v>
      </c>
      <c r="Q6" t="s">
        <v>58</v>
      </c>
      <c r="S6" t="s">
        <v>36</v>
      </c>
      <c r="T6" t="s">
        <v>25</v>
      </c>
      <c r="U6" t="str">
        <f t="shared" si="0"/>
        <v>ModeradoFuerte</v>
      </c>
      <c r="V6" t="s">
        <v>36</v>
      </c>
      <c r="W6" s="46" t="s">
        <v>59</v>
      </c>
    </row>
    <row r="7" spans="1:24" ht="214.5">
      <c r="A7" s="25" t="s">
        <v>13</v>
      </c>
      <c r="B7" s="113" t="s">
        <v>60</v>
      </c>
      <c r="C7" s="115" t="s">
        <v>61</v>
      </c>
      <c r="D7" s="25" t="s">
        <v>62</v>
      </c>
      <c r="E7" s="25"/>
      <c r="F7" s="11" t="s">
        <v>63</v>
      </c>
      <c r="G7" s="11" t="s">
        <v>64</v>
      </c>
      <c r="H7" s="11"/>
      <c r="K7" s="11" t="s">
        <v>63</v>
      </c>
      <c r="L7" s="11" t="s">
        <v>64</v>
      </c>
      <c r="M7" t="s">
        <v>65</v>
      </c>
      <c r="N7" t="s">
        <v>57</v>
      </c>
      <c r="S7" t="s">
        <v>36</v>
      </c>
      <c r="T7" t="s">
        <v>36</v>
      </c>
      <c r="U7" t="str">
        <f t="shared" si="0"/>
        <v>ModeradoModerado</v>
      </c>
      <c r="V7" t="s">
        <v>36</v>
      </c>
      <c r="W7" s="46" t="s">
        <v>66</v>
      </c>
    </row>
    <row r="8" spans="1:24" ht="21">
      <c r="A8" s="25" t="s">
        <v>67</v>
      </c>
      <c r="B8" s="113" t="s">
        <v>68</v>
      </c>
      <c r="C8" s="113" t="s">
        <v>68</v>
      </c>
      <c r="D8" s="25" t="s">
        <v>69</v>
      </c>
      <c r="E8" s="25"/>
      <c r="K8" s="11" t="s">
        <v>21</v>
      </c>
      <c r="L8">
        <v>1</v>
      </c>
      <c r="M8" t="s">
        <v>70</v>
      </c>
      <c r="N8" t="s">
        <v>23</v>
      </c>
      <c r="S8" t="s">
        <v>36</v>
      </c>
      <c r="T8" t="s">
        <v>48</v>
      </c>
      <c r="U8" t="str">
        <f t="shared" si="0"/>
        <v>ModeradoDébil</v>
      </c>
      <c r="V8" t="s">
        <v>48</v>
      </c>
    </row>
    <row r="9" spans="1:24" ht="252">
      <c r="A9" s="25" t="s">
        <v>67</v>
      </c>
      <c r="B9" s="113" t="s">
        <v>71</v>
      </c>
      <c r="C9" s="116" t="s">
        <v>72</v>
      </c>
      <c r="D9" s="25"/>
      <c r="E9" s="25"/>
      <c r="K9" s="11" t="s">
        <v>31</v>
      </c>
      <c r="L9">
        <v>2</v>
      </c>
      <c r="M9" t="s">
        <v>73</v>
      </c>
      <c r="N9" t="s">
        <v>23</v>
      </c>
      <c r="S9" t="s">
        <v>48</v>
      </c>
      <c r="T9" t="s">
        <v>25</v>
      </c>
      <c r="U9" t="str">
        <f t="shared" si="0"/>
        <v>DébilFuerte</v>
      </c>
      <c r="V9" t="s">
        <v>48</v>
      </c>
    </row>
    <row r="10" spans="1:24" ht="189">
      <c r="A10" s="25" t="s">
        <v>67</v>
      </c>
      <c r="B10" s="113" t="s">
        <v>74</v>
      </c>
      <c r="C10" s="116" t="s">
        <v>75</v>
      </c>
      <c r="D10" s="25"/>
      <c r="E10" s="25"/>
      <c r="K10" s="11" t="s">
        <v>44</v>
      </c>
      <c r="L10">
        <v>3</v>
      </c>
      <c r="M10" t="s">
        <v>76</v>
      </c>
      <c r="N10" t="s">
        <v>36</v>
      </c>
      <c r="S10" t="s">
        <v>48</v>
      </c>
      <c r="T10" t="s">
        <v>36</v>
      </c>
      <c r="U10" t="str">
        <f t="shared" si="0"/>
        <v>DébilModerado</v>
      </c>
      <c r="V10" t="s">
        <v>48</v>
      </c>
    </row>
    <row r="11" spans="1:24" ht="21">
      <c r="A11" s="25" t="s">
        <v>67</v>
      </c>
      <c r="B11" s="25" t="s">
        <v>77</v>
      </c>
      <c r="C11" s="25" t="s">
        <v>77</v>
      </c>
      <c r="D11" s="25"/>
      <c r="E11" s="25"/>
      <c r="K11" s="11" t="s">
        <v>53</v>
      </c>
      <c r="L11">
        <v>4</v>
      </c>
      <c r="M11" t="s">
        <v>78</v>
      </c>
      <c r="N11" t="s">
        <v>46</v>
      </c>
      <c r="S11" t="s">
        <v>48</v>
      </c>
      <c r="T11" t="s">
        <v>48</v>
      </c>
      <c r="U11" t="str">
        <f t="shared" si="0"/>
        <v>DébilDébil</v>
      </c>
      <c r="V11" t="s">
        <v>48</v>
      </c>
    </row>
    <row r="12" spans="1:24" ht="210">
      <c r="A12" s="25" t="s">
        <v>67</v>
      </c>
      <c r="B12" s="25" t="s">
        <v>79</v>
      </c>
      <c r="C12" s="26" t="s">
        <v>80</v>
      </c>
      <c r="D12" s="25"/>
      <c r="E12" s="25"/>
      <c r="K12" s="11" t="s">
        <v>63</v>
      </c>
      <c r="L12">
        <v>5</v>
      </c>
      <c r="M12" t="s">
        <v>81</v>
      </c>
      <c r="N12" t="s">
        <v>57</v>
      </c>
    </row>
    <row r="13" spans="1:24" ht="147">
      <c r="A13" s="25" t="s">
        <v>82</v>
      </c>
      <c r="B13" s="25" t="s">
        <v>83</v>
      </c>
      <c r="C13" s="104" t="s">
        <v>84</v>
      </c>
      <c r="D13" s="25"/>
      <c r="E13" s="25"/>
      <c r="K13" s="11" t="s">
        <v>18</v>
      </c>
      <c r="L13">
        <v>1</v>
      </c>
      <c r="M13" t="s">
        <v>85</v>
      </c>
      <c r="N13" t="s">
        <v>23</v>
      </c>
    </row>
    <row r="14" spans="1:24" ht="231">
      <c r="A14" s="25" t="s">
        <v>82</v>
      </c>
      <c r="B14" s="25" t="s">
        <v>86</v>
      </c>
      <c r="C14" s="104" t="s">
        <v>87</v>
      </c>
      <c r="D14" s="25"/>
      <c r="E14" s="25"/>
      <c r="K14" s="11" t="s">
        <v>32</v>
      </c>
      <c r="L14">
        <v>2</v>
      </c>
      <c r="M14" t="s">
        <v>88</v>
      </c>
      <c r="N14" t="s">
        <v>36</v>
      </c>
    </row>
    <row r="15" spans="1:24" ht="231">
      <c r="A15" s="25" t="s">
        <v>82</v>
      </c>
      <c r="B15" s="25" t="s">
        <v>89</v>
      </c>
      <c r="C15" s="104" t="s">
        <v>90</v>
      </c>
      <c r="D15" s="25"/>
      <c r="E15" s="25"/>
      <c r="K15" s="11" t="s">
        <v>36</v>
      </c>
      <c r="L15">
        <v>3</v>
      </c>
      <c r="M15" t="s">
        <v>91</v>
      </c>
      <c r="N15" t="s">
        <v>46</v>
      </c>
    </row>
    <row r="16" spans="1:24" ht="210">
      <c r="A16" s="25" t="s">
        <v>82</v>
      </c>
      <c r="B16" s="25" t="s">
        <v>92</v>
      </c>
      <c r="C16" s="104" t="s">
        <v>93</v>
      </c>
      <c r="D16" s="25"/>
      <c r="E16" s="25"/>
      <c r="K16" s="11" t="s">
        <v>54</v>
      </c>
      <c r="L16">
        <v>4</v>
      </c>
      <c r="M16" t="s">
        <v>94</v>
      </c>
      <c r="N16" t="s">
        <v>57</v>
      </c>
    </row>
    <row r="17" spans="1:14" ht="147">
      <c r="A17" s="25" t="s">
        <v>82</v>
      </c>
      <c r="B17" s="25" t="s">
        <v>95</v>
      </c>
      <c r="C17" s="104" t="s">
        <v>96</v>
      </c>
      <c r="D17" s="25"/>
      <c r="E17" s="25"/>
      <c r="K17" s="11" t="s">
        <v>64</v>
      </c>
      <c r="L17">
        <v>5</v>
      </c>
      <c r="M17" t="s">
        <v>97</v>
      </c>
      <c r="N17" t="s">
        <v>57</v>
      </c>
    </row>
    <row r="18" spans="1:14" ht="189">
      <c r="A18" s="25" t="s">
        <v>82</v>
      </c>
      <c r="B18" s="25" t="s">
        <v>98</v>
      </c>
      <c r="C18" s="104" t="s">
        <v>99</v>
      </c>
      <c r="D18" s="25"/>
      <c r="E18" s="25"/>
      <c r="J18">
        <v>-1</v>
      </c>
      <c r="K18" s="11" t="s">
        <v>21</v>
      </c>
      <c r="M18" t="s">
        <v>100</v>
      </c>
      <c r="N18" t="s">
        <v>36</v>
      </c>
    </row>
    <row r="19" spans="1:14" ht="189">
      <c r="A19" s="25" t="s">
        <v>13</v>
      </c>
      <c r="B19" s="25" t="s">
        <v>101</v>
      </c>
      <c r="C19" s="104" t="s">
        <v>102</v>
      </c>
      <c r="D19" s="25"/>
      <c r="E19" s="25"/>
      <c r="J19">
        <v>0</v>
      </c>
      <c r="K19" s="11" t="s">
        <v>21</v>
      </c>
      <c r="M19" t="s">
        <v>103</v>
      </c>
      <c r="N19" t="s">
        <v>46</v>
      </c>
    </row>
    <row r="20" spans="1:14" ht="147">
      <c r="A20" s="25" t="s">
        <v>9</v>
      </c>
      <c r="B20" s="25" t="s">
        <v>104</v>
      </c>
      <c r="C20" s="104" t="s">
        <v>105</v>
      </c>
      <c r="D20" s="25"/>
      <c r="E20" s="25"/>
      <c r="J20">
        <v>1</v>
      </c>
      <c r="K20" s="11" t="s">
        <v>21</v>
      </c>
      <c r="M20" t="s">
        <v>106</v>
      </c>
      <c r="N20" t="s">
        <v>46</v>
      </c>
    </row>
    <row r="21" spans="1:14">
      <c r="J21">
        <v>2</v>
      </c>
      <c r="K21" s="11" t="s">
        <v>31</v>
      </c>
      <c r="M21" t="s">
        <v>107</v>
      </c>
      <c r="N21" t="s">
        <v>57</v>
      </c>
    </row>
    <row r="22" spans="1:14">
      <c r="J22">
        <v>3</v>
      </c>
      <c r="K22" s="11" t="s">
        <v>44</v>
      </c>
      <c r="M22" t="s">
        <v>108</v>
      </c>
      <c r="N22" t="s">
        <v>57</v>
      </c>
    </row>
    <row r="23" spans="1:14">
      <c r="J23">
        <v>4</v>
      </c>
      <c r="K23" s="11" t="s">
        <v>53</v>
      </c>
      <c r="M23" t="s">
        <v>109</v>
      </c>
      <c r="N23" t="s">
        <v>46</v>
      </c>
    </row>
    <row r="24" spans="1:14">
      <c r="J24">
        <v>5</v>
      </c>
      <c r="K24" s="11" t="s">
        <v>63</v>
      </c>
      <c r="M24" t="s">
        <v>110</v>
      </c>
      <c r="N24" t="s">
        <v>46</v>
      </c>
    </row>
    <row r="25" spans="1:14">
      <c r="B25" s="10" t="s">
        <v>111</v>
      </c>
      <c r="C25" s="10" t="s">
        <v>112</v>
      </c>
      <c r="E25" s="10" t="s">
        <v>113</v>
      </c>
      <c r="G25" s="10" t="s">
        <v>114</v>
      </c>
      <c r="M25" t="s">
        <v>115</v>
      </c>
      <c r="N25" t="s">
        <v>57</v>
      </c>
    </row>
    <row r="26" spans="1:14">
      <c r="B26" t="s">
        <v>116</v>
      </c>
      <c r="C26" t="s">
        <v>117</v>
      </c>
      <c r="E26" t="s">
        <v>118</v>
      </c>
      <c r="G26" t="s">
        <v>20</v>
      </c>
      <c r="J26">
        <v>-1</v>
      </c>
      <c r="K26" s="11" t="s">
        <v>18</v>
      </c>
      <c r="M26" t="s">
        <v>119</v>
      </c>
      <c r="N26" t="s">
        <v>57</v>
      </c>
    </row>
    <row r="27" spans="1:14">
      <c r="B27" t="s">
        <v>120</v>
      </c>
      <c r="C27" t="s">
        <v>121</v>
      </c>
      <c r="E27" t="s">
        <v>122</v>
      </c>
      <c r="G27" t="s">
        <v>123</v>
      </c>
      <c r="J27">
        <v>0</v>
      </c>
      <c r="K27" s="11" t="s">
        <v>18</v>
      </c>
      <c r="M27" t="s">
        <v>124</v>
      </c>
      <c r="N27" t="s">
        <v>57</v>
      </c>
    </row>
    <row r="28" spans="1:14">
      <c r="C28" t="s">
        <v>125</v>
      </c>
      <c r="E28" t="s">
        <v>126</v>
      </c>
      <c r="J28">
        <v>1</v>
      </c>
      <c r="K28" s="11" t="s">
        <v>18</v>
      </c>
    </row>
    <row r="29" spans="1:14">
      <c r="G29" t="s">
        <v>20</v>
      </c>
      <c r="J29">
        <v>2</v>
      </c>
      <c r="K29" s="11" t="s">
        <v>32</v>
      </c>
    </row>
    <row r="30" spans="1:14">
      <c r="G30" t="s">
        <v>127</v>
      </c>
      <c r="J30">
        <v>3</v>
      </c>
      <c r="K30" s="11" t="s">
        <v>36</v>
      </c>
    </row>
    <row r="31" spans="1:14">
      <c r="J31">
        <v>4</v>
      </c>
      <c r="K31" s="11" t="s">
        <v>54</v>
      </c>
    </row>
    <row r="32" spans="1:14">
      <c r="J32">
        <v>5</v>
      </c>
      <c r="K32" s="11" t="s">
        <v>64</v>
      </c>
    </row>
  </sheetData>
  <sheetProtection selectLockedCells="1"/>
  <mergeCells count="1">
    <mergeCell ref="S2:V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F28"/>
  <sheetViews>
    <sheetView topLeftCell="A16" zoomScale="130" zoomScaleNormal="130" workbookViewId="0">
      <selection activeCell="D28" sqref="D28"/>
    </sheetView>
  </sheetViews>
  <sheetFormatPr baseColWidth="10" defaultColWidth="11.42578125" defaultRowHeight="15"/>
  <cols>
    <col min="4" max="4" width="47.7109375" bestFit="1" customWidth="1"/>
    <col min="5" max="5" width="54.140625" customWidth="1"/>
    <col min="6" max="6" width="27.140625" customWidth="1"/>
  </cols>
  <sheetData>
    <row r="5" spans="3:6" ht="14.25" customHeight="1" thickBot="1"/>
    <row r="6" spans="3:6" ht="15.75" thickBot="1">
      <c r="C6" s="32" t="s">
        <v>1415</v>
      </c>
      <c r="D6" s="33" t="s">
        <v>1416</v>
      </c>
      <c r="E6" s="34" t="s">
        <v>1417</v>
      </c>
    </row>
    <row r="7" spans="3:6" ht="30">
      <c r="C7" s="35" t="s">
        <v>1418</v>
      </c>
      <c r="D7" s="298" t="s">
        <v>1419</v>
      </c>
      <c r="E7" s="135" t="s">
        <v>1420</v>
      </c>
      <c r="F7" s="100"/>
    </row>
    <row r="8" spans="3:6" ht="30">
      <c r="C8" s="36" t="s">
        <v>1421</v>
      </c>
      <c r="D8" s="299" t="s">
        <v>1422</v>
      </c>
      <c r="E8" s="136" t="s">
        <v>1423</v>
      </c>
      <c r="F8" s="237"/>
    </row>
    <row r="9" spans="3:6" ht="51">
      <c r="C9" s="37" t="s">
        <v>1424</v>
      </c>
      <c r="D9" s="300" t="s">
        <v>1425</v>
      </c>
      <c r="E9" s="137" t="s">
        <v>1426</v>
      </c>
      <c r="F9" s="301" t="s">
        <v>1427</v>
      </c>
    </row>
    <row r="10" spans="3:6" ht="45">
      <c r="C10" s="38" t="s">
        <v>1428</v>
      </c>
      <c r="D10" s="302" t="s">
        <v>1429</v>
      </c>
      <c r="E10" s="138" t="s">
        <v>1430</v>
      </c>
    </row>
    <row r="11" spans="3:6" ht="30">
      <c r="C11" s="39" t="s">
        <v>1431</v>
      </c>
      <c r="D11" s="303" t="s">
        <v>1432</v>
      </c>
      <c r="E11" s="139" t="s">
        <v>1433</v>
      </c>
    </row>
    <row r="12" spans="3:6" ht="30">
      <c r="C12" s="40" t="s">
        <v>1434</v>
      </c>
      <c r="D12" s="304" t="s">
        <v>1435</v>
      </c>
      <c r="E12" s="140" t="s">
        <v>1436</v>
      </c>
    </row>
    <row r="13" spans="3:6">
      <c r="C13" s="41" t="s">
        <v>1437</v>
      </c>
      <c r="D13" s="305" t="s">
        <v>1438</v>
      </c>
      <c r="E13" s="141" t="s">
        <v>1002</v>
      </c>
    </row>
    <row r="14" spans="3:6" ht="30">
      <c r="C14" s="41" t="s">
        <v>1439</v>
      </c>
      <c r="D14" s="305" t="s">
        <v>1440</v>
      </c>
      <c r="E14" s="141" t="s">
        <v>1441</v>
      </c>
    </row>
    <row r="15" spans="3:6" ht="30.75" thickBot="1">
      <c r="C15" s="42" t="s">
        <v>1442</v>
      </c>
      <c r="D15" s="43" t="s">
        <v>1443</v>
      </c>
      <c r="E15" s="44" t="s">
        <v>1444</v>
      </c>
    </row>
    <row r="16" spans="3:6" ht="15.75" thickBot="1"/>
    <row r="17" spans="3:6" ht="15.75" thickBot="1">
      <c r="C17" s="555" t="s">
        <v>1445</v>
      </c>
      <c r="D17" s="556"/>
      <c r="E17" s="557"/>
    </row>
    <row r="18" spans="3:6" ht="15.75" thickBot="1"/>
    <row r="19" spans="3:6">
      <c r="C19" s="558" t="str">
        <f>+CONCATENATE(E7," ",E8," ",E9," ",E10," ",E11," ",E12)</f>
        <v>El tesorero, el secretario general y/o el cordinador del grupo de gestión financiera, cada vez que se requiera realizar un movimiento bancario y con el fin de prevenir que los movimientos que se den por ventanilla sean suplantados, todas las solicitudes de débitos o traslados se realizarán mediante oficio con dos firmas de aprobación que se encuentren autorizadas ante la entidad bancaria. Si no se cuenta con las dos firmas de aprobación, no se podrá realizar el débito o traslado bancario. Como evidencia queda el oficio radicado ante entidad bancaria con las dos firmas.</v>
      </c>
      <c r="D19" s="559"/>
      <c r="E19" s="560"/>
      <c r="F19" t="s">
        <v>1446</v>
      </c>
    </row>
    <row r="20" spans="3:6">
      <c r="C20" s="561"/>
      <c r="D20" s="562"/>
      <c r="E20" s="563"/>
    </row>
    <row r="21" spans="3:6">
      <c r="C21" s="561"/>
      <c r="D21" s="562"/>
      <c r="E21" s="563"/>
      <c r="F21" t="s">
        <v>1447</v>
      </c>
    </row>
    <row r="22" spans="3:6">
      <c r="C22" s="561"/>
      <c r="D22" s="562"/>
      <c r="E22" s="563"/>
      <c r="F22" t="s">
        <v>883</v>
      </c>
    </row>
    <row r="23" spans="3:6">
      <c r="C23" s="561"/>
      <c r="D23" s="562"/>
      <c r="E23" s="563"/>
    </row>
    <row r="24" spans="3:6">
      <c r="C24" s="561"/>
      <c r="D24" s="562"/>
      <c r="E24" s="563"/>
    </row>
    <row r="25" spans="3:6" ht="87" customHeight="1" thickBot="1">
      <c r="C25" s="564"/>
      <c r="D25" s="565"/>
      <c r="E25" s="566"/>
    </row>
    <row r="28" spans="3:6">
      <c r="D28" t="s">
        <v>1448</v>
      </c>
    </row>
  </sheetData>
  <mergeCells count="2">
    <mergeCell ref="C17:E17"/>
    <mergeCell ref="C19:E2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'https://minjusticiagovco-my.sharepoint.com/C:/Users/DIGITAL EXITO/Downloads/[Corrupción (1).xlsx]Hoja2'!#REF!</xm:f>
          </x14:formula1>
          <xm:sqref>E13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J20"/>
  <sheetViews>
    <sheetView showGridLines="0" topLeftCell="A4" workbookViewId="0">
      <selection activeCell="U8" sqref="U8:X8"/>
    </sheetView>
  </sheetViews>
  <sheetFormatPr baseColWidth="10" defaultColWidth="9.28515625" defaultRowHeight="15"/>
  <cols>
    <col min="1" max="5" width="3.7109375" customWidth="1"/>
    <col min="6" max="6" width="1.28515625" customWidth="1"/>
    <col min="7" max="36" width="3.7109375" customWidth="1"/>
  </cols>
  <sheetData>
    <row r="1" spans="3:36" ht="18" customHeight="1"/>
    <row r="4" spans="3:36" ht="51" customHeight="1">
      <c r="C4" s="1"/>
      <c r="D4" s="1"/>
      <c r="E4" s="576" t="s">
        <v>1449</v>
      </c>
      <c r="F4" s="1"/>
      <c r="G4" s="568" t="s">
        <v>1450</v>
      </c>
      <c r="H4" s="568"/>
      <c r="I4" s="568"/>
      <c r="J4" s="568"/>
      <c r="K4" s="568"/>
      <c r="L4" s="568"/>
      <c r="M4" s="571"/>
      <c r="N4" s="571"/>
      <c r="O4" s="571"/>
      <c r="P4" s="571"/>
      <c r="Q4" s="571"/>
      <c r="R4" s="571"/>
      <c r="S4" s="571"/>
      <c r="T4" s="571"/>
      <c r="U4" s="567"/>
      <c r="V4" s="567"/>
      <c r="W4" s="567"/>
      <c r="X4" s="567"/>
      <c r="Y4" s="567">
        <v>3</v>
      </c>
      <c r="Z4" s="567"/>
      <c r="AA4" s="567"/>
      <c r="AB4" s="567"/>
      <c r="AC4" s="567"/>
      <c r="AD4" s="567"/>
      <c r="AE4" s="567"/>
      <c r="AF4" s="567"/>
      <c r="AG4" s="1"/>
      <c r="AH4" s="1"/>
      <c r="AI4" s="1"/>
      <c r="AJ4" s="2"/>
    </row>
    <row r="5" spans="3:36" ht="51" customHeight="1">
      <c r="C5" s="1"/>
      <c r="D5" s="1"/>
      <c r="E5" s="576"/>
      <c r="F5" s="1"/>
      <c r="G5" s="568" t="s">
        <v>1451</v>
      </c>
      <c r="H5" s="568"/>
      <c r="I5" s="568"/>
      <c r="J5" s="568"/>
      <c r="K5" s="568"/>
      <c r="L5" s="568"/>
      <c r="M5" s="570">
        <v>2</v>
      </c>
      <c r="N5" s="570"/>
      <c r="O5" s="570"/>
      <c r="P5" s="570"/>
      <c r="Q5" s="571"/>
      <c r="R5" s="571"/>
      <c r="S5" s="571"/>
      <c r="T5" s="571"/>
      <c r="U5" s="571">
        <v>7</v>
      </c>
      <c r="V5" s="571"/>
      <c r="W5" s="571"/>
      <c r="X5" s="571"/>
      <c r="Y5" s="567">
        <v>5</v>
      </c>
      <c r="Z5" s="567"/>
      <c r="AA5" s="567"/>
      <c r="AB5" s="567"/>
      <c r="AC5" s="567"/>
      <c r="AD5" s="567"/>
      <c r="AE5" s="567"/>
      <c r="AF5" s="567"/>
      <c r="AG5" s="1"/>
      <c r="AH5" s="1"/>
      <c r="AI5" s="1"/>
      <c r="AJ5" s="2"/>
    </row>
    <row r="6" spans="3:36" ht="51" customHeight="1">
      <c r="C6" s="1"/>
      <c r="D6" s="1"/>
      <c r="E6" s="576"/>
      <c r="F6" s="1"/>
      <c r="G6" s="568" t="s">
        <v>1452</v>
      </c>
      <c r="H6" s="568"/>
      <c r="I6" s="568"/>
      <c r="J6" s="568"/>
      <c r="K6" s="568"/>
      <c r="L6" s="568"/>
      <c r="M6" s="569">
        <v>1</v>
      </c>
      <c r="N6" s="569"/>
      <c r="O6" s="569"/>
      <c r="P6" s="569"/>
      <c r="Q6" s="570">
        <v>1</v>
      </c>
      <c r="R6" s="570"/>
      <c r="S6" s="570"/>
      <c r="T6" s="570"/>
      <c r="U6" s="571">
        <v>3</v>
      </c>
      <c r="V6" s="571"/>
      <c r="W6" s="571"/>
      <c r="X6" s="571"/>
      <c r="Y6" s="567">
        <v>2</v>
      </c>
      <c r="Z6" s="567"/>
      <c r="AA6" s="567"/>
      <c r="AB6" s="567"/>
      <c r="AC6" s="567">
        <v>2</v>
      </c>
      <c r="AD6" s="567"/>
      <c r="AE6" s="567"/>
      <c r="AF6" s="567"/>
      <c r="AG6" s="1"/>
      <c r="AH6" s="1"/>
      <c r="AI6" s="1"/>
      <c r="AJ6" s="3"/>
    </row>
    <row r="7" spans="3:36" ht="51" customHeight="1">
      <c r="C7" s="1"/>
      <c r="D7" s="1"/>
      <c r="E7" s="576"/>
      <c r="F7" s="1"/>
      <c r="G7" s="568" t="s">
        <v>1453</v>
      </c>
      <c r="H7" s="568"/>
      <c r="I7" s="568"/>
      <c r="J7" s="568"/>
      <c r="K7" s="568"/>
      <c r="L7" s="568"/>
      <c r="M7" s="569"/>
      <c r="N7" s="569"/>
      <c r="O7" s="569"/>
      <c r="P7" s="569"/>
      <c r="Q7" s="569">
        <v>6</v>
      </c>
      <c r="R7" s="569"/>
      <c r="S7" s="569"/>
      <c r="T7" s="569"/>
      <c r="U7" s="570">
        <v>2</v>
      </c>
      <c r="V7" s="570"/>
      <c r="W7" s="570"/>
      <c r="X7" s="570"/>
      <c r="Y7" s="571">
        <v>1</v>
      </c>
      <c r="Z7" s="571"/>
      <c r="AA7" s="571"/>
      <c r="AB7" s="571"/>
      <c r="AC7" s="567"/>
      <c r="AD7" s="567"/>
      <c r="AE7" s="567"/>
      <c r="AF7" s="567"/>
      <c r="AG7" s="1"/>
      <c r="AH7" s="1"/>
      <c r="AI7" s="1"/>
      <c r="AJ7" s="3" t="s">
        <v>1398</v>
      </c>
    </row>
    <row r="8" spans="3:36" ht="51" customHeight="1">
      <c r="C8" s="1"/>
      <c r="D8" s="1"/>
      <c r="E8" s="576"/>
      <c r="F8" s="1"/>
      <c r="G8" s="568" t="s">
        <v>1454</v>
      </c>
      <c r="H8" s="568"/>
      <c r="I8" s="568"/>
      <c r="J8" s="568"/>
      <c r="K8" s="568"/>
      <c r="L8" s="568"/>
      <c r="M8" s="569">
        <v>2</v>
      </c>
      <c r="N8" s="569"/>
      <c r="O8" s="569"/>
      <c r="P8" s="569"/>
      <c r="Q8" s="569">
        <v>3</v>
      </c>
      <c r="R8" s="569"/>
      <c r="S8" s="569"/>
      <c r="T8" s="569"/>
      <c r="U8" s="570">
        <v>3</v>
      </c>
      <c r="V8" s="570"/>
      <c r="W8" s="570"/>
      <c r="X8" s="570"/>
      <c r="Y8" s="571">
        <v>3</v>
      </c>
      <c r="Z8" s="571"/>
      <c r="AA8" s="571"/>
      <c r="AB8" s="571"/>
      <c r="AC8" s="567">
        <v>6</v>
      </c>
      <c r="AD8" s="567"/>
      <c r="AE8" s="567"/>
      <c r="AF8" s="567"/>
      <c r="AG8" s="1"/>
      <c r="AH8" s="1"/>
      <c r="AI8" s="1"/>
      <c r="AJ8" s="2"/>
    </row>
    <row r="9" spans="3:36" ht="45" customHeight="1">
      <c r="C9" s="1"/>
      <c r="D9" s="1"/>
      <c r="E9" s="576"/>
      <c r="F9" s="1"/>
      <c r="G9" s="575"/>
      <c r="H9" s="575"/>
      <c r="I9" s="575"/>
      <c r="J9" s="575"/>
      <c r="K9" s="575"/>
      <c r="L9" s="575"/>
      <c r="M9" s="568" t="s">
        <v>1455</v>
      </c>
      <c r="N9" s="568"/>
      <c r="O9" s="568"/>
      <c r="P9" s="568"/>
      <c r="Q9" s="568" t="s">
        <v>1456</v>
      </c>
      <c r="R9" s="568"/>
      <c r="S9" s="568"/>
      <c r="T9" s="568"/>
      <c r="U9" s="568" t="s">
        <v>1457</v>
      </c>
      <c r="V9" s="568"/>
      <c r="W9" s="568"/>
      <c r="X9" s="568"/>
      <c r="Y9" s="568" t="s">
        <v>1458</v>
      </c>
      <c r="Z9" s="568"/>
      <c r="AA9" s="568"/>
      <c r="AB9" s="568"/>
      <c r="AC9" s="568" t="s">
        <v>1459</v>
      </c>
      <c r="AD9" s="568"/>
      <c r="AE9" s="568"/>
      <c r="AF9" s="568"/>
      <c r="AG9" s="1"/>
      <c r="AH9" s="1"/>
      <c r="AI9" s="1"/>
      <c r="AJ9" s="3" t="s">
        <v>1460</v>
      </c>
    </row>
    <row r="10" spans="3:36" ht="11.25" customHeight="1">
      <c r="C10" s="1"/>
      <c r="D10" s="1"/>
      <c r="E10" s="1"/>
      <c r="F10" s="1"/>
      <c r="G10" s="13"/>
      <c r="H10" s="13"/>
      <c r="I10" s="13"/>
      <c r="J10" s="13"/>
      <c r="K10" s="13"/>
      <c r="L10" s="13"/>
      <c r="M10" s="12"/>
      <c r="N10" s="12"/>
      <c r="O10" s="12"/>
      <c r="P10" s="12"/>
      <c r="Q10" s="12"/>
      <c r="R10" s="12"/>
      <c r="S10" s="12"/>
      <c r="T10" s="12"/>
      <c r="U10" s="12"/>
      <c r="V10" s="12"/>
      <c r="W10" s="12"/>
      <c r="X10" s="12"/>
      <c r="Y10" s="12"/>
      <c r="Z10" s="12"/>
      <c r="AA10" s="12"/>
      <c r="AB10" s="12"/>
      <c r="AC10" s="12"/>
      <c r="AD10" s="12"/>
      <c r="AE10" s="12"/>
      <c r="AF10" s="12"/>
      <c r="AG10" s="1"/>
      <c r="AH10" s="1"/>
      <c r="AI10" s="1"/>
      <c r="AJ10" s="3"/>
    </row>
    <row r="11" spans="3:36" ht="20.25" customHeight="1">
      <c r="C11" s="1"/>
      <c r="D11" s="1"/>
      <c r="E11" s="1"/>
      <c r="F11" s="1"/>
      <c r="G11" s="574" t="s">
        <v>154</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1"/>
      <c r="AH11" s="1"/>
      <c r="AI11" s="1"/>
      <c r="AJ11" s="2"/>
    </row>
    <row r="12" spans="3:36">
      <c r="C12" s="1"/>
      <c r="D12" s="1"/>
      <c r="E12" s="1"/>
      <c r="F12" s="1"/>
      <c r="G12" s="1"/>
      <c r="H12" s="1"/>
      <c r="I12" s="4"/>
      <c r="J12" s="5"/>
      <c r="K12" s="6"/>
      <c r="L12" s="7"/>
      <c r="M12" s="7"/>
      <c r="N12" s="6"/>
      <c r="O12" s="7"/>
      <c r="P12" s="7"/>
      <c r="Q12" s="6"/>
      <c r="R12" s="7"/>
      <c r="S12" s="7"/>
      <c r="T12" s="6"/>
      <c r="U12" s="7"/>
      <c r="V12" s="7"/>
      <c r="W12" s="7"/>
      <c r="X12" s="1"/>
      <c r="Y12" s="1"/>
      <c r="Z12" s="1"/>
      <c r="AA12" s="1"/>
      <c r="AB12" s="1"/>
      <c r="AC12" s="1"/>
      <c r="AD12" s="1"/>
      <c r="AE12" s="1"/>
      <c r="AF12" s="1"/>
      <c r="AG12" s="1"/>
      <c r="AH12" s="1"/>
      <c r="AI12" s="1"/>
      <c r="AJ12" s="1"/>
    </row>
    <row r="13" spans="3:36">
      <c r="C13" s="1"/>
      <c r="D13" s="1"/>
      <c r="E13" s="1"/>
      <c r="F13" s="1"/>
      <c r="G13" s="1"/>
      <c r="H13" s="1"/>
      <c r="I13" s="118"/>
      <c r="J13" s="1"/>
      <c r="K13" s="1"/>
      <c r="L13" s="1"/>
      <c r="M13" s="119" t="s">
        <v>1461</v>
      </c>
      <c r="N13" s="120" t="s">
        <v>1462</v>
      </c>
      <c r="O13" s="121"/>
      <c r="P13" s="8"/>
      <c r="Q13" s="122" t="s">
        <v>1463</v>
      </c>
      <c r="R13" s="120" t="s">
        <v>1464</v>
      </c>
      <c r="S13" s="121"/>
      <c r="T13" s="8"/>
      <c r="U13" s="123" t="s">
        <v>1465</v>
      </c>
      <c r="V13" s="120" t="s">
        <v>1466</v>
      </c>
      <c r="W13" s="124"/>
      <c r="X13" s="8"/>
      <c r="Y13" s="125" t="s">
        <v>1467</v>
      </c>
      <c r="Z13" s="120" t="s">
        <v>1468</v>
      </c>
      <c r="AA13" s="8"/>
      <c r="AB13" s="1"/>
      <c r="AC13" s="1"/>
      <c r="AD13" s="1"/>
      <c r="AE13" s="1"/>
      <c r="AF13" s="1"/>
      <c r="AG13" s="1"/>
      <c r="AH13" s="1"/>
      <c r="AI13" s="1"/>
      <c r="AJ13" s="1"/>
    </row>
    <row r="14" spans="3:36">
      <c r="C14" s="1"/>
      <c r="D14" s="1"/>
      <c r="E14" s="1"/>
      <c r="F14" s="1"/>
      <c r="G14" s="1"/>
      <c r="H14" s="1"/>
      <c r="I14" s="126"/>
      <c r="J14" s="6"/>
      <c r="K14" s="5"/>
      <c r="L14" s="127"/>
      <c r="M14" s="126"/>
      <c r="N14" s="6"/>
      <c r="O14" s="126"/>
      <c r="P14" s="126"/>
      <c r="Q14" s="6"/>
      <c r="R14" s="126"/>
      <c r="S14" s="126"/>
      <c r="T14" s="6"/>
      <c r="U14" s="126"/>
      <c r="V14" s="126"/>
      <c r="W14" s="126"/>
      <c r="X14" s="1"/>
      <c r="Y14" s="1"/>
      <c r="Z14" s="1"/>
      <c r="AA14" s="1"/>
      <c r="AB14" s="1"/>
      <c r="AC14" s="1"/>
      <c r="AD14" s="1"/>
      <c r="AE14" s="1"/>
      <c r="AF14" s="1"/>
      <c r="AG14" s="1"/>
      <c r="AH14" s="1"/>
      <c r="AI14" s="1"/>
      <c r="AJ14" s="1"/>
    </row>
    <row r="15" spans="3:36">
      <c r="C15" s="573" t="s">
        <v>1469</v>
      </c>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row>
    <row r="16" spans="3:36">
      <c r="C16" s="1"/>
      <c r="D16" s="1"/>
      <c r="E16" s="1"/>
      <c r="F16" s="1"/>
      <c r="G16" s="1"/>
      <c r="H16" s="1"/>
      <c r="I16" s="1"/>
      <c r="J16" s="1"/>
      <c r="K16" s="9"/>
      <c r="L16" s="9"/>
      <c r="M16" s="1"/>
      <c r="N16" s="1"/>
      <c r="O16" s="1"/>
      <c r="P16" s="1"/>
      <c r="Q16" s="1"/>
      <c r="R16" s="1"/>
      <c r="S16" s="1"/>
      <c r="T16" s="1"/>
      <c r="U16" s="1"/>
      <c r="V16" s="1"/>
      <c r="W16" s="1"/>
      <c r="X16" s="1"/>
      <c r="Y16" s="1"/>
      <c r="Z16" s="1"/>
      <c r="AA16" s="1"/>
      <c r="AB16" s="1"/>
      <c r="AC16" s="1"/>
      <c r="AD16" s="1"/>
      <c r="AE16" s="1"/>
      <c r="AF16" s="1"/>
      <c r="AG16" s="1"/>
      <c r="AH16" s="1"/>
      <c r="AI16" s="1"/>
      <c r="AJ16" s="1"/>
    </row>
    <row r="17" spans="3:36">
      <c r="C17" s="1"/>
      <c r="D17" s="1"/>
      <c r="E17" s="1"/>
      <c r="F17" s="1"/>
      <c r="G17" s="1"/>
      <c r="H17" s="1"/>
      <c r="I17" s="126"/>
      <c r="J17" s="6"/>
      <c r="K17" s="5"/>
      <c r="L17" s="5"/>
      <c r="M17" s="6"/>
      <c r="N17" s="6"/>
      <c r="O17" s="6"/>
      <c r="P17" s="6"/>
      <c r="Q17" s="6"/>
      <c r="R17" s="6"/>
      <c r="S17" s="6"/>
      <c r="T17" s="6"/>
      <c r="U17" s="6"/>
      <c r="V17" s="6"/>
      <c r="W17" s="6"/>
      <c r="X17" s="1"/>
      <c r="Y17" s="1"/>
      <c r="Z17" s="1"/>
      <c r="AA17" s="1"/>
      <c r="AB17" s="1"/>
      <c r="AC17" s="1"/>
      <c r="AD17" s="1"/>
      <c r="AE17" s="1"/>
      <c r="AF17" s="1"/>
      <c r="AG17" s="1"/>
      <c r="AH17" s="1"/>
      <c r="AI17" s="1"/>
      <c r="AJ17" s="1"/>
    </row>
    <row r="18" spans="3:36" ht="32.25" customHeight="1">
      <c r="C18" s="572" t="s">
        <v>1470</v>
      </c>
      <c r="D18" s="572"/>
      <c r="E18" s="572"/>
      <c r="F18" s="572"/>
      <c r="G18" s="572"/>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572"/>
      <c r="AJ18" s="572"/>
    </row>
    <row r="19" spans="3:36">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3:36">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sheetData>
  <customSheetViews>
    <customSheetView guid="{F8FDF2EC-A9AD-41AC-8138-AA3657B53E6D}" showGridLines="0" state="hidden">
      <selection activeCell="G5" sqref="G5:L5"/>
      <pageMargins left="0" right="0" top="0" bottom="0" header="0" footer="0"/>
      <pageSetup orientation="portrait" r:id="rId1"/>
    </customSheetView>
    <customSheetView guid="{795C8354-6623-430F-B16F-866AD45BC174}" showGridLines="0" state="hidden">
      <selection activeCell="G5" sqref="G5:L5"/>
      <pageMargins left="0" right="0" top="0" bottom="0" header="0" footer="0"/>
      <pageSetup orientation="portrait" r:id="rId2"/>
    </customSheetView>
    <customSheetView guid="{82BC0C9B-70E2-44EC-8408-64CC9B36E280}" showGridLines="0" state="hidden">
      <selection activeCell="G5" sqref="G5:L5"/>
      <pageMargins left="0" right="0" top="0" bottom="0" header="0" footer="0"/>
      <pageSetup orientation="portrait" r:id="rId3"/>
    </customSheetView>
  </customSheetViews>
  <mergeCells count="40">
    <mergeCell ref="Y5:AB5"/>
    <mergeCell ref="AC5:AF5"/>
    <mergeCell ref="Y4:AB4"/>
    <mergeCell ref="AC4:AF4"/>
    <mergeCell ref="G4:L4"/>
    <mergeCell ref="M4:P4"/>
    <mergeCell ref="Q4:T4"/>
    <mergeCell ref="U4:X4"/>
    <mergeCell ref="G5:L5"/>
    <mergeCell ref="M5:P5"/>
    <mergeCell ref="Q5:T5"/>
    <mergeCell ref="U5:X5"/>
    <mergeCell ref="C18:AJ18"/>
    <mergeCell ref="C15:AJ15"/>
    <mergeCell ref="G11:AF11"/>
    <mergeCell ref="G9:L9"/>
    <mergeCell ref="AC8:AF8"/>
    <mergeCell ref="G8:L8"/>
    <mergeCell ref="M8:P8"/>
    <mergeCell ref="Q8:T8"/>
    <mergeCell ref="U8:X8"/>
    <mergeCell ref="Y8:AB8"/>
    <mergeCell ref="AC9:AF9"/>
    <mergeCell ref="E4:E9"/>
    <mergeCell ref="G6:L6"/>
    <mergeCell ref="M6:P6"/>
    <mergeCell ref="Q6:T6"/>
    <mergeCell ref="U6:X6"/>
    <mergeCell ref="G7:L7"/>
    <mergeCell ref="M7:P7"/>
    <mergeCell ref="Q7:T7"/>
    <mergeCell ref="U7:X7"/>
    <mergeCell ref="Y7:AB7"/>
    <mergeCell ref="AC6:AF6"/>
    <mergeCell ref="Y6:AB6"/>
    <mergeCell ref="M9:P9"/>
    <mergeCell ref="Q9:T9"/>
    <mergeCell ref="U9:X9"/>
    <mergeCell ref="Y9:AB9"/>
    <mergeCell ref="AC7:AF7"/>
  </mergeCells>
  <pageMargins left="0.7" right="0.7" top="0.75" bottom="0.75" header="0.3" footer="0.3"/>
  <pageSetup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J20"/>
  <sheetViews>
    <sheetView showGridLines="0" topLeftCell="A4" workbookViewId="0">
      <selection activeCell="E4" sqref="E4:AF11"/>
    </sheetView>
  </sheetViews>
  <sheetFormatPr baseColWidth="10" defaultColWidth="9.28515625" defaultRowHeight="15"/>
  <cols>
    <col min="1" max="5" width="3.7109375" customWidth="1"/>
    <col min="6" max="6" width="1.28515625" customWidth="1"/>
    <col min="7" max="36" width="3.7109375" customWidth="1"/>
  </cols>
  <sheetData>
    <row r="1" spans="3:36" ht="18" customHeight="1"/>
    <row r="4" spans="3:36" ht="51" customHeight="1">
      <c r="C4" s="1"/>
      <c r="D4" s="1"/>
      <c r="E4" s="576" t="s">
        <v>1449</v>
      </c>
      <c r="F4" s="1"/>
      <c r="G4" s="568" t="s">
        <v>1450</v>
      </c>
      <c r="H4" s="568"/>
      <c r="I4" s="568"/>
      <c r="J4" s="568"/>
      <c r="K4" s="568"/>
      <c r="L4" s="568"/>
      <c r="M4" s="571"/>
      <c r="N4" s="571"/>
      <c r="O4" s="571"/>
      <c r="P4" s="571"/>
      <c r="Q4" s="571"/>
      <c r="R4" s="571"/>
      <c r="S4" s="571"/>
      <c r="T4" s="571"/>
      <c r="U4" s="567"/>
      <c r="V4" s="567"/>
      <c r="W4" s="567"/>
      <c r="X4" s="567"/>
      <c r="Y4" s="567"/>
      <c r="Z4" s="567"/>
      <c r="AA4" s="567"/>
      <c r="AB4" s="567"/>
      <c r="AC4" s="567"/>
      <c r="AD4" s="567"/>
      <c r="AE4" s="567"/>
      <c r="AF4" s="567"/>
      <c r="AG4" s="1"/>
      <c r="AH4" s="1"/>
      <c r="AI4" s="1"/>
      <c r="AJ4" s="2"/>
    </row>
    <row r="5" spans="3:36" ht="51" customHeight="1">
      <c r="C5" s="1"/>
      <c r="D5" s="1"/>
      <c r="E5" s="576"/>
      <c r="F5" s="1"/>
      <c r="G5" s="568" t="s">
        <v>1451</v>
      </c>
      <c r="H5" s="568"/>
      <c r="I5" s="568"/>
      <c r="J5" s="568"/>
      <c r="K5" s="568"/>
      <c r="L5" s="568"/>
      <c r="M5" s="570"/>
      <c r="N5" s="570"/>
      <c r="O5" s="570"/>
      <c r="P5" s="570"/>
      <c r="Q5" s="571"/>
      <c r="R5" s="571"/>
      <c r="S5" s="571"/>
      <c r="T5" s="571"/>
      <c r="U5" s="571"/>
      <c r="V5" s="571"/>
      <c r="W5" s="571"/>
      <c r="X5" s="571"/>
      <c r="Y5" s="567">
        <v>1</v>
      </c>
      <c r="Z5" s="567"/>
      <c r="AA5" s="567"/>
      <c r="AB5" s="567"/>
      <c r="AC5" s="567"/>
      <c r="AD5" s="567"/>
      <c r="AE5" s="567"/>
      <c r="AF5" s="567"/>
      <c r="AG5" s="1"/>
      <c r="AH5" s="1"/>
      <c r="AI5" s="1"/>
      <c r="AJ5" s="2"/>
    </row>
    <row r="6" spans="3:36" ht="51" customHeight="1">
      <c r="C6" s="1"/>
      <c r="D6" s="1"/>
      <c r="E6" s="576"/>
      <c r="F6" s="1"/>
      <c r="G6" s="568" t="s">
        <v>1452</v>
      </c>
      <c r="H6" s="568"/>
      <c r="I6" s="568"/>
      <c r="J6" s="568"/>
      <c r="K6" s="568"/>
      <c r="L6" s="568"/>
      <c r="M6" s="569"/>
      <c r="N6" s="569"/>
      <c r="O6" s="569"/>
      <c r="P6" s="569"/>
      <c r="Q6" s="570"/>
      <c r="R6" s="570"/>
      <c r="S6" s="570"/>
      <c r="T6" s="570"/>
      <c r="U6" s="571"/>
      <c r="V6" s="571"/>
      <c r="W6" s="571"/>
      <c r="X6" s="571"/>
      <c r="Y6" s="567">
        <v>2</v>
      </c>
      <c r="Z6" s="567"/>
      <c r="AA6" s="567"/>
      <c r="AB6" s="567"/>
      <c r="AC6" s="567">
        <v>1</v>
      </c>
      <c r="AD6" s="567"/>
      <c r="AE6" s="567"/>
      <c r="AF6" s="567"/>
      <c r="AG6" s="1"/>
      <c r="AH6" s="1"/>
      <c r="AI6" s="1"/>
      <c r="AJ6" s="3"/>
    </row>
    <row r="7" spans="3:36" ht="51" customHeight="1">
      <c r="C7" s="1"/>
      <c r="D7" s="1"/>
      <c r="E7" s="576"/>
      <c r="F7" s="1"/>
      <c r="G7" s="568" t="s">
        <v>1453</v>
      </c>
      <c r="H7" s="568"/>
      <c r="I7" s="568"/>
      <c r="J7" s="568"/>
      <c r="K7" s="568"/>
      <c r="L7" s="568"/>
      <c r="M7" s="569"/>
      <c r="N7" s="569"/>
      <c r="O7" s="569"/>
      <c r="P7" s="569"/>
      <c r="Q7" s="569"/>
      <c r="R7" s="569"/>
      <c r="S7" s="569"/>
      <c r="T7" s="569"/>
      <c r="U7" s="570"/>
      <c r="V7" s="570"/>
      <c r="W7" s="570"/>
      <c r="X7" s="570"/>
      <c r="Y7" s="571">
        <v>1</v>
      </c>
      <c r="Z7" s="571"/>
      <c r="AA7" s="571"/>
      <c r="AB7" s="571"/>
      <c r="AC7" s="567"/>
      <c r="AD7" s="567"/>
      <c r="AE7" s="567"/>
      <c r="AF7" s="567"/>
      <c r="AG7" s="1"/>
      <c r="AH7" s="1"/>
      <c r="AI7" s="1"/>
      <c r="AJ7" s="3" t="s">
        <v>1398</v>
      </c>
    </row>
    <row r="8" spans="3:36" ht="51" customHeight="1">
      <c r="C8" s="1"/>
      <c r="D8" s="1"/>
      <c r="E8" s="576"/>
      <c r="F8" s="1"/>
      <c r="G8" s="568" t="s">
        <v>1454</v>
      </c>
      <c r="H8" s="568"/>
      <c r="I8" s="568"/>
      <c r="J8" s="568"/>
      <c r="K8" s="568"/>
      <c r="L8" s="568"/>
      <c r="M8" s="569"/>
      <c r="N8" s="569"/>
      <c r="O8" s="569"/>
      <c r="P8" s="569"/>
      <c r="Q8" s="569"/>
      <c r="R8" s="569"/>
      <c r="S8" s="569"/>
      <c r="T8" s="569"/>
      <c r="U8" s="570"/>
      <c r="V8" s="570"/>
      <c r="W8" s="570"/>
      <c r="X8" s="570"/>
      <c r="Y8" s="571">
        <v>5</v>
      </c>
      <c r="Z8" s="571"/>
      <c r="AA8" s="571"/>
      <c r="AB8" s="571"/>
      <c r="AC8" s="567">
        <v>4</v>
      </c>
      <c r="AD8" s="567"/>
      <c r="AE8" s="567"/>
      <c r="AF8" s="567"/>
      <c r="AG8" s="1"/>
      <c r="AH8" s="1"/>
      <c r="AI8" s="1"/>
      <c r="AJ8" s="2"/>
    </row>
    <row r="9" spans="3:36" ht="45" customHeight="1">
      <c r="C9" s="1"/>
      <c r="D9" s="1"/>
      <c r="E9" s="576"/>
      <c r="F9" s="1"/>
      <c r="G9" s="575"/>
      <c r="H9" s="575"/>
      <c r="I9" s="575"/>
      <c r="J9" s="575"/>
      <c r="K9" s="575"/>
      <c r="L9" s="575"/>
      <c r="M9" s="568" t="s">
        <v>1455</v>
      </c>
      <c r="N9" s="568"/>
      <c r="O9" s="568"/>
      <c r="P9" s="568"/>
      <c r="Q9" s="568" t="s">
        <v>1456</v>
      </c>
      <c r="R9" s="568"/>
      <c r="S9" s="568"/>
      <c r="T9" s="568"/>
      <c r="U9" s="568" t="s">
        <v>1457</v>
      </c>
      <c r="V9" s="568"/>
      <c r="W9" s="568"/>
      <c r="X9" s="568"/>
      <c r="Y9" s="568" t="s">
        <v>1458</v>
      </c>
      <c r="Z9" s="568"/>
      <c r="AA9" s="568"/>
      <c r="AB9" s="568"/>
      <c r="AC9" s="568" t="s">
        <v>1459</v>
      </c>
      <c r="AD9" s="568"/>
      <c r="AE9" s="568"/>
      <c r="AF9" s="568"/>
      <c r="AG9" s="1"/>
      <c r="AH9" s="1"/>
      <c r="AI9" s="1"/>
      <c r="AJ9" s="3" t="s">
        <v>1460</v>
      </c>
    </row>
    <row r="10" spans="3:36" ht="11.25" customHeight="1">
      <c r="C10" s="1"/>
      <c r="D10" s="1"/>
      <c r="E10" s="1"/>
      <c r="F10" s="1"/>
      <c r="G10" s="13"/>
      <c r="H10" s="13"/>
      <c r="I10" s="13"/>
      <c r="J10" s="13"/>
      <c r="K10" s="13"/>
      <c r="L10" s="13"/>
      <c r="M10" s="12"/>
      <c r="N10" s="12"/>
      <c r="O10" s="12"/>
      <c r="P10" s="12"/>
      <c r="Q10" s="12"/>
      <c r="R10" s="12"/>
      <c r="S10" s="12"/>
      <c r="T10" s="12"/>
      <c r="U10" s="12"/>
      <c r="V10" s="12"/>
      <c r="W10" s="12"/>
      <c r="X10" s="12"/>
      <c r="Y10" s="12"/>
      <c r="Z10" s="12"/>
      <c r="AA10" s="12"/>
      <c r="AB10" s="12"/>
      <c r="AC10" s="12"/>
      <c r="AD10" s="12"/>
      <c r="AE10" s="12"/>
      <c r="AF10" s="12"/>
      <c r="AG10" s="1"/>
      <c r="AH10" s="1"/>
      <c r="AI10" s="1"/>
      <c r="AJ10" s="3"/>
    </row>
    <row r="11" spans="3:36" ht="20.25" customHeight="1">
      <c r="C11" s="1"/>
      <c r="D11" s="1"/>
      <c r="E11" s="1"/>
      <c r="F11" s="1"/>
      <c r="G11" s="574" t="s">
        <v>154</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1"/>
      <c r="AH11" s="1"/>
      <c r="AI11" s="1"/>
      <c r="AJ11" s="2"/>
    </row>
    <row r="12" spans="3:36">
      <c r="C12" s="1"/>
      <c r="D12" s="1"/>
      <c r="E12" s="1"/>
      <c r="F12" s="1"/>
      <c r="G12" s="1"/>
      <c r="H12" s="1"/>
      <c r="I12" s="4"/>
      <c r="J12" s="5"/>
      <c r="K12" s="6"/>
      <c r="L12" s="7"/>
      <c r="M12" s="7"/>
      <c r="N12" s="6"/>
      <c r="O12" s="7"/>
      <c r="P12" s="7"/>
      <c r="Q12" s="6"/>
      <c r="R12" s="7"/>
      <c r="S12" s="7"/>
      <c r="T12" s="6"/>
      <c r="U12" s="7"/>
      <c r="V12" s="7"/>
      <c r="W12" s="7"/>
      <c r="X12" s="1"/>
      <c r="Y12" s="1"/>
      <c r="Z12" s="1"/>
      <c r="AA12" s="1"/>
      <c r="AB12" s="1"/>
      <c r="AC12" s="1"/>
      <c r="AD12" s="1"/>
      <c r="AE12" s="1"/>
      <c r="AF12" s="1"/>
      <c r="AG12" s="1"/>
      <c r="AH12" s="1"/>
      <c r="AI12" s="1"/>
      <c r="AJ12" s="1"/>
    </row>
    <row r="13" spans="3:36">
      <c r="C13" s="1"/>
      <c r="D13" s="1"/>
      <c r="E13" s="1"/>
      <c r="F13" s="1"/>
      <c r="G13" s="1"/>
      <c r="H13" s="1"/>
      <c r="I13" s="118"/>
      <c r="J13" s="1"/>
      <c r="K13" s="1"/>
      <c r="L13" s="1"/>
      <c r="M13" s="119" t="s">
        <v>1461</v>
      </c>
      <c r="N13" s="120" t="s">
        <v>1462</v>
      </c>
      <c r="O13" s="121"/>
      <c r="P13" s="8"/>
      <c r="Q13" s="122" t="s">
        <v>1463</v>
      </c>
      <c r="R13" s="120" t="s">
        <v>1464</v>
      </c>
      <c r="S13" s="121"/>
      <c r="T13" s="8"/>
      <c r="U13" s="123" t="s">
        <v>1465</v>
      </c>
      <c r="V13" s="120" t="s">
        <v>1466</v>
      </c>
      <c r="W13" s="124"/>
      <c r="X13" s="8"/>
      <c r="Y13" s="125" t="s">
        <v>1467</v>
      </c>
      <c r="Z13" s="120" t="s">
        <v>1468</v>
      </c>
      <c r="AA13" s="8"/>
      <c r="AB13" s="1"/>
      <c r="AC13" s="1"/>
      <c r="AD13" s="1"/>
      <c r="AE13" s="1"/>
      <c r="AF13" s="1"/>
      <c r="AG13" s="1"/>
      <c r="AH13" s="1"/>
      <c r="AI13" s="1"/>
      <c r="AJ13" s="1"/>
    </row>
    <row r="14" spans="3:36">
      <c r="C14" s="1"/>
      <c r="D14" s="1"/>
      <c r="E14" s="1"/>
      <c r="F14" s="1"/>
      <c r="G14" s="1"/>
      <c r="H14" s="1"/>
      <c r="I14" s="126"/>
      <c r="J14" s="6"/>
      <c r="K14" s="5"/>
      <c r="L14" s="127"/>
      <c r="M14" s="126"/>
      <c r="N14" s="6"/>
      <c r="O14" s="126"/>
      <c r="P14" s="126"/>
      <c r="Q14" s="6"/>
      <c r="R14" s="126"/>
      <c r="S14" s="126"/>
      <c r="T14" s="6"/>
      <c r="U14" s="126"/>
      <c r="V14" s="126"/>
      <c r="W14" s="126"/>
      <c r="X14" s="1"/>
      <c r="Y14" s="1"/>
      <c r="Z14" s="1"/>
      <c r="AA14" s="1"/>
      <c r="AB14" s="1"/>
      <c r="AC14" s="1"/>
      <c r="AD14" s="1"/>
      <c r="AE14" s="1"/>
      <c r="AF14" s="1"/>
      <c r="AG14" s="1"/>
      <c r="AH14" s="1"/>
      <c r="AI14" s="1"/>
      <c r="AJ14" s="1"/>
    </row>
    <row r="15" spans="3:36">
      <c r="C15" s="573" t="s">
        <v>1469</v>
      </c>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row>
    <row r="16" spans="3:36">
      <c r="C16" s="1"/>
      <c r="D16" s="1"/>
      <c r="E16" s="1"/>
      <c r="F16" s="1"/>
      <c r="G16" s="1"/>
      <c r="H16" s="1"/>
      <c r="I16" s="1"/>
      <c r="J16" s="1"/>
      <c r="K16" s="9"/>
      <c r="L16" s="9"/>
      <c r="M16" s="1"/>
      <c r="N16" s="1"/>
      <c r="O16" s="1"/>
      <c r="P16" s="1"/>
      <c r="Q16" s="1"/>
      <c r="R16" s="1"/>
      <c r="S16" s="1"/>
      <c r="T16" s="1"/>
      <c r="U16" s="1"/>
      <c r="V16" s="1"/>
      <c r="W16" s="1"/>
      <c r="X16" s="1"/>
      <c r="Y16" s="1"/>
      <c r="Z16" s="1"/>
      <c r="AA16" s="1"/>
      <c r="AB16" s="1"/>
      <c r="AC16" s="1"/>
      <c r="AD16" s="1"/>
      <c r="AE16" s="1"/>
      <c r="AF16" s="1"/>
      <c r="AG16" s="1"/>
      <c r="AH16" s="1"/>
      <c r="AI16" s="1"/>
      <c r="AJ16" s="1"/>
    </row>
    <row r="17" spans="3:36">
      <c r="C17" s="1"/>
      <c r="D17" s="1"/>
      <c r="E17" s="1"/>
      <c r="F17" s="1"/>
      <c r="G17" s="1"/>
      <c r="H17" s="1"/>
      <c r="I17" s="126"/>
      <c r="J17" s="6"/>
      <c r="K17" s="5"/>
      <c r="L17" s="5"/>
      <c r="M17" s="6"/>
      <c r="N17" s="6"/>
      <c r="O17" s="6"/>
      <c r="P17" s="6"/>
      <c r="Q17" s="6"/>
      <c r="R17" s="6"/>
      <c r="S17" s="6"/>
      <c r="T17" s="6"/>
      <c r="U17" s="6"/>
      <c r="V17" s="6"/>
      <c r="W17" s="6"/>
      <c r="X17" s="1"/>
      <c r="Y17" s="1"/>
      <c r="Z17" s="1"/>
      <c r="AA17" s="1"/>
      <c r="AB17" s="1"/>
      <c r="AC17" s="1"/>
      <c r="AD17" s="1"/>
      <c r="AE17" s="1"/>
      <c r="AF17" s="1"/>
      <c r="AG17" s="1"/>
      <c r="AH17" s="1"/>
      <c r="AI17" s="1"/>
      <c r="AJ17" s="1"/>
    </row>
    <row r="18" spans="3:36" ht="32.25" customHeight="1">
      <c r="C18" s="572" t="s">
        <v>1470</v>
      </c>
      <c r="D18" s="572"/>
      <c r="E18" s="572"/>
      <c r="F18" s="572"/>
      <c r="G18" s="572"/>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572"/>
      <c r="AJ18" s="572"/>
    </row>
    <row r="19" spans="3:36">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3:36">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sheetData>
  <mergeCells count="40">
    <mergeCell ref="C15:AJ15"/>
    <mergeCell ref="C18:AJ18"/>
    <mergeCell ref="G9:L9"/>
    <mergeCell ref="M9:P9"/>
    <mergeCell ref="Q9:T9"/>
    <mergeCell ref="U9:X9"/>
    <mergeCell ref="Y9:AB9"/>
    <mergeCell ref="AC9:AF9"/>
    <mergeCell ref="E4:E9"/>
    <mergeCell ref="AC8:AF8"/>
    <mergeCell ref="Y6:AB6"/>
    <mergeCell ref="AC6:AF6"/>
    <mergeCell ref="G7:L7"/>
    <mergeCell ref="Y7:AB7"/>
    <mergeCell ref="AC7:AF7"/>
    <mergeCell ref="U8:X8"/>
    <mergeCell ref="Y8:AB8"/>
    <mergeCell ref="G11:AF11"/>
    <mergeCell ref="G6:L6"/>
    <mergeCell ref="M6:P6"/>
    <mergeCell ref="Q6:T6"/>
    <mergeCell ref="U6:X6"/>
    <mergeCell ref="G8:L8"/>
    <mergeCell ref="M8:P8"/>
    <mergeCell ref="Q8:T8"/>
    <mergeCell ref="M7:P7"/>
    <mergeCell ref="Q7:T7"/>
    <mergeCell ref="U7:X7"/>
    <mergeCell ref="AC4:AF4"/>
    <mergeCell ref="G5:L5"/>
    <mergeCell ref="M5:P5"/>
    <mergeCell ref="Q5:T5"/>
    <mergeCell ref="U5:X5"/>
    <mergeCell ref="Y5:AB5"/>
    <mergeCell ref="AC5:AF5"/>
    <mergeCell ref="G4:L4"/>
    <mergeCell ref="M4:P4"/>
    <mergeCell ref="Q4:T4"/>
    <mergeCell ref="U4:X4"/>
    <mergeCell ref="Y4:AB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66"/>
  <sheetViews>
    <sheetView showGridLines="0" topLeftCell="J90" zoomScale="90" zoomScaleNormal="90" zoomScaleSheetLayoutView="50" workbookViewId="0">
      <selection activeCell="P91" sqref="P91"/>
    </sheetView>
  </sheetViews>
  <sheetFormatPr baseColWidth="10" defaultColWidth="11.42578125" defaultRowHeight="15"/>
  <cols>
    <col min="1" max="1" width="4.85546875" style="18" customWidth="1"/>
    <col min="2" max="2" width="33.5703125" style="129" customWidth="1"/>
    <col min="3" max="3" width="47" style="15" customWidth="1"/>
    <col min="4" max="6" width="28.85546875" style="19" customWidth="1"/>
    <col min="7" max="7" width="26.28515625" style="19" bestFit="1" customWidth="1"/>
    <col min="8" max="8" width="27.28515625" style="19" customWidth="1"/>
    <col min="9" max="9" width="27.7109375" style="15" customWidth="1"/>
    <col min="10" max="10" width="9.28515625" style="20" customWidth="1"/>
    <col min="11" max="11" width="10.42578125" style="20" hidden="1" customWidth="1"/>
    <col min="12" max="12" width="12.42578125" style="20" customWidth="1"/>
    <col min="13" max="13" width="10.42578125" style="20" hidden="1" customWidth="1"/>
    <col min="14" max="14" width="10.140625" style="20" customWidth="1"/>
    <col min="15" max="15" width="74.140625" style="15" customWidth="1"/>
    <col min="16" max="16" width="52.7109375" style="15" customWidth="1"/>
    <col min="17" max="17" width="16.42578125" style="15" customWidth="1"/>
    <col min="18" max="18" width="20" style="15" customWidth="1"/>
    <col min="19" max="19" width="20" style="15" hidden="1" customWidth="1"/>
    <col min="20" max="20" width="22.85546875" style="15" customWidth="1"/>
    <col min="21" max="21" width="22.85546875" style="15" hidden="1" customWidth="1"/>
    <col min="22" max="22" width="28.140625" style="15" bestFit="1" customWidth="1"/>
    <col min="23" max="23" width="28.140625" style="15" hidden="1" customWidth="1"/>
    <col min="24" max="24" width="34.7109375" style="15" bestFit="1" customWidth="1"/>
    <col min="25" max="25" width="34.7109375" style="15" hidden="1" customWidth="1"/>
    <col min="26" max="26" width="24.140625" style="15" bestFit="1" customWidth="1"/>
    <col min="27" max="27" width="24.140625" style="15" hidden="1" customWidth="1"/>
    <col min="28" max="28" width="27.85546875" style="15" bestFit="1" customWidth="1"/>
    <col min="29" max="29" width="27.85546875" style="15" hidden="1" customWidth="1"/>
    <col min="30" max="30" width="23.85546875" style="15" bestFit="1" customWidth="1"/>
    <col min="31" max="31" width="23.85546875" style="15" hidden="1" customWidth="1"/>
    <col min="32" max="32" width="15.85546875" style="15" customWidth="1"/>
    <col min="33" max="33" width="18.5703125" style="15" customWidth="1"/>
    <col min="34" max="35" width="20.5703125" style="15" customWidth="1"/>
    <col min="36" max="38" width="15.5703125" style="15" customWidth="1"/>
    <col min="39" max="39" width="18.85546875" style="15" customWidth="1"/>
    <col min="40" max="41" width="15.5703125" style="15" customWidth="1"/>
    <col min="42" max="43" width="15.5703125" style="15" hidden="1" customWidth="1"/>
    <col min="44" max="44" width="22.28515625" style="20" customWidth="1"/>
    <col min="45" max="45" width="11.85546875" style="20" customWidth="1"/>
    <col min="46" max="46" width="19.42578125" style="15" customWidth="1"/>
    <col min="47" max="47" width="17.140625" style="15" customWidth="1"/>
  </cols>
  <sheetData>
    <row r="1" spans="1:56" ht="45.75" customHeight="1">
      <c r="A1" s="339" t="s">
        <v>128</v>
      </c>
      <c r="B1" s="340"/>
      <c r="C1" s="340"/>
      <c r="D1" s="340"/>
      <c r="E1" s="340"/>
      <c r="F1" s="341"/>
      <c r="G1" s="325" t="s">
        <v>129</v>
      </c>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row>
    <row r="2" spans="1:56" ht="40.5" customHeight="1">
      <c r="A2" s="339"/>
      <c r="B2" s="340"/>
      <c r="C2" s="340"/>
      <c r="D2" s="340"/>
      <c r="E2" s="340"/>
      <c r="F2" s="341"/>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row>
    <row r="3" spans="1:56" ht="13.5" customHeight="1" thickBot="1">
      <c r="A3" s="342"/>
      <c r="B3" s="343"/>
      <c r="C3" s="343"/>
      <c r="D3" s="343"/>
      <c r="E3" s="343"/>
      <c r="F3" s="344"/>
      <c r="G3" s="326" t="s">
        <v>130</v>
      </c>
      <c r="H3" s="326"/>
      <c r="I3" s="117">
        <v>2020</v>
      </c>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row>
    <row r="4" spans="1:56" ht="29.25" customHeight="1">
      <c r="A4" s="334" t="s">
        <v>131</v>
      </c>
      <c r="B4" s="335"/>
      <c r="C4" s="335"/>
      <c r="D4" s="335"/>
      <c r="E4" s="335"/>
      <c r="F4" s="335"/>
      <c r="G4" s="335"/>
      <c r="H4" s="335"/>
      <c r="I4" s="335"/>
      <c r="J4" s="338" t="s">
        <v>132</v>
      </c>
      <c r="K4" s="338"/>
      <c r="L4" s="338"/>
      <c r="M4" s="338"/>
      <c r="N4" s="338"/>
      <c r="O4" s="338" t="s">
        <v>133</v>
      </c>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18" t="s">
        <v>134</v>
      </c>
    </row>
    <row r="5" spans="1:56" ht="14.25" customHeight="1" thickBot="1">
      <c r="A5" s="336"/>
      <c r="B5" s="337"/>
      <c r="C5" s="337"/>
      <c r="D5" s="337"/>
      <c r="E5" s="337"/>
      <c r="F5" s="337"/>
      <c r="G5" s="337"/>
      <c r="H5" s="337"/>
      <c r="I5" s="337"/>
      <c r="J5" s="318" t="s">
        <v>135</v>
      </c>
      <c r="K5" s="318"/>
      <c r="L5" s="318"/>
      <c r="M5" s="318"/>
      <c r="N5" s="318"/>
      <c r="O5" s="319" t="s">
        <v>136</v>
      </c>
      <c r="P5" s="320"/>
      <c r="Q5" s="321"/>
      <c r="R5" s="319" t="s">
        <v>137</v>
      </c>
      <c r="S5" s="320"/>
      <c r="T5" s="320"/>
      <c r="U5" s="320"/>
      <c r="V5" s="320"/>
      <c r="W5" s="320"/>
      <c r="X5" s="320"/>
      <c r="Y5" s="320"/>
      <c r="Z5" s="320"/>
      <c r="AA5" s="320"/>
      <c r="AB5" s="320"/>
      <c r="AC5" s="320"/>
      <c r="AD5" s="320"/>
      <c r="AE5" s="320"/>
      <c r="AF5" s="320"/>
      <c r="AG5" s="321"/>
      <c r="AH5" s="322" t="s">
        <v>113</v>
      </c>
      <c r="AI5" s="323"/>
      <c r="AJ5" s="322" t="s">
        <v>138</v>
      </c>
      <c r="AK5" s="324"/>
      <c r="AL5" s="322" t="s">
        <v>139</v>
      </c>
      <c r="AM5" s="324"/>
      <c r="AN5" s="170"/>
      <c r="AO5" s="170"/>
      <c r="AP5" s="170"/>
      <c r="AQ5" s="170"/>
      <c r="AR5" s="318" t="s">
        <v>140</v>
      </c>
      <c r="AS5" s="318"/>
      <c r="AT5" s="318"/>
      <c r="AU5" s="318"/>
      <c r="AV5" s="314" t="s">
        <v>141</v>
      </c>
      <c r="AW5" s="315"/>
      <c r="AX5" s="315"/>
      <c r="AY5" s="315" t="s">
        <v>142</v>
      </c>
      <c r="AZ5" s="315"/>
      <c r="BA5" s="315"/>
      <c r="BB5" s="315" t="s">
        <v>143</v>
      </c>
      <c r="BC5" s="315"/>
      <c r="BD5" s="315"/>
    </row>
    <row r="6" spans="1:56" ht="111.75" customHeight="1" thickBot="1">
      <c r="A6" s="16" t="s">
        <v>144</v>
      </c>
      <c r="B6" s="49" t="s">
        <v>145</v>
      </c>
      <c r="C6" s="49" t="s">
        <v>146</v>
      </c>
      <c r="D6" s="49" t="s">
        <v>147</v>
      </c>
      <c r="E6" s="49" t="s">
        <v>148</v>
      </c>
      <c r="F6" s="49" t="s">
        <v>149</v>
      </c>
      <c r="G6" s="49" t="s">
        <v>150</v>
      </c>
      <c r="H6" s="49" t="s">
        <v>151</v>
      </c>
      <c r="I6" s="49" t="s">
        <v>152</v>
      </c>
      <c r="J6" s="171" t="s">
        <v>153</v>
      </c>
      <c r="K6" s="199"/>
      <c r="L6" s="199" t="s">
        <v>154</v>
      </c>
      <c r="M6" s="199"/>
      <c r="N6" s="199" t="s">
        <v>155</v>
      </c>
      <c r="O6" s="200" t="s">
        <v>156</v>
      </c>
      <c r="P6" s="201" t="s">
        <v>157</v>
      </c>
      <c r="Q6" s="200" t="s">
        <v>158</v>
      </c>
      <c r="R6" s="200" t="s">
        <v>159</v>
      </c>
      <c r="S6" s="200"/>
      <c r="T6" s="200" t="s">
        <v>160</v>
      </c>
      <c r="U6" s="200"/>
      <c r="V6" s="200" t="s">
        <v>161</v>
      </c>
      <c r="W6" s="200"/>
      <c r="X6" s="200" t="s">
        <v>162</v>
      </c>
      <c r="Y6" s="200"/>
      <c r="Z6" s="200" t="s">
        <v>163</v>
      </c>
      <c r="AA6" s="200"/>
      <c r="AB6" s="200" t="s">
        <v>164</v>
      </c>
      <c r="AC6" s="200"/>
      <c r="AD6" s="200" t="s">
        <v>165</v>
      </c>
      <c r="AE6" s="200"/>
      <c r="AF6" s="200" t="s">
        <v>166</v>
      </c>
      <c r="AG6" s="200" t="s">
        <v>167</v>
      </c>
      <c r="AH6" s="200" t="s">
        <v>168</v>
      </c>
      <c r="AI6" s="200" t="s">
        <v>169</v>
      </c>
      <c r="AJ6" s="200" t="s">
        <v>170</v>
      </c>
      <c r="AK6" s="200" t="s">
        <v>171</v>
      </c>
      <c r="AL6" s="200" t="s">
        <v>172</v>
      </c>
      <c r="AM6" s="200" t="s">
        <v>173</v>
      </c>
      <c r="AN6" s="200" t="s">
        <v>174</v>
      </c>
      <c r="AO6" s="200" t="s">
        <v>175</v>
      </c>
      <c r="AP6" s="200"/>
      <c r="AQ6" s="200"/>
      <c r="AR6" s="200" t="s">
        <v>153</v>
      </c>
      <c r="AS6" s="200" t="s">
        <v>154</v>
      </c>
      <c r="AT6" s="200" t="s">
        <v>155</v>
      </c>
      <c r="AU6" s="200" t="s">
        <v>176</v>
      </c>
      <c r="AV6" s="316"/>
      <c r="AW6" s="317"/>
      <c r="AX6" s="317"/>
      <c r="AY6" s="317"/>
      <c r="AZ6" s="317"/>
      <c r="BA6" s="317"/>
      <c r="BB6" s="317"/>
      <c r="BC6" s="317"/>
      <c r="BD6" s="317"/>
    </row>
    <row r="7" spans="1:56" ht="201" thickBot="1">
      <c r="A7" s="328">
        <v>1</v>
      </c>
      <c r="B7" s="331" t="s">
        <v>68</v>
      </c>
      <c r="C7" s="332" t="str">
        <f>IFERROR(VLOOKUP(B7,Listados!B$3:C$20,2,FALSE),"")</f>
        <v>Gestión contra la Criminalidad y la Reincidencia</v>
      </c>
      <c r="D7" s="333" t="s">
        <v>177</v>
      </c>
      <c r="E7" s="203" t="s">
        <v>15</v>
      </c>
      <c r="F7" s="203" t="s">
        <v>178</v>
      </c>
      <c r="G7" s="204" t="s">
        <v>179</v>
      </c>
      <c r="H7" s="204" t="s">
        <v>16</v>
      </c>
      <c r="I7" s="204" t="s">
        <v>180</v>
      </c>
      <c r="J7" s="331" t="s">
        <v>21</v>
      </c>
      <c r="K7" s="348">
        <f>+VLOOKUP(J7,Listados!$K$8:$L$12,2,0)</f>
        <v>1</v>
      </c>
      <c r="L7" s="351" t="s">
        <v>64</v>
      </c>
      <c r="M7" s="348">
        <f>+VLOOKUP(L7,Listados!$K$13:$L$17,2,0)</f>
        <v>5</v>
      </c>
      <c r="N7" s="347" t="str">
        <f>IF(AND(J7&lt;&gt;"",L7&lt;&gt;""),VLOOKUP(J7&amp;L7,Listados!$M$3:$N$27,2,FALSE),"")</f>
        <v>Extremo</v>
      </c>
      <c r="O7" s="205" t="s">
        <v>181</v>
      </c>
      <c r="P7" s="206" t="s">
        <v>179</v>
      </c>
      <c r="Q7" s="207" t="s">
        <v>123</v>
      </c>
      <c r="R7" s="208"/>
      <c r="S7" s="27" t="str">
        <f>+IF(R7="si",15,"")</f>
        <v/>
      </c>
      <c r="T7" s="208"/>
      <c r="U7" s="27" t="str">
        <f>+IF(T7="si",15,"")</f>
        <v/>
      </c>
      <c r="V7" s="208"/>
      <c r="W7" s="27" t="str">
        <f>+IF(V7="si",15,"")</f>
        <v/>
      </c>
      <c r="X7" s="208"/>
      <c r="Y7" s="27" t="str">
        <f>+IF(X7="Preventivo",15,IF(X7="Detectivo",10,""))</f>
        <v/>
      </c>
      <c r="Z7" s="208"/>
      <c r="AA7" s="27" t="str">
        <f>+IF(Z7="si",15,"")</f>
        <v/>
      </c>
      <c r="AB7" s="208"/>
      <c r="AC7" s="27" t="str">
        <f>+IF(AB7="si",15,"")</f>
        <v/>
      </c>
      <c r="AD7" s="208"/>
      <c r="AE7" s="27" t="str">
        <f>+IF(AD7="Completa",10,IF(AD7="Incompleta",5,""))</f>
        <v/>
      </c>
      <c r="AF7" s="48" t="str">
        <f>IF((SUM(S7,U7,W7,Y7,AA7,AC7,AE7)=0),"",(SUM(S7,U7,W7,Y7,AA7,AC7,AE7)))</f>
        <v/>
      </c>
      <c r="AG7" s="48" t="str">
        <f>IF(AF7&lt;=85,"Débil",IF(AF7&lt;=95,"Moderado",IF(AF7=100,"Fuerte","")))</f>
        <v/>
      </c>
      <c r="AH7" s="209"/>
      <c r="AI7" s="210" t="str">
        <f>+IF(AH7="siempre","Fuerte",IF(AH7="Algunas veces","Moderado","Débil"))</f>
        <v>Débil</v>
      </c>
      <c r="AJ7" s="21" t="str">
        <f>IFERROR(VLOOKUP((CONCATENATE(AG7,AI7)),Listados!$U$3:$V$11,2,FALSE),"")</f>
        <v/>
      </c>
      <c r="AK7" s="48">
        <f>IF(ISBLANK(AJ7),"",IF(AJ7="Débil", 0, IF(AJ7="Moderado",50,100)))</f>
        <v>100</v>
      </c>
      <c r="AL7" s="354">
        <f>AVERAGE(AK7:AK12)</f>
        <v>100</v>
      </c>
      <c r="AM7" s="356" t="str">
        <f>IF(AL7&lt;=50, "Débil", IF(AL7&lt;=99,"Moderado","Fuerte"))</f>
        <v>Fuerte</v>
      </c>
      <c r="AN7" s="173">
        <f>+IF(AND(Q7="Preventivo",AM7="Fuerte"),2,IF(AND(Q7="Preventivo",AM7="Moderado"),1,0))</f>
        <v>0</v>
      </c>
      <c r="AO7" s="173">
        <f>+IF(AND(Q7="Detectivo",$AM7="Fuerte"),2,IF(AND(Q7="Detectivo",$AM7="Moderado"),1,IF(AND(Q7="Preventivo",$AM7="Fuerte"),1,0)))</f>
        <v>2</v>
      </c>
      <c r="AP7" s="173">
        <f>+K7-AN7</f>
        <v>1</v>
      </c>
      <c r="AQ7" s="173">
        <f>+M7-AO7</f>
        <v>3</v>
      </c>
      <c r="AR7" s="345" t="str">
        <f>+VLOOKUP(MIN(AP7,AP8,AP9,AP10,AP11,AP12),Listados!$J$18:$K$24,2,TRUE)</f>
        <v>Rara Vez</v>
      </c>
      <c r="AS7" s="345" t="str">
        <f>+VLOOKUP(MIN(AQ7,AQ8,AQ9,AQ10,AQ11,AQ12),Listados!$J$26:$K$32,2,TRUE)</f>
        <v>Moderado</v>
      </c>
      <c r="AT7" s="345" t="str">
        <f>IF(AND(AR7&lt;&gt;"",AS7&lt;&gt;""),VLOOKUP(AR7&amp;AS7,Listados!$M$3:$N$27,2,FALSE),"")</f>
        <v>Moderado</v>
      </c>
      <c r="AU7" s="345" t="str">
        <f>+VLOOKUP(AT7,Listados!$P$3:$Q$6,2,FALSE)</f>
        <v xml:space="preserve"> Reducir el riesgo</v>
      </c>
      <c r="AV7" s="311"/>
      <c r="AW7" s="312"/>
      <c r="AX7" s="313"/>
      <c r="AY7" s="311"/>
      <c r="AZ7" s="312"/>
      <c r="BA7" s="313"/>
      <c r="BB7" s="311"/>
      <c r="BC7" s="312"/>
      <c r="BD7" s="313"/>
    </row>
    <row r="8" spans="1:56" ht="201" thickBot="1">
      <c r="A8" s="329"/>
      <c r="B8" s="331"/>
      <c r="C8" s="332"/>
      <c r="D8" s="333"/>
      <c r="E8" s="203"/>
      <c r="F8" s="203"/>
      <c r="G8" s="204" t="s">
        <v>182</v>
      </c>
      <c r="H8" s="204" t="s">
        <v>30</v>
      </c>
      <c r="I8" s="204" t="s">
        <v>183</v>
      </c>
      <c r="J8" s="331"/>
      <c r="K8" s="349"/>
      <c r="L8" s="352"/>
      <c r="M8" s="349"/>
      <c r="N8" s="353"/>
      <c r="O8" s="205" t="s">
        <v>184</v>
      </c>
      <c r="P8" s="206" t="s">
        <v>182</v>
      </c>
      <c r="Q8" s="207" t="s">
        <v>123</v>
      </c>
      <c r="R8" s="208"/>
      <c r="S8" s="27" t="str">
        <f t="shared" ref="S8:S71" si="0">+IF(R8="si",15,"")</f>
        <v/>
      </c>
      <c r="T8" s="208"/>
      <c r="U8" s="27" t="str">
        <f t="shared" ref="U8:U71" si="1">+IF(T8="si",15,"")</f>
        <v/>
      </c>
      <c r="V8" s="208"/>
      <c r="W8" s="27" t="str">
        <f t="shared" ref="W8:W71" si="2">+IF(V8="si",15,"")</f>
        <v/>
      </c>
      <c r="X8" s="208"/>
      <c r="Y8" s="27" t="str">
        <f t="shared" ref="Y8:Y71" si="3">+IF(X8="Preventivo",15,IF(X8="Detectivo",10,""))</f>
        <v/>
      </c>
      <c r="Z8" s="208"/>
      <c r="AA8" s="27" t="str">
        <f t="shared" ref="AA8:AA71" si="4">+IF(Z8="si",15,"")</f>
        <v/>
      </c>
      <c r="AB8" s="208"/>
      <c r="AC8" s="27" t="str">
        <f t="shared" ref="AC8:AC71" si="5">+IF(AB8="si",15,"")</f>
        <v/>
      </c>
      <c r="AD8" s="208"/>
      <c r="AE8" s="27" t="str">
        <f t="shared" ref="AE8:AE71" si="6">+IF(AD8="Completa",10,IF(AD8="Incompleta",5,""))</f>
        <v/>
      </c>
      <c r="AF8" s="48" t="str">
        <f t="shared" ref="AF8:AF71" si="7">IF((SUM(S8,U8,W8,Y8,AA8,AC8,AE8)=0),"",(SUM(S8,U8,W8,Y8,AA8,AC8,AE8)))</f>
        <v/>
      </c>
      <c r="AG8" s="48" t="str">
        <f t="shared" ref="AG8:AG71" si="8">IF(AF8&lt;=85,"Débil",IF(AF8&lt;=95,"Moderado",IF(AF8=100,"Fuerte","")))</f>
        <v/>
      </c>
      <c r="AH8" s="209"/>
      <c r="AI8" s="210" t="str">
        <f>+IF(AH8="siempre","Fuerte",IF(AH8="Algunas veces","Moderado","Débil"))</f>
        <v>Débil</v>
      </c>
      <c r="AJ8" s="21" t="str">
        <f>IFERROR(VLOOKUP((CONCATENATE(AG8,AI8)),Listados!$U$3:$V$11,2,FALSE),"")</f>
        <v/>
      </c>
      <c r="AK8" s="48">
        <f>IF(ISBLANK(AJ8),"",IF(AJ8="Débil", 0, IF(AJ8="Moderado",50,100)))</f>
        <v>100</v>
      </c>
      <c r="AL8" s="355"/>
      <c r="AM8" s="357"/>
      <c r="AN8" s="173">
        <f>+IF(AND(Q8="Preventivo",AM7="Fuerte"),2,IF(AND(Q8="Preventivo",AM7="Moderado"),1,0))</f>
        <v>0</v>
      </c>
      <c r="AO8" s="173">
        <f>+IF(AND(Q8="Detectivo",$AM7="Fuerte"),2,IF(AND(Q8="Detectivo",$AM7="Moderado"),1,IF(AND(Q8="Preventivo",$AM7="Fuerte"),1,0)))</f>
        <v>2</v>
      </c>
      <c r="AP8" s="173">
        <f>+K7-AN8</f>
        <v>1</v>
      </c>
      <c r="AQ8" s="173">
        <f>+M7-AO8</f>
        <v>3</v>
      </c>
      <c r="AR8" s="346"/>
      <c r="AS8" s="346"/>
      <c r="AT8" s="346"/>
      <c r="AU8" s="346"/>
      <c r="AV8" s="311"/>
      <c r="AW8" s="312"/>
      <c r="AX8" s="313"/>
      <c r="AY8" s="311"/>
      <c r="AZ8" s="312"/>
      <c r="BA8" s="313"/>
      <c r="BB8" s="311"/>
      <c r="BC8" s="312"/>
      <c r="BD8" s="313"/>
    </row>
    <row r="9" spans="1:56" ht="43.5" thickBot="1">
      <c r="A9" s="329"/>
      <c r="B9" s="331"/>
      <c r="C9" s="332"/>
      <c r="D9" s="333"/>
      <c r="E9" s="203"/>
      <c r="F9" s="203"/>
      <c r="G9" s="204"/>
      <c r="H9" s="204"/>
      <c r="I9" s="204" t="s">
        <v>185</v>
      </c>
      <c r="J9" s="331"/>
      <c r="K9" s="349"/>
      <c r="L9" s="352"/>
      <c r="M9" s="349"/>
      <c r="N9" s="353"/>
      <c r="O9" s="47"/>
      <c r="P9" s="212"/>
      <c r="Q9" s="213"/>
      <c r="R9" s="208"/>
      <c r="S9" s="27" t="str">
        <f t="shared" si="0"/>
        <v/>
      </c>
      <c r="T9" s="208"/>
      <c r="U9" s="27" t="str">
        <f t="shared" si="1"/>
        <v/>
      </c>
      <c r="V9" s="208"/>
      <c r="W9" s="27" t="str">
        <f t="shared" si="2"/>
        <v/>
      </c>
      <c r="X9" s="208"/>
      <c r="Y9" s="27" t="str">
        <f t="shared" si="3"/>
        <v/>
      </c>
      <c r="Z9" s="208"/>
      <c r="AA9" s="27" t="str">
        <f t="shared" si="4"/>
        <v/>
      </c>
      <c r="AB9" s="208"/>
      <c r="AC9" s="27" t="str">
        <f t="shared" si="5"/>
        <v/>
      </c>
      <c r="AD9" s="208"/>
      <c r="AE9" s="27" t="str">
        <f t="shared" si="6"/>
        <v/>
      </c>
      <c r="AF9" s="48" t="str">
        <f>IF((SUM(S9,U9,W9,Y9,AA9,AC9,AE9)=0),"",(SUM(S9,U9,W9,Y9,AA9,AC9,AE9)))</f>
        <v/>
      </c>
      <c r="AG9" s="48" t="str">
        <f t="shared" si="8"/>
        <v/>
      </c>
      <c r="AH9" s="209"/>
      <c r="AI9" s="210" t="str">
        <f t="shared" ref="AI9:AI72" si="9">+IF(AH9="siempre","Fuerte",IF(AH9="Algunas veces","Moderado","Débil"))</f>
        <v>Débil</v>
      </c>
      <c r="AJ9" s="21" t="str">
        <f>IFERROR(VLOOKUP((CONCATENATE(AG9,AI9)),Listados!$U$3:$V$11,2,FALSE),"")</f>
        <v/>
      </c>
      <c r="AK9" s="48">
        <f t="shared" ref="AK9:AK72" si="10">IF(ISBLANK(AJ9),"",IF(AJ9="Débil", 0, IF(AJ9="Moderado",50,100)))</f>
        <v>100</v>
      </c>
      <c r="AL9" s="355"/>
      <c r="AM9" s="357"/>
      <c r="AN9" s="173">
        <f>+IF(AND(Q9="Preventivo",AM7="Fuerte"),2,IF(AND(Q9="Preventivo",AM7="Moderado"),1,0))</f>
        <v>0</v>
      </c>
      <c r="AO9" s="173">
        <f>+IF(AND(Q9="Detectivo",$AM7="Fuerte"),2,IF(AND(Q9="Detectivo",$AM7="Moderado"),1,IF(AND(Q9="Preventivo",$AM7="Fuerte"),1,0)))</f>
        <v>0</v>
      </c>
      <c r="AP9" s="173">
        <f>+K7-AN9</f>
        <v>1</v>
      </c>
      <c r="AQ9" s="173">
        <f>+M7-AO9</f>
        <v>5</v>
      </c>
      <c r="AR9" s="346"/>
      <c r="AS9" s="346"/>
      <c r="AT9" s="346"/>
      <c r="AU9" s="346"/>
      <c r="AV9" s="311"/>
      <c r="AW9" s="312"/>
      <c r="AX9" s="313"/>
      <c r="AY9" s="311"/>
      <c r="AZ9" s="312"/>
      <c r="BA9" s="313"/>
      <c r="BB9" s="311"/>
      <c r="BC9" s="312"/>
      <c r="BD9" s="313"/>
    </row>
    <row r="10" spans="1:56" ht="78.75" customHeight="1" thickBot="1">
      <c r="A10" s="329"/>
      <c r="B10" s="331"/>
      <c r="C10" s="332"/>
      <c r="D10" s="333"/>
      <c r="E10" s="203"/>
      <c r="F10" s="203"/>
      <c r="G10" s="204"/>
      <c r="H10" s="204"/>
      <c r="I10" s="204"/>
      <c r="J10" s="331"/>
      <c r="K10" s="349"/>
      <c r="L10" s="352"/>
      <c r="M10" s="349"/>
      <c r="N10" s="353"/>
      <c r="O10" s="47"/>
      <c r="P10" s="212"/>
      <c r="Q10" s="213"/>
      <c r="R10" s="208"/>
      <c r="S10" s="27" t="str">
        <f t="shared" si="0"/>
        <v/>
      </c>
      <c r="T10" s="208"/>
      <c r="U10" s="27" t="str">
        <f t="shared" si="1"/>
        <v/>
      </c>
      <c r="V10" s="208"/>
      <c r="W10" s="27" t="str">
        <f t="shared" si="2"/>
        <v/>
      </c>
      <c r="X10" s="208"/>
      <c r="Y10" s="27" t="str">
        <f t="shared" si="3"/>
        <v/>
      </c>
      <c r="Z10" s="208"/>
      <c r="AA10" s="27" t="str">
        <f t="shared" si="4"/>
        <v/>
      </c>
      <c r="AB10" s="208"/>
      <c r="AC10" s="27" t="str">
        <f t="shared" si="5"/>
        <v/>
      </c>
      <c r="AD10" s="208"/>
      <c r="AE10" s="27" t="str">
        <f t="shared" si="6"/>
        <v/>
      </c>
      <c r="AF10" s="48" t="str">
        <f t="shared" si="7"/>
        <v/>
      </c>
      <c r="AG10" s="48" t="str">
        <f t="shared" si="8"/>
        <v/>
      </c>
      <c r="AH10" s="209"/>
      <c r="AI10" s="210" t="str">
        <f t="shared" si="9"/>
        <v>Débil</v>
      </c>
      <c r="AJ10" s="21" t="str">
        <f>IFERROR(VLOOKUP((CONCATENATE(AG10,AI10)),Listados!$U$3:$V$11,2,FALSE),"")</f>
        <v/>
      </c>
      <c r="AK10" s="48">
        <f t="shared" si="10"/>
        <v>100</v>
      </c>
      <c r="AL10" s="355"/>
      <c r="AM10" s="357"/>
      <c r="AN10" s="173">
        <f>+IF(AND(Q10="Preventivo",AM7="Fuerte"),2,IF(AND(Q10="Preventivo",AM7="Moderado"),1,0))</f>
        <v>0</v>
      </c>
      <c r="AO10" s="173">
        <f>+IF(AND(Q10="Detectivo",$AM7="Fuerte"),2,IF(AND(Q10="Detectivo",$AM7="Moderado"),1,IF(AND(Q10="Preventivo",$AM7="Fuerte"),1,0)))</f>
        <v>0</v>
      </c>
      <c r="AP10" s="173">
        <f>+K7-AN10</f>
        <v>1</v>
      </c>
      <c r="AQ10" s="173">
        <f>+M7-AO10</f>
        <v>5</v>
      </c>
      <c r="AR10" s="346"/>
      <c r="AS10" s="346"/>
      <c r="AT10" s="346"/>
      <c r="AU10" s="346"/>
      <c r="AV10" s="311"/>
      <c r="AW10" s="312"/>
      <c r="AX10" s="313"/>
      <c r="AY10" s="311"/>
      <c r="AZ10" s="312"/>
      <c r="BA10" s="313"/>
      <c r="BB10" s="311"/>
      <c r="BC10" s="312"/>
      <c r="BD10" s="313"/>
    </row>
    <row r="11" spans="1:56" ht="26.25" customHeight="1" thickBot="1">
      <c r="A11" s="329"/>
      <c r="B11" s="331"/>
      <c r="C11" s="332"/>
      <c r="D11" s="333"/>
      <c r="E11" s="203"/>
      <c r="F11" s="203"/>
      <c r="G11" s="204"/>
      <c r="H11" s="204"/>
      <c r="I11" s="204"/>
      <c r="J11" s="331"/>
      <c r="K11" s="349"/>
      <c r="L11" s="352"/>
      <c r="M11" s="349"/>
      <c r="N11" s="353"/>
      <c r="O11" s="47"/>
      <c r="P11" s="212"/>
      <c r="Q11" s="213"/>
      <c r="R11" s="208"/>
      <c r="S11" s="27" t="str">
        <f t="shared" si="0"/>
        <v/>
      </c>
      <c r="T11" s="208"/>
      <c r="U11" s="27" t="str">
        <f t="shared" si="1"/>
        <v/>
      </c>
      <c r="V11" s="208"/>
      <c r="W11" s="27" t="str">
        <f t="shared" si="2"/>
        <v/>
      </c>
      <c r="X11" s="208"/>
      <c r="Y11" s="27" t="str">
        <f t="shared" si="3"/>
        <v/>
      </c>
      <c r="Z11" s="208"/>
      <c r="AA11" s="27" t="str">
        <f t="shared" si="4"/>
        <v/>
      </c>
      <c r="AB11" s="208"/>
      <c r="AC11" s="27" t="str">
        <f t="shared" si="5"/>
        <v/>
      </c>
      <c r="AD11" s="208"/>
      <c r="AE11" s="27" t="str">
        <f t="shared" si="6"/>
        <v/>
      </c>
      <c r="AF11" s="48" t="str">
        <f t="shared" si="7"/>
        <v/>
      </c>
      <c r="AG11" s="48" t="str">
        <f t="shared" si="8"/>
        <v/>
      </c>
      <c r="AH11" s="209"/>
      <c r="AI11" s="210" t="str">
        <f t="shared" si="9"/>
        <v>Débil</v>
      </c>
      <c r="AJ11" s="21" t="str">
        <f>IFERROR(VLOOKUP((CONCATENATE(AG11,AI11)),Listados!$U$3:$V$11,2,FALSE),"")</f>
        <v/>
      </c>
      <c r="AK11" s="48">
        <f t="shared" si="10"/>
        <v>100</v>
      </c>
      <c r="AL11" s="355"/>
      <c r="AM11" s="357"/>
      <c r="AN11" s="173">
        <f>+IF(AND(Q11="Preventivo",AM7="Fuerte"),2,IF(AND(Q11="Preventivo",AM7="Moderado"),1,0))</f>
        <v>0</v>
      </c>
      <c r="AO11" s="173">
        <f>+IF(AND(Q11="Detectivo",$AM7="Fuerte"),2,IF(AND(Q11="Detectivo",$AM7="Moderado"),1,IF(AND(Q11="Preventivo",$AM7="Fuerte"),1,0)))</f>
        <v>0</v>
      </c>
      <c r="AP11" s="173">
        <f>+K7-AN11</f>
        <v>1</v>
      </c>
      <c r="AQ11" s="173">
        <f>+M7-AO11</f>
        <v>5</v>
      </c>
      <c r="AR11" s="346"/>
      <c r="AS11" s="346"/>
      <c r="AT11" s="346"/>
      <c r="AU11" s="346"/>
      <c r="AV11" s="311"/>
      <c r="AW11" s="312"/>
      <c r="AX11" s="313"/>
      <c r="AY11" s="311"/>
      <c r="AZ11" s="312"/>
      <c r="BA11" s="313"/>
      <c r="BB11" s="311"/>
      <c r="BC11" s="312"/>
      <c r="BD11" s="313"/>
    </row>
    <row r="12" spans="1:56" ht="15.75" thickBot="1">
      <c r="A12" s="330"/>
      <c r="B12" s="331"/>
      <c r="C12" s="332"/>
      <c r="D12" s="333"/>
      <c r="E12" s="203"/>
      <c r="F12" s="203"/>
      <c r="G12" s="204"/>
      <c r="H12" s="204"/>
      <c r="I12" s="204"/>
      <c r="J12" s="331"/>
      <c r="K12" s="350"/>
      <c r="L12" s="352"/>
      <c r="M12" s="350"/>
      <c r="N12" s="353"/>
      <c r="O12" s="47"/>
      <c r="P12" s="212"/>
      <c r="Q12" s="213"/>
      <c r="R12" s="208"/>
      <c r="S12" s="27" t="str">
        <f t="shared" si="0"/>
        <v/>
      </c>
      <c r="T12" s="208"/>
      <c r="U12" s="27" t="str">
        <f t="shared" si="1"/>
        <v/>
      </c>
      <c r="V12" s="208"/>
      <c r="W12" s="27" t="str">
        <f t="shared" si="2"/>
        <v/>
      </c>
      <c r="X12" s="208"/>
      <c r="Y12" s="27" t="str">
        <f t="shared" si="3"/>
        <v/>
      </c>
      <c r="Z12" s="208"/>
      <c r="AA12" s="27" t="str">
        <f t="shared" si="4"/>
        <v/>
      </c>
      <c r="AB12" s="208"/>
      <c r="AC12" s="27" t="str">
        <f t="shared" si="5"/>
        <v/>
      </c>
      <c r="AD12" s="208"/>
      <c r="AE12" s="27" t="str">
        <f t="shared" si="6"/>
        <v/>
      </c>
      <c r="AF12" s="48" t="str">
        <f t="shared" si="7"/>
        <v/>
      </c>
      <c r="AG12" s="48" t="str">
        <f t="shared" si="8"/>
        <v/>
      </c>
      <c r="AH12" s="209"/>
      <c r="AI12" s="210" t="str">
        <f t="shared" si="9"/>
        <v>Débil</v>
      </c>
      <c r="AJ12" s="21" t="str">
        <f>IFERROR(VLOOKUP((CONCATENATE(AG12,AI12)),Listados!$U$3:$V$11,2,FALSE),"")</f>
        <v/>
      </c>
      <c r="AK12" s="48">
        <f t="shared" si="10"/>
        <v>100</v>
      </c>
      <c r="AL12" s="356"/>
      <c r="AM12" s="357"/>
      <c r="AN12" s="173">
        <f>+IF(AND(Q12="Preventivo",AM7="Fuerte"),2,IF(AND(Q12="Preventivo",AM7="Moderado"),1,0))</f>
        <v>0</v>
      </c>
      <c r="AO12" s="173">
        <f>+IF(AND(Q12="Detectivo",$AM7="Fuerte"),2,IF(AND(Q12="Detectivo",$AM7="Moderado"),1,IF(AND(Q12="Preventivo",$AM7="Fuerte"),1,0)))</f>
        <v>0</v>
      </c>
      <c r="AP12" s="173">
        <f>+K7-AN12</f>
        <v>1</v>
      </c>
      <c r="AQ12" s="173">
        <f>+M7-AO12</f>
        <v>5</v>
      </c>
      <c r="AR12" s="347"/>
      <c r="AS12" s="347"/>
      <c r="AT12" s="347"/>
      <c r="AU12" s="347"/>
      <c r="AV12" s="311"/>
      <c r="AW12" s="312"/>
      <c r="AX12" s="313"/>
      <c r="AY12" s="311"/>
      <c r="AZ12" s="312"/>
      <c r="BA12" s="313"/>
      <c r="BB12" s="311"/>
      <c r="BC12" s="312"/>
      <c r="BD12" s="313"/>
    </row>
    <row r="13" spans="1:56" ht="158.25" thickBot="1">
      <c r="A13" s="328">
        <v>2</v>
      </c>
      <c r="B13" s="331" t="s">
        <v>86</v>
      </c>
      <c r="C13" s="332" t="str">
        <f>IFERROR(VLOOKUP(B13,Listados!B$3:C$20,2,FALSE),"")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3" s="333" t="s">
        <v>186</v>
      </c>
      <c r="E13" s="203" t="s">
        <v>41</v>
      </c>
      <c r="F13" s="203"/>
      <c r="G13" s="214" t="s">
        <v>187</v>
      </c>
      <c r="H13" s="204" t="s">
        <v>16</v>
      </c>
      <c r="I13" s="204" t="s">
        <v>188</v>
      </c>
      <c r="J13" s="331" t="s">
        <v>21</v>
      </c>
      <c r="K13" s="348">
        <f>+VLOOKUP(J13,[3]Listados!$K$8:$L$12,2,0)</f>
        <v>1</v>
      </c>
      <c r="L13" s="351" t="s">
        <v>18</v>
      </c>
      <c r="M13" s="348">
        <f>+VLOOKUP(L13,Listados!$K$13:$L$17,2,0)</f>
        <v>1</v>
      </c>
      <c r="N13" s="345" t="str">
        <f>IF(AND(J13&lt;&gt;"",L13&lt;&gt;""),VLOOKUP(J13&amp;L13,Listados!$M$3:$N$27,2,FALSE),"")</f>
        <v>Bajo</v>
      </c>
      <c r="O13" s="205" t="s">
        <v>189</v>
      </c>
      <c r="P13" s="206" t="s">
        <v>187</v>
      </c>
      <c r="Q13" s="207" t="s">
        <v>20</v>
      </c>
      <c r="R13" s="215"/>
      <c r="S13" s="27" t="str">
        <f t="shared" si="0"/>
        <v/>
      </c>
      <c r="T13" s="215"/>
      <c r="U13" s="27" t="str">
        <f t="shared" si="1"/>
        <v/>
      </c>
      <c r="V13" s="208"/>
      <c r="W13" s="27" t="str">
        <f t="shared" si="2"/>
        <v/>
      </c>
      <c r="X13" s="208"/>
      <c r="Y13" s="27" t="str">
        <f t="shared" si="3"/>
        <v/>
      </c>
      <c r="Z13" s="208"/>
      <c r="AA13" s="27" t="str">
        <f t="shared" si="4"/>
        <v/>
      </c>
      <c r="AB13" s="208"/>
      <c r="AC13" s="27" t="str">
        <f t="shared" si="5"/>
        <v/>
      </c>
      <c r="AD13" s="208"/>
      <c r="AE13" s="27" t="str">
        <f t="shared" si="6"/>
        <v/>
      </c>
      <c r="AF13" s="48" t="str">
        <f t="shared" si="7"/>
        <v/>
      </c>
      <c r="AG13" s="48" t="str">
        <f t="shared" si="8"/>
        <v/>
      </c>
      <c r="AH13" s="209"/>
      <c r="AI13" s="210" t="str">
        <f t="shared" si="9"/>
        <v>Débil</v>
      </c>
      <c r="AJ13" s="21" t="str">
        <f>IFERROR(VLOOKUP((CONCATENATE(AG13,AI13)),Listados!$U$3:$V$11,2,FALSE),"")</f>
        <v/>
      </c>
      <c r="AK13" s="48">
        <f t="shared" si="10"/>
        <v>100</v>
      </c>
      <c r="AL13" s="354">
        <f>AVERAGE(AK13:AK18)</f>
        <v>100</v>
      </c>
      <c r="AM13" s="356" t="str">
        <f>IF(AL13&lt;=50, "Débil", IF(AL13&lt;=99,"Moderado","Fuerte"))</f>
        <v>Fuerte</v>
      </c>
      <c r="AN13" s="173">
        <f>+IF(AND(Q13="Preventivo",AM13="Fuerte"),2,IF(AND(Q13="Preventivo",AM13="Moderado"),1,0))</f>
        <v>2</v>
      </c>
      <c r="AO13" s="173">
        <f>+IF(AND(Q13="Detectivo",$AM13="Fuerte"),2,IF(AND(Q13="Detectivo",$AM13="Moderado"),1,IF(AND(Q13="Preventivo",$AM13="Fuerte"),1,0)))</f>
        <v>1</v>
      </c>
      <c r="AP13" s="173">
        <f>+K13-AN13</f>
        <v>-1</v>
      </c>
      <c r="AQ13" s="173">
        <f>+M13-AO13</f>
        <v>0</v>
      </c>
      <c r="AR13" s="345" t="str">
        <f>+VLOOKUP(MIN(AP13,AP14,AP15,AP16,AP17,AP18),Listados!$J$18:$K$24,2,TRUE)</f>
        <v>Rara Vez</v>
      </c>
      <c r="AS13" s="345" t="str">
        <f>+VLOOKUP(MIN(AQ13,AQ14,AQ15,AQ16,AQ17,AQ18),Listados!$J$26:$K$32,2,TRUE)</f>
        <v>Insignificante</v>
      </c>
      <c r="AT13" s="345" t="str">
        <f>IF(AND(AR13&lt;&gt;"",AS13&lt;&gt;""),VLOOKUP(AR13&amp;AS13,Listados!$M$3:$N$27,2,FALSE),"")</f>
        <v>Bajo</v>
      </c>
      <c r="AU13" s="345" t="str">
        <f>+VLOOKUP(AT13,Listados!$P$3:$Q$6,2,FALSE)</f>
        <v>Asumir el riesgo</v>
      </c>
      <c r="AV13" s="311"/>
      <c r="AW13" s="312"/>
      <c r="AX13" s="313"/>
      <c r="AY13" s="311"/>
      <c r="AZ13" s="312"/>
      <c r="BA13" s="313"/>
      <c r="BB13" s="311"/>
      <c r="BC13" s="312"/>
      <c r="BD13" s="313"/>
    </row>
    <row r="14" spans="1:56" ht="186.75" thickBot="1">
      <c r="A14" s="329"/>
      <c r="B14" s="331"/>
      <c r="C14" s="332"/>
      <c r="D14" s="333"/>
      <c r="E14" s="203"/>
      <c r="F14" s="203"/>
      <c r="G14" s="214" t="s">
        <v>190</v>
      </c>
      <c r="H14" s="204" t="s">
        <v>16</v>
      </c>
      <c r="I14" s="204" t="s">
        <v>191</v>
      </c>
      <c r="J14" s="331"/>
      <c r="K14" s="349"/>
      <c r="L14" s="352"/>
      <c r="M14" s="349"/>
      <c r="N14" s="346"/>
      <c r="O14" s="205" t="s">
        <v>192</v>
      </c>
      <c r="P14" s="206" t="s">
        <v>190</v>
      </c>
      <c r="Q14" s="207" t="s">
        <v>20</v>
      </c>
      <c r="R14" s="215"/>
      <c r="S14" s="27" t="str">
        <f t="shared" si="0"/>
        <v/>
      </c>
      <c r="T14" s="215"/>
      <c r="U14" s="27" t="str">
        <f t="shared" si="1"/>
        <v/>
      </c>
      <c r="V14" s="208"/>
      <c r="W14" s="27" t="str">
        <f t="shared" si="2"/>
        <v/>
      </c>
      <c r="X14" s="208"/>
      <c r="Y14" s="27" t="str">
        <f t="shared" si="3"/>
        <v/>
      </c>
      <c r="Z14" s="208"/>
      <c r="AA14" s="27" t="str">
        <f t="shared" si="4"/>
        <v/>
      </c>
      <c r="AB14" s="208"/>
      <c r="AC14" s="27" t="str">
        <f t="shared" si="5"/>
        <v/>
      </c>
      <c r="AD14" s="208"/>
      <c r="AE14" s="27" t="str">
        <f t="shared" si="6"/>
        <v/>
      </c>
      <c r="AF14" s="48" t="str">
        <f t="shared" si="7"/>
        <v/>
      </c>
      <c r="AG14" s="48" t="str">
        <f t="shared" si="8"/>
        <v/>
      </c>
      <c r="AH14" s="209"/>
      <c r="AI14" s="210" t="str">
        <f t="shared" si="9"/>
        <v>Débil</v>
      </c>
      <c r="AJ14" s="21" t="str">
        <f>IFERROR(VLOOKUP((CONCATENATE(AG14,AI14)),Listados!$U$3:$V$11,2,FALSE),"")</f>
        <v/>
      </c>
      <c r="AK14" s="48">
        <f t="shared" si="10"/>
        <v>100</v>
      </c>
      <c r="AL14" s="355"/>
      <c r="AM14" s="357"/>
      <c r="AN14" s="173">
        <f>+IF(AND(Q14="Preventivo",AM13="Fuerte"),2,IF(AND(Q14="Preventivo",AM13="Moderado"),1,0))</f>
        <v>2</v>
      </c>
      <c r="AO14" s="173">
        <f>+IF(AND(Q14="Detectivo",$AM13="Fuerte"),2,IF(AND(Q14="Detectivo",$AM13="Moderado"),1,IF(AND(Q14="Preventivo",$AM13="Fuerte"),1,0)))</f>
        <v>1</v>
      </c>
      <c r="AP14" s="173">
        <f>+K13-AN14</f>
        <v>-1</v>
      </c>
      <c r="AQ14" s="173">
        <f>+M13-AO14</f>
        <v>0</v>
      </c>
      <c r="AR14" s="346"/>
      <c r="AS14" s="346"/>
      <c r="AT14" s="346"/>
      <c r="AU14" s="346"/>
      <c r="AV14" s="311"/>
      <c r="AW14" s="312"/>
      <c r="AX14" s="313"/>
      <c r="AY14" s="311"/>
      <c r="AZ14" s="312"/>
      <c r="BA14" s="313"/>
      <c r="BB14" s="311"/>
      <c r="BC14" s="312"/>
      <c r="BD14" s="313"/>
    </row>
    <row r="15" spans="1:56" ht="186.75" thickBot="1">
      <c r="A15" s="329"/>
      <c r="B15" s="331"/>
      <c r="C15" s="332"/>
      <c r="D15" s="333"/>
      <c r="E15" s="203"/>
      <c r="F15" s="203"/>
      <c r="G15" s="214" t="s">
        <v>193</v>
      </c>
      <c r="H15" s="204" t="s">
        <v>30</v>
      </c>
      <c r="I15" s="204" t="s">
        <v>194</v>
      </c>
      <c r="J15" s="331"/>
      <c r="K15" s="349"/>
      <c r="L15" s="352"/>
      <c r="M15" s="349"/>
      <c r="N15" s="346"/>
      <c r="O15" s="205" t="s">
        <v>195</v>
      </c>
      <c r="P15" s="206" t="s">
        <v>193</v>
      </c>
      <c r="Q15" s="207" t="s">
        <v>20</v>
      </c>
      <c r="R15" s="215"/>
      <c r="S15" s="27" t="str">
        <f t="shared" si="0"/>
        <v/>
      </c>
      <c r="T15" s="215"/>
      <c r="U15" s="27" t="str">
        <f t="shared" si="1"/>
        <v/>
      </c>
      <c r="V15" s="208"/>
      <c r="W15" s="27" t="str">
        <f t="shared" si="2"/>
        <v/>
      </c>
      <c r="X15" s="208"/>
      <c r="Y15" s="27" t="str">
        <f t="shared" si="3"/>
        <v/>
      </c>
      <c r="Z15" s="208"/>
      <c r="AA15" s="27" t="str">
        <f t="shared" si="4"/>
        <v/>
      </c>
      <c r="AB15" s="208"/>
      <c r="AC15" s="27" t="str">
        <f t="shared" si="5"/>
        <v/>
      </c>
      <c r="AD15" s="208"/>
      <c r="AE15" s="27" t="str">
        <f t="shared" si="6"/>
        <v/>
      </c>
      <c r="AF15" s="48" t="str">
        <f t="shared" si="7"/>
        <v/>
      </c>
      <c r="AG15" s="48" t="str">
        <f t="shared" si="8"/>
        <v/>
      </c>
      <c r="AH15" s="209"/>
      <c r="AI15" s="210" t="str">
        <f t="shared" si="9"/>
        <v>Débil</v>
      </c>
      <c r="AJ15" s="21" t="str">
        <f>IFERROR(VLOOKUP((CONCATENATE(AG15,AI15)),Listados!$U$3:$V$11,2,FALSE),"")</f>
        <v/>
      </c>
      <c r="AK15" s="48">
        <f t="shared" si="10"/>
        <v>100</v>
      </c>
      <c r="AL15" s="355"/>
      <c r="AM15" s="357"/>
      <c r="AN15" s="173">
        <f>+IF(AND(Q15="Preventivo",AM13="Fuerte"),2,IF(AND(Q15="Preventivo",AM13="Moderado"),1,0))</f>
        <v>2</v>
      </c>
      <c r="AO15" s="173">
        <f>+IF(AND(Q15="Detectivo",$AM13="Fuerte"),2,IF(AND(Q15="Detectivo",$AM13="Moderado"),1,IF(AND(Q15="Preventivo",$AM13="Fuerte"),1,0)))</f>
        <v>1</v>
      </c>
      <c r="AP15" s="173">
        <f>+K13-AN15</f>
        <v>-1</v>
      </c>
      <c r="AQ15" s="173">
        <f>+M13-AO15</f>
        <v>0</v>
      </c>
      <c r="AR15" s="346"/>
      <c r="AS15" s="346"/>
      <c r="AT15" s="346"/>
      <c r="AU15" s="346"/>
      <c r="AV15" s="311"/>
      <c r="AW15" s="312"/>
      <c r="AX15" s="313"/>
      <c r="AY15" s="311"/>
      <c r="AZ15" s="312"/>
      <c r="BA15" s="313"/>
      <c r="BB15" s="311"/>
      <c r="BC15" s="312"/>
      <c r="BD15" s="313"/>
    </row>
    <row r="16" spans="1:56" ht="326.25" customHeight="1" thickBot="1">
      <c r="A16" s="329"/>
      <c r="B16" s="331"/>
      <c r="C16" s="332"/>
      <c r="D16" s="333"/>
      <c r="E16" s="203"/>
      <c r="F16" s="203"/>
      <c r="G16" s="214" t="s">
        <v>196</v>
      </c>
      <c r="H16" s="204" t="s">
        <v>16</v>
      </c>
      <c r="I16" s="204"/>
      <c r="J16" s="331"/>
      <c r="K16" s="349"/>
      <c r="L16" s="352"/>
      <c r="M16" s="349"/>
      <c r="N16" s="346"/>
      <c r="O16" s="205" t="s">
        <v>197</v>
      </c>
      <c r="P16" s="206" t="s">
        <v>196</v>
      </c>
      <c r="Q16" s="207" t="s">
        <v>20</v>
      </c>
      <c r="R16" s="215"/>
      <c r="S16" s="27" t="str">
        <f t="shared" si="0"/>
        <v/>
      </c>
      <c r="T16" s="215"/>
      <c r="U16" s="27" t="str">
        <f t="shared" si="1"/>
        <v/>
      </c>
      <c r="V16" s="208"/>
      <c r="W16" s="27" t="str">
        <f t="shared" si="2"/>
        <v/>
      </c>
      <c r="X16" s="208"/>
      <c r="Y16" s="27" t="str">
        <f t="shared" si="3"/>
        <v/>
      </c>
      <c r="Z16" s="208"/>
      <c r="AA16" s="27" t="str">
        <f t="shared" si="4"/>
        <v/>
      </c>
      <c r="AB16" s="208"/>
      <c r="AC16" s="27" t="str">
        <f t="shared" si="5"/>
        <v/>
      </c>
      <c r="AD16" s="208"/>
      <c r="AE16" s="27" t="str">
        <f t="shared" si="6"/>
        <v/>
      </c>
      <c r="AF16" s="48" t="str">
        <f t="shared" si="7"/>
        <v/>
      </c>
      <c r="AG16" s="48" t="str">
        <f t="shared" si="8"/>
        <v/>
      </c>
      <c r="AH16" s="209"/>
      <c r="AI16" s="210" t="str">
        <f t="shared" si="9"/>
        <v>Débil</v>
      </c>
      <c r="AJ16" s="21" t="str">
        <f>IFERROR(VLOOKUP((CONCATENATE(AG16,AI16)),Listados!$U$3:$V$11,2,FALSE),"")</f>
        <v/>
      </c>
      <c r="AK16" s="48">
        <f t="shared" si="10"/>
        <v>100</v>
      </c>
      <c r="AL16" s="355"/>
      <c r="AM16" s="357"/>
      <c r="AN16" s="173">
        <f>+IF(AND(Q16="Preventivo",AM13="Fuerte"),2,IF(AND(Q16="Preventivo",AM13="Moderado"),1,0))</f>
        <v>2</v>
      </c>
      <c r="AO16" s="173">
        <f>+IF(AND(Q16="Detectivo",$AM13="Fuerte"),2,IF(AND(Q16="Detectivo",$AM13="Moderado"),1,IF(AND(Q16="Preventivo",$AM13="Fuerte"),1,0)))</f>
        <v>1</v>
      </c>
      <c r="AP16" s="173">
        <f>+K13-AN16</f>
        <v>-1</v>
      </c>
      <c r="AQ16" s="173">
        <f>+M13-AO16</f>
        <v>0</v>
      </c>
      <c r="AR16" s="346"/>
      <c r="AS16" s="346"/>
      <c r="AT16" s="346"/>
      <c r="AU16" s="346"/>
      <c r="AV16" s="311"/>
      <c r="AW16" s="312"/>
      <c r="AX16" s="313"/>
      <c r="AY16" s="311"/>
      <c r="AZ16" s="312"/>
      <c r="BA16" s="313"/>
      <c r="BB16" s="311"/>
      <c r="BC16" s="312"/>
      <c r="BD16" s="313"/>
    </row>
    <row r="17" spans="1:56" ht="15.75" thickBot="1">
      <c r="A17" s="329"/>
      <c r="B17" s="331"/>
      <c r="C17" s="332"/>
      <c r="D17" s="333"/>
      <c r="E17" s="203"/>
      <c r="F17" s="203"/>
      <c r="G17" s="204"/>
      <c r="H17" s="204"/>
      <c r="I17" s="204"/>
      <c r="J17" s="331"/>
      <c r="K17" s="349"/>
      <c r="L17" s="352"/>
      <c r="M17" s="349"/>
      <c r="N17" s="346"/>
      <c r="O17" s="47"/>
      <c r="P17" s="215"/>
      <c r="Q17" s="215"/>
      <c r="R17" s="215"/>
      <c r="S17" s="27" t="str">
        <f t="shared" si="0"/>
        <v/>
      </c>
      <c r="T17" s="215"/>
      <c r="U17" s="27" t="str">
        <f t="shared" si="1"/>
        <v/>
      </c>
      <c r="V17" s="208"/>
      <c r="W17" s="27" t="str">
        <f t="shared" si="2"/>
        <v/>
      </c>
      <c r="X17" s="208"/>
      <c r="Y17" s="27" t="str">
        <f t="shared" si="3"/>
        <v/>
      </c>
      <c r="Z17" s="208"/>
      <c r="AA17" s="27" t="str">
        <f t="shared" si="4"/>
        <v/>
      </c>
      <c r="AB17" s="208"/>
      <c r="AC17" s="27" t="str">
        <f t="shared" si="5"/>
        <v/>
      </c>
      <c r="AD17" s="208"/>
      <c r="AE17" s="27" t="str">
        <f t="shared" si="6"/>
        <v/>
      </c>
      <c r="AF17" s="48" t="str">
        <f t="shared" si="7"/>
        <v/>
      </c>
      <c r="AG17" s="48" t="str">
        <f t="shared" si="8"/>
        <v/>
      </c>
      <c r="AH17" s="209"/>
      <c r="AI17" s="210" t="str">
        <f t="shared" si="9"/>
        <v>Débil</v>
      </c>
      <c r="AJ17" s="21" t="str">
        <f>IFERROR(VLOOKUP((CONCATENATE(AG17,AI17)),Listados!$U$3:$V$11,2,FALSE),"")</f>
        <v/>
      </c>
      <c r="AK17" s="48">
        <f t="shared" si="10"/>
        <v>100</v>
      </c>
      <c r="AL17" s="355"/>
      <c r="AM17" s="357"/>
      <c r="AN17" s="173">
        <f>+IF(AND(Q17="Preventivo",AM13="Fuerte"),2,IF(AND(Q17="Preventivo",AM13="Moderado"),1,0))</f>
        <v>0</v>
      </c>
      <c r="AO17" s="173">
        <f>+IF(AND(Q17="Detectivo",$AM13="Fuerte"),2,IF(AND(Q17="Detectivo",$AM13="Moderado"),1,IF(AND(Q17="Preventivo",$AM13="Fuerte"),1,0)))</f>
        <v>0</v>
      </c>
      <c r="AP17" s="173">
        <f>+K13-AN17</f>
        <v>1</v>
      </c>
      <c r="AQ17" s="173">
        <f>+M13-AO17</f>
        <v>1</v>
      </c>
      <c r="AR17" s="346"/>
      <c r="AS17" s="346"/>
      <c r="AT17" s="346"/>
      <c r="AU17" s="346"/>
      <c r="AV17" s="311"/>
      <c r="AW17" s="312"/>
      <c r="AX17" s="313"/>
      <c r="AY17" s="311"/>
      <c r="AZ17" s="312"/>
      <c r="BA17" s="313"/>
      <c r="BB17" s="311"/>
      <c r="BC17" s="312"/>
      <c r="BD17" s="313"/>
    </row>
    <row r="18" spans="1:56" ht="15.75" thickBot="1">
      <c r="A18" s="330"/>
      <c r="B18" s="331"/>
      <c r="C18" s="332"/>
      <c r="D18" s="333"/>
      <c r="E18" s="203"/>
      <c r="F18" s="203"/>
      <c r="G18" s="204"/>
      <c r="H18" s="204"/>
      <c r="I18" s="204"/>
      <c r="J18" s="331"/>
      <c r="K18" s="350"/>
      <c r="L18" s="352"/>
      <c r="M18" s="350"/>
      <c r="N18" s="347"/>
      <c r="O18" s="101"/>
      <c r="P18" s="215"/>
      <c r="Q18" s="215"/>
      <c r="R18" s="215"/>
      <c r="S18" s="27" t="str">
        <f t="shared" si="0"/>
        <v/>
      </c>
      <c r="T18" s="215"/>
      <c r="U18" s="27" t="str">
        <f t="shared" si="1"/>
        <v/>
      </c>
      <c r="V18" s="208"/>
      <c r="W18" s="27" t="str">
        <f t="shared" si="2"/>
        <v/>
      </c>
      <c r="X18" s="208"/>
      <c r="Y18" s="27" t="str">
        <f t="shared" si="3"/>
        <v/>
      </c>
      <c r="Z18" s="208"/>
      <c r="AA18" s="27" t="str">
        <f t="shared" si="4"/>
        <v/>
      </c>
      <c r="AB18" s="208"/>
      <c r="AC18" s="27" t="str">
        <f t="shared" si="5"/>
        <v/>
      </c>
      <c r="AD18" s="208"/>
      <c r="AE18" s="27" t="str">
        <f t="shared" si="6"/>
        <v/>
      </c>
      <c r="AF18" s="48" t="str">
        <f t="shared" si="7"/>
        <v/>
      </c>
      <c r="AG18" s="48" t="str">
        <f t="shared" si="8"/>
        <v/>
      </c>
      <c r="AH18" s="209"/>
      <c r="AI18" s="210" t="str">
        <f t="shared" si="9"/>
        <v>Débil</v>
      </c>
      <c r="AJ18" s="21" t="str">
        <f>IFERROR(VLOOKUP((CONCATENATE(AG18,AI18)),Listados!$U$3:$V$11,2,FALSE),"")</f>
        <v/>
      </c>
      <c r="AK18" s="48">
        <f t="shared" si="10"/>
        <v>100</v>
      </c>
      <c r="AL18" s="356"/>
      <c r="AM18" s="357"/>
      <c r="AN18" s="173">
        <f>+IF(AND(Q18="Preventivo",AM13="Fuerte"),2,IF(AND(Q18="Preventivo",AM13="Moderado"),1,0))</f>
        <v>0</v>
      </c>
      <c r="AO18" s="173">
        <f>+IF(AND(Q18="Detectivo",$AM13="Fuerte"),2,IF(AND(Q18="Detectivo",$AM13="Moderado"),1,IF(AND(Q18="Preventivo",$AM13="Fuerte"),1,0)))</f>
        <v>0</v>
      </c>
      <c r="AP18" s="173">
        <f>+K13-AN18</f>
        <v>1</v>
      </c>
      <c r="AQ18" s="173">
        <f>+M13-AO18</f>
        <v>1</v>
      </c>
      <c r="AR18" s="347"/>
      <c r="AS18" s="347"/>
      <c r="AT18" s="347"/>
      <c r="AU18" s="347"/>
      <c r="AV18" s="311"/>
      <c r="AW18" s="312"/>
      <c r="AX18" s="313"/>
      <c r="AY18" s="311"/>
      <c r="AZ18" s="312"/>
      <c r="BA18" s="313"/>
      <c r="BB18" s="311"/>
      <c r="BC18" s="312"/>
      <c r="BD18" s="313"/>
    </row>
    <row r="19" spans="1:56" ht="201" thickBot="1">
      <c r="A19" s="328">
        <v>3</v>
      </c>
      <c r="B19" s="331" t="s">
        <v>86</v>
      </c>
      <c r="C19" s="332" t="str">
        <f>IFERROR(VLOOKUP(B19,Listados!B$3:C$20,2,FALSE),"")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9" s="333" t="s">
        <v>198</v>
      </c>
      <c r="E19" s="203" t="s">
        <v>52</v>
      </c>
      <c r="F19" s="203"/>
      <c r="G19" s="204" t="s">
        <v>199</v>
      </c>
      <c r="H19" s="204" t="s">
        <v>30</v>
      </c>
      <c r="I19" s="204" t="s">
        <v>200</v>
      </c>
      <c r="J19" s="331" t="s">
        <v>53</v>
      </c>
      <c r="K19" s="348">
        <f>+VLOOKUP(J19,[3]Listados!$K$8:$L$12,2,0)</f>
        <v>4</v>
      </c>
      <c r="L19" s="351" t="s">
        <v>36</v>
      </c>
      <c r="M19" s="348">
        <f>+VLOOKUP(L19,Listados!$K$13:$L$17,2,0)</f>
        <v>3</v>
      </c>
      <c r="N19" s="347" t="str">
        <f>IF(AND(J19&lt;&gt;"",L19&lt;&gt;""),VLOOKUP(J19&amp;L19,Listados!$M$3:$N$27,2,FALSE),"")</f>
        <v>Alto</v>
      </c>
      <c r="O19" s="205" t="s">
        <v>201</v>
      </c>
      <c r="P19" s="205" t="s">
        <v>199</v>
      </c>
      <c r="Q19" s="205" t="s">
        <v>20</v>
      </c>
      <c r="R19" s="215"/>
      <c r="S19" s="27" t="str">
        <f t="shared" si="0"/>
        <v/>
      </c>
      <c r="T19" s="215"/>
      <c r="U19" s="27" t="str">
        <f t="shared" si="1"/>
        <v/>
      </c>
      <c r="V19" s="208"/>
      <c r="W19" s="27" t="str">
        <f t="shared" si="2"/>
        <v/>
      </c>
      <c r="X19" s="208"/>
      <c r="Y19" s="27" t="str">
        <f t="shared" si="3"/>
        <v/>
      </c>
      <c r="Z19" s="208"/>
      <c r="AA19" s="27" t="str">
        <f t="shared" si="4"/>
        <v/>
      </c>
      <c r="AB19" s="208"/>
      <c r="AC19" s="27" t="str">
        <f t="shared" si="5"/>
        <v/>
      </c>
      <c r="AD19" s="208"/>
      <c r="AE19" s="27" t="str">
        <f t="shared" si="6"/>
        <v/>
      </c>
      <c r="AF19" s="48" t="str">
        <f t="shared" si="7"/>
        <v/>
      </c>
      <c r="AG19" s="48" t="str">
        <f t="shared" si="8"/>
        <v/>
      </c>
      <c r="AH19" s="209"/>
      <c r="AI19" s="210" t="str">
        <f t="shared" si="9"/>
        <v>Débil</v>
      </c>
      <c r="AJ19" s="21" t="str">
        <f>IFERROR(VLOOKUP((CONCATENATE(AG19,AI19)),Listados!$U$3:$V$11,2,FALSE),"")</f>
        <v/>
      </c>
      <c r="AK19" s="48">
        <f t="shared" si="10"/>
        <v>100</v>
      </c>
      <c r="AL19" s="354">
        <f>AVERAGE(AK19:AK24)</f>
        <v>100</v>
      </c>
      <c r="AM19" s="356" t="str">
        <f>IF(AL19&lt;=50, "Débil", IF(AL19&lt;=99,"Moderado","Fuerte"))</f>
        <v>Fuerte</v>
      </c>
      <c r="AN19" s="173">
        <f>+IF(AND(Q19="Preventivo",AM19="Fuerte"),2,IF(AND(Q19="Preventivo",AM19="Moderado"),1,0))</f>
        <v>2</v>
      </c>
      <c r="AO19" s="173">
        <f>+IF(AND(Q19="Detectivo",$AM19="Fuerte"),2,IF(AND(Q19="Detectivo",$AM19="Moderado"),1,IF(AND(Q19="Preventivo",$AM19="Fuerte"),1,0)))</f>
        <v>1</v>
      </c>
      <c r="AP19" s="173">
        <f>+K19-AN19</f>
        <v>2</v>
      </c>
      <c r="AQ19" s="173">
        <f>+M19-AO19</f>
        <v>2</v>
      </c>
      <c r="AR19" s="345" t="str">
        <f>+VLOOKUP(MIN(AP19,AP20,AP21,AP22,AP23,AP24),Listados!$J$18:$K$24,2,TRUE)</f>
        <v>Improbable</v>
      </c>
      <c r="AS19" s="345" t="str">
        <f>+VLOOKUP(MIN(AQ19,AQ20,AQ21,AQ22,AQ23,AQ24),Listados!$J$26:$K$32,2,TRUE)</f>
        <v>Menor</v>
      </c>
      <c r="AT19" s="345" t="str">
        <f>IF(AND(AR19&lt;&gt;"",AS19&lt;&gt;""),VLOOKUP(AR19&amp;AS19,Listados!$M$3:$N$27,2,FALSE),"")</f>
        <v>Bajo</v>
      </c>
      <c r="AU19" s="345" t="str">
        <f>+VLOOKUP(AT19,Listados!$P$3:$Q$6,2,FALSE)</f>
        <v>Asumir el riesgo</v>
      </c>
      <c r="AV19" s="311"/>
      <c r="AW19" s="312"/>
      <c r="AX19" s="313"/>
      <c r="AY19" s="311"/>
      <c r="AZ19" s="312"/>
      <c r="BA19" s="313"/>
      <c r="BB19" s="311"/>
      <c r="BC19" s="312"/>
      <c r="BD19" s="313"/>
    </row>
    <row r="20" spans="1:56" ht="158.25" thickBot="1">
      <c r="A20" s="329"/>
      <c r="B20" s="331"/>
      <c r="C20" s="332"/>
      <c r="D20" s="333"/>
      <c r="E20" s="203"/>
      <c r="F20" s="203"/>
      <c r="G20" s="204" t="s">
        <v>202</v>
      </c>
      <c r="H20" s="204" t="s">
        <v>30</v>
      </c>
      <c r="I20" s="204" t="s">
        <v>203</v>
      </c>
      <c r="J20" s="331"/>
      <c r="K20" s="349"/>
      <c r="L20" s="352"/>
      <c r="M20" s="349"/>
      <c r="N20" s="353"/>
      <c r="O20" s="205" t="s">
        <v>204</v>
      </c>
      <c r="P20" s="205" t="s">
        <v>202</v>
      </c>
      <c r="Q20" s="205" t="s">
        <v>20</v>
      </c>
      <c r="R20" s="215"/>
      <c r="S20" s="27" t="str">
        <f t="shared" si="0"/>
        <v/>
      </c>
      <c r="T20" s="215"/>
      <c r="U20" s="27" t="str">
        <f t="shared" si="1"/>
        <v/>
      </c>
      <c r="V20" s="208"/>
      <c r="W20" s="27" t="str">
        <f t="shared" si="2"/>
        <v/>
      </c>
      <c r="X20" s="208"/>
      <c r="Y20" s="27" t="str">
        <f t="shared" si="3"/>
        <v/>
      </c>
      <c r="Z20" s="208"/>
      <c r="AA20" s="27" t="str">
        <f t="shared" si="4"/>
        <v/>
      </c>
      <c r="AB20" s="208"/>
      <c r="AC20" s="27" t="str">
        <f t="shared" si="5"/>
        <v/>
      </c>
      <c r="AD20" s="208"/>
      <c r="AE20" s="27" t="str">
        <f t="shared" si="6"/>
        <v/>
      </c>
      <c r="AF20" s="48" t="str">
        <f t="shared" si="7"/>
        <v/>
      </c>
      <c r="AG20" s="48" t="str">
        <f t="shared" si="8"/>
        <v/>
      </c>
      <c r="AH20" s="209"/>
      <c r="AI20" s="210" t="str">
        <f t="shared" si="9"/>
        <v>Débil</v>
      </c>
      <c r="AJ20" s="21" t="str">
        <f>IFERROR(VLOOKUP((CONCATENATE(AG20,AI20)),Listados!$U$3:$V$11,2,FALSE),"")</f>
        <v/>
      </c>
      <c r="AK20" s="48">
        <f t="shared" si="10"/>
        <v>100</v>
      </c>
      <c r="AL20" s="355"/>
      <c r="AM20" s="357"/>
      <c r="AN20" s="173">
        <f>+IF(AND(Q20="Preventivo",AM19="Fuerte"),2,IF(AND(Q20="Preventivo",AM19="Moderado"),1,0))</f>
        <v>2</v>
      </c>
      <c r="AO20" s="173">
        <f>+IF(AND(Q20="Detectivo",$AM19="Fuerte"),2,IF(AND(Q20="Detectivo",$AM19="Moderado"),1,IF(AND(Q20="Preventivo",$AM19="Fuerte"),1,0)))</f>
        <v>1</v>
      </c>
      <c r="AP20" s="173">
        <f>+K19-AN20</f>
        <v>2</v>
      </c>
      <c r="AQ20" s="173">
        <f>+M19-AO20</f>
        <v>2</v>
      </c>
      <c r="AR20" s="346"/>
      <c r="AS20" s="346"/>
      <c r="AT20" s="346"/>
      <c r="AU20" s="346"/>
      <c r="AV20" s="311"/>
      <c r="AW20" s="312"/>
      <c r="AX20" s="313"/>
      <c r="AY20" s="311"/>
      <c r="AZ20" s="312"/>
      <c r="BA20" s="313"/>
      <c r="BB20" s="311"/>
      <c r="BC20" s="312"/>
      <c r="BD20" s="313"/>
    </row>
    <row r="21" spans="1:56" ht="15.75" thickBot="1">
      <c r="A21" s="329"/>
      <c r="B21" s="331"/>
      <c r="C21" s="332"/>
      <c r="D21" s="333"/>
      <c r="E21" s="203"/>
      <c r="F21" s="203"/>
      <c r="G21" s="204"/>
      <c r="H21" s="204"/>
      <c r="I21" s="204"/>
      <c r="J21" s="331"/>
      <c r="K21" s="349"/>
      <c r="L21" s="352"/>
      <c r="M21" s="349"/>
      <c r="N21" s="353"/>
      <c r="O21" s="47"/>
      <c r="P21" s="215"/>
      <c r="Q21" s="215"/>
      <c r="R21" s="215"/>
      <c r="S21" s="27" t="str">
        <f t="shared" si="0"/>
        <v/>
      </c>
      <c r="T21" s="215"/>
      <c r="U21" s="27" t="str">
        <f t="shared" si="1"/>
        <v/>
      </c>
      <c r="V21" s="208"/>
      <c r="W21" s="27" t="str">
        <f t="shared" si="2"/>
        <v/>
      </c>
      <c r="X21" s="208"/>
      <c r="Y21" s="27" t="str">
        <f t="shared" si="3"/>
        <v/>
      </c>
      <c r="Z21" s="208"/>
      <c r="AA21" s="27" t="str">
        <f t="shared" si="4"/>
        <v/>
      </c>
      <c r="AB21" s="208"/>
      <c r="AC21" s="27" t="str">
        <f t="shared" si="5"/>
        <v/>
      </c>
      <c r="AD21" s="208"/>
      <c r="AE21" s="27" t="str">
        <f t="shared" si="6"/>
        <v/>
      </c>
      <c r="AF21" s="48" t="str">
        <f t="shared" si="7"/>
        <v/>
      </c>
      <c r="AG21" s="48" t="str">
        <f t="shared" si="8"/>
        <v/>
      </c>
      <c r="AH21" s="209"/>
      <c r="AI21" s="210" t="str">
        <f t="shared" si="9"/>
        <v>Débil</v>
      </c>
      <c r="AJ21" s="21" t="str">
        <f>IFERROR(VLOOKUP((CONCATENATE(AG21,AI21)),Listados!$U$3:$V$11,2,FALSE),"")</f>
        <v/>
      </c>
      <c r="AK21" s="48">
        <f t="shared" si="10"/>
        <v>100</v>
      </c>
      <c r="AL21" s="355"/>
      <c r="AM21" s="357"/>
      <c r="AN21" s="173">
        <f>+IF(AND(Q21="Preventivo",AM19="Fuerte"),2,IF(AND(Q21="Preventivo",AM19="Moderado"),1,0))</f>
        <v>0</v>
      </c>
      <c r="AO21" s="173">
        <f>+IF(AND(Q21="Detectivo",$AM19="Fuerte"),2,IF(AND(Q21="Detectivo",$AM19="Moderado"),1,IF(AND(Q21="Preventivo",$AM19="Fuerte"),1,0)))</f>
        <v>0</v>
      </c>
      <c r="AP21" s="173">
        <f>+K19-AN21</f>
        <v>4</v>
      </c>
      <c r="AQ21" s="173">
        <f>+M19-AO21</f>
        <v>3</v>
      </c>
      <c r="AR21" s="346"/>
      <c r="AS21" s="346"/>
      <c r="AT21" s="346"/>
      <c r="AU21" s="346"/>
      <c r="AV21" s="311"/>
      <c r="AW21" s="312"/>
      <c r="AX21" s="313"/>
      <c r="AY21" s="311"/>
      <c r="AZ21" s="312"/>
      <c r="BA21" s="313"/>
      <c r="BB21" s="311"/>
      <c r="BC21" s="312"/>
      <c r="BD21" s="313"/>
    </row>
    <row r="22" spans="1:56" ht="15.75" thickBot="1">
      <c r="A22" s="329"/>
      <c r="B22" s="331"/>
      <c r="C22" s="332"/>
      <c r="D22" s="333"/>
      <c r="E22" s="203"/>
      <c r="F22" s="203"/>
      <c r="G22" s="204"/>
      <c r="H22" s="204"/>
      <c r="I22" s="204"/>
      <c r="J22" s="331"/>
      <c r="K22" s="349"/>
      <c r="L22" s="352"/>
      <c r="M22" s="349"/>
      <c r="N22" s="353"/>
      <c r="O22" s="47"/>
      <c r="P22" s="215"/>
      <c r="Q22" s="215"/>
      <c r="R22" s="215"/>
      <c r="S22" s="27" t="str">
        <f t="shared" si="0"/>
        <v/>
      </c>
      <c r="T22" s="215"/>
      <c r="U22" s="27" t="str">
        <f t="shared" si="1"/>
        <v/>
      </c>
      <c r="V22" s="208"/>
      <c r="W22" s="27" t="str">
        <f t="shared" si="2"/>
        <v/>
      </c>
      <c r="X22" s="208"/>
      <c r="Y22" s="27" t="str">
        <f t="shared" si="3"/>
        <v/>
      </c>
      <c r="Z22" s="208"/>
      <c r="AA22" s="27" t="str">
        <f t="shared" si="4"/>
        <v/>
      </c>
      <c r="AB22" s="208"/>
      <c r="AC22" s="27" t="str">
        <f t="shared" si="5"/>
        <v/>
      </c>
      <c r="AD22" s="208"/>
      <c r="AE22" s="27" t="str">
        <f t="shared" si="6"/>
        <v/>
      </c>
      <c r="AF22" s="48" t="str">
        <f t="shared" si="7"/>
        <v/>
      </c>
      <c r="AG22" s="48" t="str">
        <f t="shared" si="8"/>
        <v/>
      </c>
      <c r="AH22" s="209"/>
      <c r="AI22" s="210" t="str">
        <f t="shared" si="9"/>
        <v>Débil</v>
      </c>
      <c r="AJ22" s="21" t="str">
        <f>IFERROR(VLOOKUP((CONCATENATE(AG22,AI22)),Listados!$U$3:$V$11,2,FALSE),"")</f>
        <v/>
      </c>
      <c r="AK22" s="48">
        <f t="shared" si="10"/>
        <v>100</v>
      </c>
      <c r="AL22" s="355"/>
      <c r="AM22" s="357"/>
      <c r="AN22" s="173">
        <f>+IF(AND(Q22="Preventivo",AM19="Fuerte"),2,IF(AND(Q22="Preventivo",AM19="Moderado"),1,0))</f>
        <v>0</v>
      </c>
      <c r="AO22" s="173">
        <f>+IF(AND(Q22="Detectivo",$AM19="Fuerte"),2,IF(AND(Q22="Detectivo",$AM19="Moderado"),1,IF(AND(Q22="Preventivo",$AM19="Fuerte"),1,0)))</f>
        <v>0</v>
      </c>
      <c r="AP22" s="173">
        <f>+K19-AN22</f>
        <v>4</v>
      </c>
      <c r="AQ22" s="173">
        <f>+M19-AO22</f>
        <v>3</v>
      </c>
      <c r="AR22" s="346"/>
      <c r="AS22" s="346"/>
      <c r="AT22" s="346"/>
      <c r="AU22" s="346"/>
      <c r="AV22" s="311"/>
      <c r="AW22" s="312"/>
      <c r="AX22" s="313"/>
      <c r="AY22" s="311"/>
      <c r="AZ22" s="312"/>
      <c r="BA22" s="313"/>
      <c r="BB22" s="311"/>
      <c r="BC22" s="312"/>
      <c r="BD22" s="313"/>
    </row>
    <row r="23" spans="1:56" ht="15.75" thickBot="1">
      <c r="A23" s="329"/>
      <c r="B23" s="331"/>
      <c r="C23" s="332"/>
      <c r="D23" s="333"/>
      <c r="E23" s="203"/>
      <c r="F23" s="203"/>
      <c r="G23" s="204"/>
      <c r="H23" s="204"/>
      <c r="I23" s="204"/>
      <c r="J23" s="331"/>
      <c r="K23" s="349"/>
      <c r="L23" s="352"/>
      <c r="M23" s="349"/>
      <c r="N23" s="353"/>
      <c r="O23" s="47"/>
      <c r="P23" s="215"/>
      <c r="Q23" s="215"/>
      <c r="R23" s="215"/>
      <c r="S23" s="27" t="str">
        <f t="shared" si="0"/>
        <v/>
      </c>
      <c r="T23" s="215"/>
      <c r="U23" s="27" t="str">
        <f t="shared" si="1"/>
        <v/>
      </c>
      <c r="V23" s="208"/>
      <c r="W23" s="27" t="str">
        <f t="shared" si="2"/>
        <v/>
      </c>
      <c r="X23" s="208"/>
      <c r="Y23" s="27" t="str">
        <f t="shared" si="3"/>
        <v/>
      </c>
      <c r="Z23" s="208"/>
      <c r="AA23" s="27" t="str">
        <f t="shared" si="4"/>
        <v/>
      </c>
      <c r="AB23" s="208"/>
      <c r="AC23" s="27" t="str">
        <f t="shared" si="5"/>
        <v/>
      </c>
      <c r="AD23" s="208"/>
      <c r="AE23" s="27" t="str">
        <f t="shared" si="6"/>
        <v/>
      </c>
      <c r="AF23" s="48" t="str">
        <f t="shared" si="7"/>
        <v/>
      </c>
      <c r="AG23" s="48" t="str">
        <f t="shared" si="8"/>
        <v/>
      </c>
      <c r="AH23" s="209"/>
      <c r="AI23" s="210" t="str">
        <f t="shared" si="9"/>
        <v>Débil</v>
      </c>
      <c r="AJ23" s="21" t="str">
        <f>IFERROR(VLOOKUP((CONCATENATE(AG23,AI23)),Listados!$U$3:$V$11,2,FALSE),"")</f>
        <v/>
      </c>
      <c r="AK23" s="48">
        <f t="shared" si="10"/>
        <v>100</v>
      </c>
      <c r="AL23" s="355"/>
      <c r="AM23" s="357"/>
      <c r="AN23" s="173">
        <f>+IF(AND(Q23="Preventivo",AM19="Fuerte"),2,IF(AND(Q23="Preventivo",AM19="Moderado"),1,0))</f>
        <v>0</v>
      </c>
      <c r="AO23" s="173">
        <f>+IF(AND(Q23="Detectivo",$AM19="Fuerte"),2,IF(AND(Q23="Detectivo",$AM19="Moderado"),1,IF(AND(Q23="Preventivo",$AM19="Fuerte"),1,0)))</f>
        <v>0</v>
      </c>
      <c r="AP23" s="173">
        <f>+K19-AN23</f>
        <v>4</v>
      </c>
      <c r="AQ23" s="173">
        <f>+M19-AO23</f>
        <v>3</v>
      </c>
      <c r="AR23" s="346"/>
      <c r="AS23" s="346"/>
      <c r="AT23" s="346"/>
      <c r="AU23" s="346"/>
      <c r="AV23" s="311"/>
      <c r="AW23" s="312"/>
      <c r="AX23" s="313"/>
      <c r="AY23" s="311"/>
      <c r="AZ23" s="312"/>
      <c r="BA23" s="313"/>
      <c r="BB23" s="311"/>
      <c r="BC23" s="312"/>
      <c r="BD23" s="313"/>
    </row>
    <row r="24" spans="1:56" ht="15.75" thickBot="1">
      <c r="A24" s="330"/>
      <c r="B24" s="331"/>
      <c r="C24" s="332"/>
      <c r="D24" s="333"/>
      <c r="E24" s="203"/>
      <c r="F24" s="203"/>
      <c r="G24" s="204"/>
      <c r="H24" s="204"/>
      <c r="I24" s="204"/>
      <c r="J24" s="331"/>
      <c r="K24" s="350"/>
      <c r="L24" s="352"/>
      <c r="M24" s="350"/>
      <c r="N24" s="353"/>
      <c r="O24" s="101"/>
      <c r="P24" s="215"/>
      <c r="Q24" s="215"/>
      <c r="R24" s="215"/>
      <c r="S24" s="27" t="str">
        <f t="shared" si="0"/>
        <v/>
      </c>
      <c r="T24" s="215"/>
      <c r="U24" s="27" t="str">
        <f t="shared" si="1"/>
        <v/>
      </c>
      <c r="V24" s="208"/>
      <c r="W24" s="27" t="str">
        <f t="shared" si="2"/>
        <v/>
      </c>
      <c r="X24" s="208"/>
      <c r="Y24" s="27" t="str">
        <f t="shared" si="3"/>
        <v/>
      </c>
      <c r="Z24" s="208"/>
      <c r="AA24" s="27" t="str">
        <f t="shared" si="4"/>
        <v/>
      </c>
      <c r="AB24" s="208"/>
      <c r="AC24" s="27" t="str">
        <f t="shared" si="5"/>
        <v/>
      </c>
      <c r="AD24" s="208"/>
      <c r="AE24" s="27" t="str">
        <f t="shared" si="6"/>
        <v/>
      </c>
      <c r="AF24" s="48" t="str">
        <f t="shared" si="7"/>
        <v/>
      </c>
      <c r="AG24" s="48" t="str">
        <f t="shared" si="8"/>
        <v/>
      </c>
      <c r="AH24" s="209"/>
      <c r="AI24" s="210" t="str">
        <f t="shared" si="9"/>
        <v>Débil</v>
      </c>
      <c r="AJ24" s="21" t="str">
        <f>IFERROR(VLOOKUP((CONCATENATE(AG24,AI24)),Listados!$U$3:$V$11,2,FALSE),"")</f>
        <v/>
      </c>
      <c r="AK24" s="48">
        <f t="shared" si="10"/>
        <v>100</v>
      </c>
      <c r="AL24" s="356"/>
      <c r="AM24" s="357"/>
      <c r="AN24" s="173">
        <f>+IF(AND(Q24="Preventivo",AM19="Fuerte"),2,IF(AND(Q24="Preventivo",AM19="Moderado"),1,0))</f>
        <v>0</v>
      </c>
      <c r="AO24" s="173">
        <f>+IF(AND(Q24="Detectivo",$AM19="Fuerte"),2,IF(AND(Q24="Detectivo",$AM19="Moderado"),1,IF(AND(Q24="Preventivo",$AM19="Fuerte"),1,0)))</f>
        <v>0</v>
      </c>
      <c r="AP24" s="173">
        <f>+K19-AN24</f>
        <v>4</v>
      </c>
      <c r="AQ24" s="173">
        <f>+M19-AO24</f>
        <v>3</v>
      </c>
      <c r="AR24" s="347"/>
      <c r="AS24" s="347"/>
      <c r="AT24" s="347"/>
      <c r="AU24" s="347"/>
      <c r="AV24" s="311"/>
      <c r="AW24" s="312"/>
      <c r="AX24" s="313"/>
      <c r="AY24" s="311"/>
      <c r="AZ24" s="312"/>
      <c r="BA24" s="313"/>
      <c r="BB24" s="311"/>
      <c r="BC24" s="312"/>
      <c r="BD24" s="313"/>
    </row>
    <row r="25" spans="1:56" ht="129.75" thickBot="1">
      <c r="A25" s="328">
        <v>4</v>
      </c>
      <c r="B25" s="331" t="s">
        <v>27</v>
      </c>
      <c r="C25" s="332" t="str">
        <f>IFERROR(VLOOKUP(B25,Listados!B$3:C$20,2,FALSE),"")</f>
        <v>Proveer información oportuna, confiable, veraz y accesible a clientes internos y externos del Ministerio de Justicia y del Derecho.</v>
      </c>
      <c r="D25" s="333" t="s">
        <v>205</v>
      </c>
      <c r="E25" s="203" t="s">
        <v>15</v>
      </c>
      <c r="F25" s="203" t="s">
        <v>178</v>
      </c>
      <c r="G25" s="204" t="s">
        <v>206</v>
      </c>
      <c r="H25" s="204" t="s">
        <v>16</v>
      </c>
      <c r="I25" s="204" t="s">
        <v>207</v>
      </c>
      <c r="J25" s="331" t="s">
        <v>21</v>
      </c>
      <c r="K25" s="348">
        <f>+VLOOKUP(J25,Listados!$K$8:$L$12,2,0)</f>
        <v>1</v>
      </c>
      <c r="L25" s="351" t="s">
        <v>64</v>
      </c>
      <c r="M25" s="348">
        <f>+VLOOKUP(L25,Listados!$K$13:$L$17,2,0)</f>
        <v>5</v>
      </c>
      <c r="N25" s="347" t="str">
        <f>IF(AND(J25&lt;&gt;"",L25&lt;&gt;""),VLOOKUP(J25&amp;L25,Listados!$M$3:$N$27,2,FALSE),"")</f>
        <v>Extremo</v>
      </c>
      <c r="O25" s="205" t="s">
        <v>208</v>
      </c>
      <c r="P25" s="216" t="s">
        <v>206</v>
      </c>
      <c r="Q25" s="204" t="s">
        <v>123</v>
      </c>
      <c r="R25" s="215"/>
      <c r="S25" s="27" t="str">
        <f t="shared" si="0"/>
        <v/>
      </c>
      <c r="T25" s="215"/>
      <c r="U25" s="27" t="str">
        <f t="shared" si="1"/>
        <v/>
      </c>
      <c r="V25" s="208"/>
      <c r="W25" s="27" t="str">
        <f t="shared" si="2"/>
        <v/>
      </c>
      <c r="X25" s="208"/>
      <c r="Y25" s="27" t="str">
        <f t="shared" si="3"/>
        <v/>
      </c>
      <c r="Z25" s="208"/>
      <c r="AA25" s="27" t="str">
        <f t="shared" si="4"/>
        <v/>
      </c>
      <c r="AB25" s="208"/>
      <c r="AC25" s="27" t="str">
        <f t="shared" si="5"/>
        <v/>
      </c>
      <c r="AD25" s="208"/>
      <c r="AE25" s="27" t="str">
        <f t="shared" si="6"/>
        <v/>
      </c>
      <c r="AF25" s="48" t="str">
        <f t="shared" si="7"/>
        <v/>
      </c>
      <c r="AG25" s="48" t="str">
        <f t="shared" si="8"/>
        <v/>
      </c>
      <c r="AH25" s="209"/>
      <c r="AI25" s="210" t="str">
        <f t="shared" si="9"/>
        <v>Débil</v>
      </c>
      <c r="AJ25" s="21" t="str">
        <f>IFERROR(VLOOKUP((CONCATENATE(AG25,AI25)),Listados!$U$3:$V$11,2,FALSE),"")</f>
        <v/>
      </c>
      <c r="AK25" s="48">
        <f t="shared" si="10"/>
        <v>100</v>
      </c>
      <c r="AL25" s="354">
        <f>AVERAGE(AK25:AK30)</f>
        <v>100</v>
      </c>
      <c r="AM25" s="356" t="str">
        <f>IF(AL25&lt;=50, "Débil", IF(AL25&lt;=99,"Moderado","Fuerte"))</f>
        <v>Fuerte</v>
      </c>
      <c r="AN25" s="173">
        <f>+IF(AND(Q25="Preventivo",AM25="Fuerte"),2,IF(AND(Q25="Preventivo",AM25="Moderado"),1,0))</f>
        <v>0</v>
      </c>
      <c r="AO25" s="173">
        <f>+IF(AND(Q25="Detectivo",$AM25="Fuerte"),2,IF(AND(Q25="Detectivo",$AM25="Moderado"),1,IF(AND(Q25="Preventivo",$AM25="Fuerte"),1,0)))</f>
        <v>2</v>
      </c>
      <c r="AP25" s="173">
        <f>+K25-AN25</f>
        <v>1</v>
      </c>
      <c r="AQ25" s="173">
        <f>+M25-AO25</f>
        <v>3</v>
      </c>
      <c r="AR25" s="345" t="str">
        <f>+VLOOKUP(MIN(AP25,AP26,AP27,AP28,AP29,AP30),Listados!$J$18:$K$24,2,TRUE)</f>
        <v>Rara Vez</v>
      </c>
      <c r="AS25" s="345" t="str">
        <f>+VLOOKUP(MIN(AQ25,AQ26,AQ27,AQ28,AQ29,AQ30),Listados!$J$26:$K$32,2,TRUE)</f>
        <v>Moderado</v>
      </c>
      <c r="AT25" s="345" t="str">
        <f>IF(AND(AR25&lt;&gt;"",AS25&lt;&gt;""),VLOOKUP(AR25&amp;AS25,Listados!$M$3:$N$27,2,FALSE),"")</f>
        <v>Moderado</v>
      </c>
      <c r="AU25" s="345" t="str">
        <f>+VLOOKUP(AT25,Listados!$P$3:$Q$6,2,FALSE)</f>
        <v xml:space="preserve"> Reducir el riesgo</v>
      </c>
      <c r="AV25" s="311"/>
      <c r="AW25" s="312"/>
      <c r="AX25" s="313"/>
      <c r="AY25" s="311"/>
      <c r="AZ25" s="312"/>
      <c r="BA25" s="313"/>
      <c r="BB25" s="311"/>
      <c r="BC25" s="312"/>
      <c r="BD25" s="313"/>
    </row>
    <row r="26" spans="1:56" ht="129.75" thickBot="1">
      <c r="A26" s="329"/>
      <c r="B26" s="331"/>
      <c r="C26" s="332"/>
      <c r="D26" s="333"/>
      <c r="E26" s="203"/>
      <c r="F26" s="203" t="s">
        <v>209</v>
      </c>
      <c r="G26" s="204" t="s">
        <v>210</v>
      </c>
      <c r="H26" s="204" t="s">
        <v>16</v>
      </c>
      <c r="I26" s="204" t="s">
        <v>211</v>
      </c>
      <c r="J26" s="331"/>
      <c r="K26" s="349"/>
      <c r="L26" s="352"/>
      <c r="M26" s="349"/>
      <c r="N26" s="353"/>
      <c r="O26" s="205" t="s">
        <v>212</v>
      </c>
      <c r="P26" s="216" t="s">
        <v>210</v>
      </c>
      <c r="Q26" s="204" t="s">
        <v>20</v>
      </c>
      <c r="R26" s="215"/>
      <c r="S26" s="27" t="str">
        <f t="shared" si="0"/>
        <v/>
      </c>
      <c r="T26" s="215"/>
      <c r="U26" s="27" t="str">
        <f t="shared" si="1"/>
        <v/>
      </c>
      <c r="V26" s="208"/>
      <c r="W26" s="27" t="str">
        <f t="shared" si="2"/>
        <v/>
      </c>
      <c r="X26" s="208"/>
      <c r="Y26" s="27" t="str">
        <f t="shared" si="3"/>
        <v/>
      </c>
      <c r="Z26" s="208"/>
      <c r="AA26" s="27" t="str">
        <f t="shared" si="4"/>
        <v/>
      </c>
      <c r="AB26" s="208"/>
      <c r="AC26" s="27" t="str">
        <f t="shared" si="5"/>
        <v/>
      </c>
      <c r="AD26" s="208"/>
      <c r="AE26" s="27" t="str">
        <f t="shared" si="6"/>
        <v/>
      </c>
      <c r="AF26" s="48" t="str">
        <f t="shared" si="7"/>
        <v/>
      </c>
      <c r="AG26" s="48" t="str">
        <f t="shared" si="8"/>
        <v/>
      </c>
      <c r="AH26" s="209"/>
      <c r="AI26" s="210" t="str">
        <f t="shared" si="9"/>
        <v>Débil</v>
      </c>
      <c r="AJ26" s="21" t="str">
        <f>IFERROR(VLOOKUP((CONCATENATE(AG26,AI26)),Listados!$U$3:$V$11,2,FALSE),"")</f>
        <v/>
      </c>
      <c r="AK26" s="48">
        <f t="shared" si="10"/>
        <v>100</v>
      </c>
      <c r="AL26" s="355"/>
      <c r="AM26" s="357"/>
      <c r="AN26" s="173">
        <f>+IF(AND(Q26="Preventivo",AM25="Fuerte"),2,IF(AND(Q26="Preventivo",AM25="Moderado"),1,0))</f>
        <v>2</v>
      </c>
      <c r="AO26" s="173">
        <f>+IF(AND(Q26="Detectivo",$AM25="Fuerte"),2,IF(AND(Q26="Detectivo",$AM25="Moderado"),1,IF(AND(Q26="Preventivo",$AM25="Fuerte"),1,0)))</f>
        <v>1</v>
      </c>
      <c r="AP26" s="173">
        <f>+K25-AN26</f>
        <v>-1</v>
      </c>
      <c r="AQ26" s="173">
        <f>+M25-AO26</f>
        <v>4</v>
      </c>
      <c r="AR26" s="346"/>
      <c r="AS26" s="346"/>
      <c r="AT26" s="346"/>
      <c r="AU26" s="346"/>
      <c r="AV26" s="311"/>
      <c r="AW26" s="312"/>
      <c r="AX26" s="313"/>
      <c r="AY26" s="311"/>
      <c r="AZ26" s="312"/>
      <c r="BA26" s="313"/>
      <c r="BB26" s="311"/>
      <c r="BC26" s="312"/>
      <c r="BD26" s="313"/>
    </row>
    <row r="27" spans="1:56" ht="129" thickBot="1">
      <c r="A27" s="329"/>
      <c r="B27" s="331"/>
      <c r="C27" s="332"/>
      <c r="D27" s="333"/>
      <c r="E27" s="203"/>
      <c r="F27" s="203"/>
      <c r="G27" s="204" t="s">
        <v>213</v>
      </c>
      <c r="H27" s="204" t="s">
        <v>16</v>
      </c>
      <c r="I27" s="204" t="s">
        <v>214</v>
      </c>
      <c r="J27" s="331"/>
      <c r="K27" s="349"/>
      <c r="L27" s="352"/>
      <c r="M27" s="349"/>
      <c r="N27" s="353"/>
      <c r="O27" s="204" t="s">
        <v>208</v>
      </c>
      <c r="P27" s="216" t="s">
        <v>213</v>
      </c>
      <c r="Q27" s="204" t="s">
        <v>123</v>
      </c>
      <c r="R27" s="215"/>
      <c r="S27" s="27" t="str">
        <f t="shared" si="0"/>
        <v/>
      </c>
      <c r="T27" s="215"/>
      <c r="U27" s="27" t="str">
        <f t="shared" si="1"/>
        <v/>
      </c>
      <c r="V27" s="208"/>
      <c r="W27" s="27" t="str">
        <f t="shared" si="2"/>
        <v/>
      </c>
      <c r="X27" s="208"/>
      <c r="Y27" s="27" t="str">
        <f t="shared" si="3"/>
        <v/>
      </c>
      <c r="Z27" s="208"/>
      <c r="AA27" s="27" t="str">
        <f t="shared" si="4"/>
        <v/>
      </c>
      <c r="AB27" s="208"/>
      <c r="AC27" s="27" t="str">
        <f t="shared" si="5"/>
        <v/>
      </c>
      <c r="AD27" s="208"/>
      <c r="AE27" s="27" t="str">
        <f t="shared" si="6"/>
        <v/>
      </c>
      <c r="AF27" s="48" t="str">
        <f t="shared" si="7"/>
        <v/>
      </c>
      <c r="AG27" s="48" t="str">
        <f t="shared" si="8"/>
        <v/>
      </c>
      <c r="AH27" s="209"/>
      <c r="AI27" s="210" t="str">
        <f t="shared" si="9"/>
        <v>Débil</v>
      </c>
      <c r="AJ27" s="21" t="str">
        <f>IFERROR(VLOOKUP((CONCATENATE(AG27,AI27)),Listados!$U$3:$V$11,2,FALSE),"")</f>
        <v/>
      </c>
      <c r="AK27" s="48">
        <f t="shared" si="10"/>
        <v>100</v>
      </c>
      <c r="AL27" s="355"/>
      <c r="AM27" s="357"/>
      <c r="AN27" s="173">
        <f>+IF(AND(Q27="Preventivo",AM25="Fuerte"),2,IF(AND(Q27="Preventivo",AM25="Moderado"),1,0))</f>
        <v>0</v>
      </c>
      <c r="AO27" s="173">
        <f>+IF(AND(Q27="Detectivo",$AM25="Fuerte"),2,IF(AND(Q27="Detectivo",$AM25="Moderado"),1,IF(AND(Q27="Preventivo",$AM25="Fuerte"),1,0)))</f>
        <v>2</v>
      </c>
      <c r="AP27" s="173">
        <f>+K25-AN27</f>
        <v>1</v>
      </c>
      <c r="AQ27" s="173">
        <f>+M25-AO27</f>
        <v>3</v>
      </c>
      <c r="AR27" s="346"/>
      <c r="AS27" s="346"/>
      <c r="AT27" s="346"/>
      <c r="AU27" s="346"/>
      <c r="AV27" s="311"/>
      <c r="AW27" s="312"/>
      <c r="AX27" s="313"/>
      <c r="AY27" s="311"/>
      <c r="AZ27" s="312"/>
      <c r="BA27" s="313"/>
      <c r="BB27" s="311"/>
      <c r="BC27" s="312"/>
      <c r="BD27" s="313"/>
    </row>
    <row r="28" spans="1:56" ht="172.5" thickBot="1">
      <c r="A28" s="329"/>
      <c r="B28" s="331"/>
      <c r="C28" s="332"/>
      <c r="D28" s="333"/>
      <c r="E28" s="203"/>
      <c r="F28" s="203"/>
      <c r="G28" s="204" t="s">
        <v>215</v>
      </c>
      <c r="H28" s="204" t="s">
        <v>16</v>
      </c>
      <c r="I28" s="204" t="s">
        <v>214</v>
      </c>
      <c r="J28" s="331"/>
      <c r="K28" s="349"/>
      <c r="L28" s="352"/>
      <c r="M28" s="349"/>
      <c r="N28" s="353"/>
      <c r="O28" s="205" t="s">
        <v>216</v>
      </c>
      <c r="P28" s="216" t="s">
        <v>210</v>
      </c>
      <c r="Q28" s="204" t="s">
        <v>20</v>
      </c>
      <c r="R28" s="215"/>
      <c r="S28" s="27" t="str">
        <f t="shared" si="0"/>
        <v/>
      </c>
      <c r="T28" s="215"/>
      <c r="U28" s="27" t="str">
        <f t="shared" si="1"/>
        <v/>
      </c>
      <c r="V28" s="208"/>
      <c r="W28" s="27" t="str">
        <f t="shared" si="2"/>
        <v/>
      </c>
      <c r="X28" s="208"/>
      <c r="Y28" s="27" t="str">
        <f t="shared" si="3"/>
        <v/>
      </c>
      <c r="Z28" s="208"/>
      <c r="AA28" s="27" t="str">
        <f t="shared" si="4"/>
        <v/>
      </c>
      <c r="AB28" s="208"/>
      <c r="AC28" s="27" t="str">
        <f t="shared" si="5"/>
        <v/>
      </c>
      <c r="AD28" s="208"/>
      <c r="AE28" s="27" t="str">
        <f t="shared" si="6"/>
        <v/>
      </c>
      <c r="AF28" s="48" t="str">
        <f t="shared" si="7"/>
        <v/>
      </c>
      <c r="AG28" s="48" t="str">
        <f t="shared" si="8"/>
        <v/>
      </c>
      <c r="AH28" s="209"/>
      <c r="AI28" s="210" t="str">
        <f t="shared" si="9"/>
        <v>Débil</v>
      </c>
      <c r="AJ28" s="21" t="str">
        <f>IFERROR(VLOOKUP((CONCATENATE(AG28,AI28)),Listados!$U$3:$V$11,2,FALSE),"")</f>
        <v/>
      </c>
      <c r="AK28" s="48">
        <f t="shared" si="10"/>
        <v>100</v>
      </c>
      <c r="AL28" s="355"/>
      <c r="AM28" s="357"/>
      <c r="AN28" s="173">
        <f>+IF(AND(Q28="Preventivo",AM25="Fuerte"),2,IF(AND(Q28="Preventivo",AM25="Moderado"),1,0))</f>
        <v>2</v>
      </c>
      <c r="AO28" s="173">
        <f>+IF(AND(Q28="Detectivo",$AM25="Fuerte"),2,IF(AND(Q28="Detectivo",$AM25="Moderado"),1,IF(AND(Q28="Preventivo",$AM25="Fuerte"),1,0)))</f>
        <v>1</v>
      </c>
      <c r="AP28" s="173">
        <f>+K25-AN28</f>
        <v>-1</v>
      </c>
      <c r="AQ28" s="173">
        <f>+M25-AO28</f>
        <v>4</v>
      </c>
      <c r="AR28" s="346"/>
      <c r="AS28" s="346"/>
      <c r="AT28" s="346"/>
      <c r="AU28" s="346"/>
      <c r="AV28" s="311"/>
      <c r="AW28" s="312"/>
      <c r="AX28" s="313"/>
      <c r="AY28" s="311"/>
      <c r="AZ28" s="312"/>
      <c r="BA28" s="313"/>
      <c r="BB28" s="311"/>
      <c r="BC28" s="312"/>
      <c r="BD28" s="313"/>
    </row>
    <row r="29" spans="1:56" ht="15.75" thickBot="1">
      <c r="A29" s="329"/>
      <c r="B29" s="331"/>
      <c r="C29" s="332"/>
      <c r="D29" s="333"/>
      <c r="E29" s="203"/>
      <c r="F29" s="203"/>
      <c r="G29" s="204"/>
      <c r="H29" s="204"/>
      <c r="I29" s="204"/>
      <c r="J29" s="331"/>
      <c r="K29" s="349"/>
      <c r="L29" s="352"/>
      <c r="M29" s="349"/>
      <c r="N29" s="353"/>
      <c r="O29" s="203"/>
      <c r="P29" s="217"/>
      <c r="Q29" s="217"/>
      <c r="R29" s="215"/>
      <c r="S29" s="27" t="str">
        <f t="shared" si="0"/>
        <v/>
      </c>
      <c r="T29" s="215"/>
      <c r="U29" s="27" t="str">
        <f t="shared" si="1"/>
        <v/>
      </c>
      <c r="V29" s="208"/>
      <c r="W29" s="27" t="str">
        <f t="shared" si="2"/>
        <v/>
      </c>
      <c r="X29" s="208"/>
      <c r="Y29" s="27" t="str">
        <f t="shared" si="3"/>
        <v/>
      </c>
      <c r="Z29" s="208"/>
      <c r="AA29" s="27" t="str">
        <f t="shared" si="4"/>
        <v/>
      </c>
      <c r="AB29" s="208"/>
      <c r="AC29" s="27" t="str">
        <f t="shared" si="5"/>
        <v/>
      </c>
      <c r="AD29" s="208"/>
      <c r="AE29" s="27" t="str">
        <f t="shared" si="6"/>
        <v/>
      </c>
      <c r="AF29" s="48" t="str">
        <f t="shared" si="7"/>
        <v/>
      </c>
      <c r="AG29" s="48" t="str">
        <f t="shared" si="8"/>
        <v/>
      </c>
      <c r="AH29" s="209"/>
      <c r="AI29" s="210" t="str">
        <f t="shared" si="9"/>
        <v>Débil</v>
      </c>
      <c r="AJ29" s="21" t="str">
        <f>IFERROR(VLOOKUP((CONCATENATE(AG29,AI29)),Listados!$U$3:$V$11,2,FALSE),"")</f>
        <v/>
      </c>
      <c r="AK29" s="48">
        <f t="shared" si="10"/>
        <v>100</v>
      </c>
      <c r="AL29" s="355"/>
      <c r="AM29" s="357"/>
      <c r="AN29" s="173">
        <f>+IF(AND(Q29="Preventivo",AM25="Fuerte"),2,IF(AND(Q29="Preventivo",AM25="Moderado"),1,0))</f>
        <v>0</v>
      </c>
      <c r="AO29" s="173">
        <f>+IF(AND(Q29="Detectivo",$AM25="Fuerte"),2,IF(AND(Q29="Detectivo",$AM25="Moderado"),1,IF(AND(Q29="Preventivo",$AM25="Fuerte"),1,0)))</f>
        <v>0</v>
      </c>
      <c r="AP29" s="173">
        <f>+K25-AN29</f>
        <v>1</v>
      </c>
      <c r="AQ29" s="173">
        <f>+M25-AO29</f>
        <v>5</v>
      </c>
      <c r="AR29" s="346"/>
      <c r="AS29" s="346"/>
      <c r="AT29" s="346"/>
      <c r="AU29" s="346"/>
      <c r="AV29" s="311"/>
      <c r="AW29" s="312"/>
      <c r="AX29" s="313"/>
      <c r="AY29" s="311"/>
      <c r="AZ29" s="312"/>
      <c r="BA29" s="313"/>
      <c r="BB29" s="311"/>
      <c r="BC29" s="312"/>
      <c r="BD29" s="313"/>
    </row>
    <row r="30" spans="1:56" ht="15.75" thickBot="1">
      <c r="A30" s="330"/>
      <c r="B30" s="331"/>
      <c r="C30" s="332"/>
      <c r="D30" s="333"/>
      <c r="E30" s="203"/>
      <c r="F30" s="203"/>
      <c r="G30" s="204"/>
      <c r="H30" s="204"/>
      <c r="I30" s="204"/>
      <c r="J30" s="331"/>
      <c r="K30" s="350"/>
      <c r="L30" s="352"/>
      <c r="M30" s="350"/>
      <c r="N30" s="353"/>
      <c r="O30" s="203"/>
      <c r="P30" s="217"/>
      <c r="Q30" s="217"/>
      <c r="R30" s="215"/>
      <c r="S30" s="27" t="str">
        <f t="shared" si="0"/>
        <v/>
      </c>
      <c r="T30" s="215"/>
      <c r="U30" s="27" t="str">
        <f t="shared" si="1"/>
        <v/>
      </c>
      <c r="V30" s="208"/>
      <c r="W30" s="27" t="str">
        <f t="shared" si="2"/>
        <v/>
      </c>
      <c r="X30" s="208"/>
      <c r="Y30" s="27" t="str">
        <f t="shared" si="3"/>
        <v/>
      </c>
      <c r="Z30" s="208"/>
      <c r="AA30" s="27" t="str">
        <f t="shared" si="4"/>
        <v/>
      </c>
      <c r="AB30" s="208"/>
      <c r="AC30" s="27" t="str">
        <f t="shared" si="5"/>
        <v/>
      </c>
      <c r="AD30" s="208"/>
      <c r="AE30" s="27" t="str">
        <f t="shared" si="6"/>
        <v/>
      </c>
      <c r="AF30" s="48" t="str">
        <f t="shared" si="7"/>
        <v/>
      </c>
      <c r="AG30" s="48" t="str">
        <f t="shared" si="8"/>
        <v/>
      </c>
      <c r="AH30" s="209"/>
      <c r="AI30" s="210" t="str">
        <f t="shared" si="9"/>
        <v>Débil</v>
      </c>
      <c r="AJ30" s="21" t="str">
        <f>IFERROR(VLOOKUP((CONCATENATE(AG30,AI30)),Listados!$U$3:$V$11,2,FALSE),"")</f>
        <v/>
      </c>
      <c r="AK30" s="48">
        <f t="shared" si="10"/>
        <v>100</v>
      </c>
      <c r="AL30" s="356"/>
      <c r="AM30" s="357"/>
      <c r="AN30" s="173">
        <f>+IF(AND(Q30="Preventivo",AM25="Fuerte"),2,IF(AND(Q30="Preventivo",AM25="Moderado"),1,0))</f>
        <v>0</v>
      </c>
      <c r="AO30" s="173">
        <f>+IF(AND(Q30="Detectivo",$AM25="Fuerte"),2,IF(AND(Q30="Detectivo",$AM25="Moderado"),1,IF(AND(Q30="Preventivo",$AM25="Fuerte"),1,0)))</f>
        <v>0</v>
      </c>
      <c r="AP30" s="173">
        <f>+K25-AN30</f>
        <v>1</v>
      </c>
      <c r="AQ30" s="173">
        <f>+M25-AO30</f>
        <v>5</v>
      </c>
      <c r="AR30" s="347"/>
      <c r="AS30" s="347"/>
      <c r="AT30" s="347"/>
      <c r="AU30" s="347"/>
      <c r="AV30" s="311"/>
      <c r="AW30" s="312"/>
      <c r="AX30" s="313"/>
      <c r="AY30" s="311"/>
      <c r="AZ30" s="312"/>
      <c r="BA30" s="313"/>
      <c r="BB30" s="311"/>
      <c r="BC30" s="312"/>
      <c r="BD30" s="313"/>
    </row>
    <row r="31" spans="1:56" ht="197.25" customHeight="1" thickBot="1">
      <c r="A31" s="328">
        <v>5</v>
      </c>
      <c r="B31" s="331" t="s">
        <v>89</v>
      </c>
      <c r="C31" s="332" t="str">
        <f>IFERROR(VLOOKUP(B31,Listados!B$3:C$20,2,FALSE),"")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31" s="333" t="s">
        <v>217</v>
      </c>
      <c r="E31" s="203" t="s">
        <v>62</v>
      </c>
      <c r="F31" s="203"/>
      <c r="G31" s="204" t="s">
        <v>218</v>
      </c>
      <c r="H31" s="204" t="s">
        <v>16</v>
      </c>
      <c r="I31" s="204" t="s">
        <v>219</v>
      </c>
      <c r="J31" s="331" t="s">
        <v>21</v>
      </c>
      <c r="K31" s="348">
        <f>+VLOOKUP(J31,Listados!$K$8:$L$12,2,0)</f>
        <v>1</v>
      </c>
      <c r="L31" s="351" t="s">
        <v>54</v>
      </c>
      <c r="M31" s="348">
        <f>+VLOOKUP(L31,Listados!$K$13:$L$17,2,0)</f>
        <v>4</v>
      </c>
      <c r="N31" s="347" t="str">
        <f>IF(AND(J31&lt;&gt;"",L31&lt;&gt;""),VLOOKUP(J31&amp;L31,Listados!$M$3:$N$27,2,FALSE),"")</f>
        <v>Alto</v>
      </c>
      <c r="O31" s="218" t="s">
        <v>220</v>
      </c>
      <c r="P31" s="216" t="s">
        <v>218</v>
      </c>
      <c r="Q31" s="204" t="s">
        <v>20</v>
      </c>
      <c r="R31" s="215"/>
      <c r="S31" s="27" t="str">
        <f t="shared" si="0"/>
        <v/>
      </c>
      <c r="T31" s="215"/>
      <c r="U31" s="27" t="str">
        <f t="shared" si="1"/>
        <v/>
      </c>
      <c r="V31" s="208"/>
      <c r="W31" s="27" t="str">
        <f t="shared" si="2"/>
        <v/>
      </c>
      <c r="X31" s="208"/>
      <c r="Y31" s="27" t="str">
        <f t="shared" si="3"/>
        <v/>
      </c>
      <c r="Z31" s="208"/>
      <c r="AA31" s="27" t="str">
        <f t="shared" si="4"/>
        <v/>
      </c>
      <c r="AB31" s="208"/>
      <c r="AC31" s="27" t="str">
        <f t="shared" si="5"/>
        <v/>
      </c>
      <c r="AD31" s="208"/>
      <c r="AE31" s="27" t="str">
        <f t="shared" si="6"/>
        <v/>
      </c>
      <c r="AF31" s="48" t="str">
        <f t="shared" si="7"/>
        <v/>
      </c>
      <c r="AG31" s="48" t="str">
        <f t="shared" si="8"/>
        <v/>
      </c>
      <c r="AH31" s="209"/>
      <c r="AI31" s="210" t="str">
        <f t="shared" si="9"/>
        <v>Débil</v>
      </c>
      <c r="AJ31" s="21" t="str">
        <f>IFERROR(VLOOKUP((CONCATENATE(AG31,AI31)),Listados!$U$3:$V$11,2,FALSE),"")</f>
        <v/>
      </c>
      <c r="AK31" s="48">
        <f t="shared" si="10"/>
        <v>100</v>
      </c>
      <c r="AL31" s="354">
        <f>AVERAGE(AK31:AK36)</f>
        <v>100</v>
      </c>
      <c r="AM31" s="356" t="str">
        <f>IF(AL31&lt;=50, "Débil", IF(AL31&lt;=99,"Moderado","Fuerte"))</f>
        <v>Fuerte</v>
      </c>
      <c r="AN31" s="173">
        <f>+IF(AND(Q31="Preventivo",AM31="Fuerte"),2,IF(AND(Q31="Preventivo",AM31="Moderado"),1,0))</f>
        <v>2</v>
      </c>
      <c r="AO31" s="173">
        <f>+IF(AND(Q31="Detectivo",$AM31="Fuerte"),2,IF(AND(Q31="Detectivo",$AM31="Moderado"),1,IF(AND(Q31="Preventivo",$AM31="Fuerte"),1,0)))</f>
        <v>1</v>
      </c>
      <c r="AP31" s="173">
        <f>+K31-AN31</f>
        <v>-1</v>
      </c>
      <c r="AQ31" s="173">
        <f>+M31-AO31</f>
        <v>3</v>
      </c>
      <c r="AR31" s="345" t="str">
        <f>+VLOOKUP(MIN(AP31,AP32,AP33,AP34,AP35,AP36),Listados!$J$18:$K$24,2,TRUE)</f>
        <v>Rara Vez</v>
      </c>
      <c r="AS31" s="345" t="str">
        <f>+VLOOKUP(MIN(AQ31,AQ32,AQ33,AQ34,AQ35,AQ36),Listados!$J$26:$K$32,2,TRUE)</f>
        <v>Moderado</v>
      </c>
      <c r="AT31" s="345" t="str">
        <f>IF(AND(AR31&lt;&gt;"",AS31&lt;&gt;""),VLOOKUP(AR31&amp;AS31,Listados!$M$3:$N$27,2,FALSE),"")</f>
        <v>Moderado</v>
      </c>
      <c r="AU31" s="345" t="str">
        <f>+VLOOKUP(AT31,Listados!$P$3:$Q$6,2,FALSE)</f>
        <v xml:space="preserve"> Reducir el riesgo</v>
      </c>
      <c r="AV31" s="311"/>
      <c r="AW31" s="312"/>
      <c r="AX31" s="313"/>
      <c r="AY31" s="311"/>
      <c r="AZ31" s="312"/>
      <c r="BA31" s="313"/>
      <c r="BB31" s="311"/>
      <c r="BC31" s="312"/>
      <c r="BD31" s="313"/>
    </row>
    <row r="32" spans="1:56" ht="333.75" customHeight="1" thickBot="1">
      <c r="A32" s="329"/>
      <c r="B32" s="331"/>
      <c r="C32" s="332"/>
      <c r="D32" s="333"/>
      <c r="E32" s="203"/>
      <c r="F32" s="203"/>
      <c r="G32" s="204" t="s">
        <v>221</v>
      </c>
      <c r="H32" s="204" t="s">
        <v>16</v>
      </c>
      <c r="I32" s="204" t="s">
        <v>222</v>
      </c>
      <c r="J32" s="331"/>
      <c r="K32" s="349"/>
      <c r="L32" s="352"/>
      <c r="M32" s="349"/>
      <c r="N32" s="353"/>
      <c r="O32" s="218" t="s">
        <v>223</v>
      </c>
      <c r="P32" s="216" t="s">
        <v>221</v>
      </c>
      <c r="Q32" s="204" t="s">
        <v>20</v>
      </c>
      <c r="R32" s="215"/>
      <c r="S32" s="27" t="str">
        <f t="shared" si="0"/>
        <v/>
      </c>
      <c r="T32" s="215"/>
      <c r="U32" s="27" t="str">
        <f t="shared" si="1"/>
        <v/>
      </c>
      <c r="V32" s="208"/>
      <c r="W32" s="27" t="str">
        <f t="shared" si="2"/>
        <v/>
      </c>
      <c r="X32" s="208"/>
      <c r="Y32" s="27" t="str">
        <f t="shared" si="3"/>
        <v/>
      </c>
      <c r="Z32" s="208"/>
      <c r="AA32" s="27" t="str">
        <f t="shared" si="4"/>
        <v/>
      </c>
      <c r="AB32" s="208"/>
      <c r="AC32" s="27" t="str">
        <f t="shared" si="5"/>
        <v/>
      </c>
      <c r="AD32" s="208"/>
      <c r="AE32" s="27" t="str">
        <f t="shared" si="6"/>
        <v/>
      </c>
      <c r="AF32" s="48" t="str">
        <f t="shared" si="7"/>
        <v/>
      </c>
      <c r="AG32" s="48" t="str">
        <f t="shared" si="8"/>
        <v/>
      </c>
      <c r="AH32" s="209"/>
      <c r="AI32" s="210" t="str">
        <f t="shared" si="9"/>
        <v>Débil</v>
      </c>
      <c r="AJ32" s="21" t="str">
        <f>IFERROR(VLOOKUP((CONCATENATE(AG32,AI32)),Listados!$U$3:$V$11,2,FALSE),"")</f>
        <v/>
      </c>
      <c r="AK32" s="48">
        <f t="shared" si="10"/>
        <v>100</v>
      </c>
      <c r="AL32" s="355"/>
      <c r="AM32" s="357"/>
      <c r="AN32" s="173">
        <f>+IF(AND(Q32="Preventivo",AM31="Fuerte"),2,IF(AND(Q32="Preventivo",AM31="Moderado"),1,0))</f>
        <v>2</v>
      </c>
      <c r="AO32" s="173">
        <f>+IF(AND(Q32="Detectivo",$AM31="Fuerte"),2,IF(AND(Q32="Detectivo",$AM31="Moderado"),1,IF(AND(Q32="Preventivo",$AM31="Fuerte"),1,0)))</f>
        <v>1</v>
      </c>
      <c r="AP32" s="173">
        <f>+K31-AN32</f>
        <v>-1</v>
      </c>
      <c r="AQ32" s="173">
        <f>+M31-AO32</f>
        <v>3</v>
      </c>
      <c r="AR32" s="346"/>
      <c r="AS32" s="346"/>
      <c r="AT32" s="346"/>
      <c r="AU32" s="346"/>
      <c r="AV32" s="311"/>
      <c r="AW32" s="312"/>
      <c r="AX32" s="313"/>
      <c r="AY32" s="311"/>
      <c r="AZ32" s="312"/>
      <c r="BA32" s="313"/>
      <c r="BB32" s="311"/>
      <c r="BC32" s="312"/>
      <c r="BD32" s="313"/>
    </row>
    <row r="33" spans="1:56" ht="296.25" customHeight="1" thickBot="1">
      <c r="A33" s="329"/>
      <c r="B33" s="331"/>
      <c r="C33" s="332"/>
      <c r="D33" s="333"/>
      <c r="E33" s="203"/>
      <c r="F33" s="203"/>
      <c r="G33" s="204" t="s">
        <v>224</v>
      </c>
      <c r="H33" s="204" t="s">
        <v>16</v>
      </c>
      <c r="I33" s="204" t="s">
        <v>222</v>
      </c>
      <c r="J33" s="331"/>
      <c r="K33" s="349"/>
      <c r="L33" s="352"/>
      <c r="M33" s="349"/>
      <c r="N33" s="353"/>
      <c r="O33" s="218" t="s">
        <v>223</v>
      </c>
      <c r="P33" s="216" t="s">
        <v>224</v>
      </c>
      <c r="Q33" s="204" t="s">
        <v>20</v>
      </c>
      <c r="R33" s="215"/>
      <c r="S33" s="27" t="str">
        <f t="shared" si="0"/>
        <v/>
      </c>
      <c r="T33" s="215"/>
      <c r="U33" s="27" t="str">
        <f t="shared" si="1"/>
        <v/>
      </c>
      <c r="V33" s="208"/>
      <c r="W33" s="27" t="str">
        <f t="shared" si="2"/>
        <v/>
      </c>
      <c r="X33" s="208"/>
      <c r="Y33" s="27" t="str">
        <f t="shared" si="3"/>
        <v/>
      </c>
      <c r="Z33" s="208"/>
      <c r="AA33" s="27" t="str">
        <f t="shared" si="4"/>
        <v/>
      </c>
      <c r="AB33" s="208"/>
      <c r="AC33" s="27" t="str">
        <f t="shared" si="5"/>
        <v/>
      </c>
      <c r="AD33" s="208"/>
      <c r="AE33" s="27" t="str">
        <f t="shared" si="6"/>
        <v/>
      </c>
      <c r="AF33" s="48" t="str">
        <f t="shared" si="7"/>
        <v/>
      </c>
      <c r="AG33" s="48" t="str">
        <f t="shared" si="8"/>
        <v/>
      </c>
      <c r="AH33" s="209"/>
      <c r="AI33" s="210" t="str">
        <f t="shared" si="9"/>
        <v>Débil</v>
      </c>
      <c r="AJ33" s="21" t="str">
        <f>IFERROR(VLOOKUP((CONCATENATE(AG33,AI33)),Listados!$U$3:$V$11,2,FALSE),"")</f>
        <v/>
      </c>
      <c r="AK33" s="48">
        <f t="shared" si="10"/>
        <v>100</v>
      </c>
      <c r="AL33" s="355"/>
      <c r="AM33" s="357"/>
      <c r="AN33" s="173">
        <f>+IF(AND(Q33="Preventivo",AM31="Fuerte"),2,IF(AND(Q33="Preventivo",AM31="Moderado"),1,0))</f>
        <v>2</v>
      </c>
      <c r="AO33" s="173">
        <f>+IF(AND(Q33="Detectivo",$AM31="Fuerte"),2,IF(AND(Q33="Detectivo",$AM31="Moderado"),1,IF(AND(Q33="Preventivo",$AM31="Fuerte"),1,0)))</f>
        <v>1</v>
      </c>
      <c r="AP33" s="173">
        <f>+K31-AN33</f>
        <v>-1</v>
      </c>
      <c r="AQ33" s="173">
        <f>+M31-AO33</f>
        <v>3</v>
      </c>
      <c r="AR33" s="346"/>
      <c r="AS33" s="346"/>
      <c r="AT33" s="346"/>
      <c r="AU33" s="346"/>
      <c r="AV33" s="311"/>
      <c r="AW33" s="312"/>
      <c r="AX33" s="313"/>
      <c r="AY33" s="311"/>
      <c r="AZ33" s="312"/>
      <c r="BA33" s="313"/>
      <c r="BB33" s="311"/>
      <c r="BC33" s="312"/>
      <c r="BD33" s="313"/>
    </row>
    <row r="34" spans="1:56" ht="223.5" customHeight="1" thickBot="1">
      <c r="A34" s="329"/>
      <c r="B34" s="331"/>
      <c r="C34" s="332"/>
      <c r="D34" s="333"/>
      <c r="E34" s="203"/>
      <c r="F34" s="203"/>
      <c r="G34" s="204" t="s">
        <v>225</v>
      </c>
      <c r="H34" s="204" t="s">
        <v>30</v>
      </c>
      <c r="I34" s="204" t="s">
        <v>226</v>
      </c>
      <c r="J34" s="331"/>
      <c r="K34" s="349"/>
      <c r="L34" s="352"/>
      <c r="M34" s="349"/>
      <c r="N34" s="353"/>
      <c r="O34" s="218" t="s">
        <v>227</v>
      </c>
      <c r="P34" s="216" t="s">
        <v>225</v>
      </c>
      <c r="Q34" s="204" t="s">
        <v>20</v>
      </c>
      <c r="R34" s="215"/>
      <c r="S34" s="27" t="str">
        <f t="shared" si="0"/>
        <v/>
      </c>
      <c r="T34" s="215"/>
      <c r="U34" s="27" t="str">
        <f t="shared" si="1"/>
        <v/>
      </c>
      <c r="V34" s="208"/>
      <c r="W34" s="27" t="str">
        <f t="shared" si="2"/>
        <v/>
      </c>
      <c r="X34" s="208"/>
      <c r="Y34" s="27" t="str">
        <f t="shared" si="3"/>
        <v/>
      </c>
      <c r="Z34" s="208"/>
      <c r="AA34" s="27" t="str">
        <f t="shared" si="4"/>
        <v/>
      </c>
      <c r="AB34" s="208"/>
      <c r="AC34" s="27" t="str">
        <f t="shared" si="5"/>
        <v/>
      </c>
      <c r="AD34" s="208"/>
      <c r="AE34" s="27" t="str">
        <f t="shared" si="6"/>
        <v/>
      </c>
      <c r="AF34" s="48" t="str">
        <f t="shared" si="7"/>
        <v/>
      </c>
      <c r="AG34" s="48" t="str">
        <f t="shared" si="8"/>
        <v/>
      </c>
      <c r="AH34" s="209"/>
      <c r="AI34" s="210" t="str">
        <f t="shared" si="9"/>
        <v>Débil</v>
      </c>
      <c r="AJ34" s="21" t="str">
        <f>IFERROR(VLOOKUP((CONCATENATE(AG34,AI34)),Listados!$U$3:$V$11,2,FALSE),"")</f>
        <v/>
      </c>
      <c r="AK34" s="48">
        <f t="shared" si="10"/>
        <v>100</v>
      </c>
      <c r="AL34" s="355"/>
      <c r="AM34" s="357"/>
      <c r="AN34" s="173">
        <f>+IF(AND(Q34="Preventivo",AM31="Fuerte"),2,IF(AND(Q34="Preventivo",AM31="Moderado"),1,0))</f>
        <v>2</v>
      </c>
      <c r="AO34" s="173">
        <f>+IF(AND(Q34="Detectivo",$AM31="Fuerte"),2,IF(AND(Q34="Detectivo",$AM31="Moderado"),1,IF(AND(Q34="Preventivo",$AM31="Fuerte"),1,0)))</f>
        <v>1</v>
      </c>
      <c r="AP34" s="173">
        <f>+K31-AN34</f>
        <v>-1</v>
      </c>
      <c r="AQ34" s="173">
        <f>+M31-AO34</f>
        <v>3</v>
      </c>
      <c r="AR34" s="346"/>
      <c r="AS34" s="346"/>
      <c r="AT34" s="346"/>
      <c r="AU34" s="346"/>
      <c r="AV34" s="311"/>
      <c r="AW34" s="312"/>
      <c r="AX34" s="313"/>
      <c r="AY34" s="311"/>
      <c r="AZ34" s="312"/>
      <c r="BA34" s="313"/>
      <c r="BB34" s="311"/>
      <c r="BC34" s="312"/>
      <c r="BD34" s="313"/>
    </row>
    <row r="35" spans="1:56" ht="15.75" thickBot="1">
      <c r="A35" s="329"/>
      <c r="B35" s="331"/>
      <c r="C35" s="332"/>
      <c r="D35" s="333"/>
      <c r="E35" s="203"/>
      <c r="F35" s="203"/>
      <c r="G35" s="204"/>
      <c r="H35" s="204"/>
      <c r="I35" s="204"/>
      <c r="J35" s="331"/>
      <c r="K35" s="349"/>
      <c r="L35" s="352"/>
      <c r="M35" s="349"/>
      <c r="N35" s="353"/>
      <c r="O35" s="47"/>
      <c r="P35" s="102"/>
      <c r="Q35" s="57"/>
      <c r="R35" s="215"/>
      <c r="S35" s="27" t="str">
        <f t="shared" si="0"/>
        <v/>
      </c>
      <c r="T35" s="215"/>
      <c r="U35" s="27" t="str">
        <f t="shared" si="1"/>
        <v/>
      </c>
      <c r="V35" s="208"/>
      <c r="W35" s="27" t="str">
        <f t="shared" si="2"/>
        <v/>
      </c>
      <c r="X35" s="208"/>
      <c r="Y35" s="27" t="str">
        <f t="shared" si="3"/>
        <v/>
      </c>
      <c r="Z35" s="208"/>
      <c r="AA35" s="27" t="str">
        <f t="shared" si="4"/>
        <v/>
      </c>
      <c r="AB35" s="208"/>
      <c r="AC35" s="27" t="str">
        <f t="shared" si="5"/>
        <v/>
      </c>
      <c r="AD35" s="208"/>
      <c r="AE35" s="27" t="str">
        <f t="shared" si="6"/>
        <v/>
      </c>
      <c r="AF35" s="48" t="str">
        <f t="shared" si="7"/>
        <v/>
      </c>
      <c r="AG35" s="48" t="str">
        <f t="shared" si="8"/>
        <v/>
      </c>
      <c r="AH35" s="209"/>
      <c r="AI35" s="210" t="str">
        <f t="shared" si="9"/>
        <v>Débil</v>
      </c>
      <c r="AJ35" s="21" t="str">
        <f>IFERROR(VLOOKUP((CONCATENATE(AG35,AI35)),Listados!$U$3:$V$11,2,FALSE),"")</f>
        <v/>
      </c>
      <c r="AK35" s="48">
        <f t="shared" si="10"/>
        <v>100</v>
      </c>
      <c r="AL35" s="355"/>
      <c r="AM35" s="357"/>
      <c r="AN35" s="173">
        <f>+IF(AND(Q35="Preventivo",AM31="Fuerte"),2,IF(AND(Q35="Preventivo",AM31="Moderado"),1,0))</f>
        <v>0</v>
      </c>
      <c r="AO35" s="173">
        <f>+IF(AND(Q35="Detectivo",$AM31="Fuerte"),2,IF(AND(Q35="Detectivo",$AM31="Moderado"),1,IF(AND(Q35="Preventivo",$AM31="Fuerte"),1,0)))</f>
        <v>0</v>
      </c>
      <c r="AP35" s="173">
        <f>+K31-AN35</f>
        <v>1</v>
      </c>
      <c r="AQ35" s="173">
        <f>+M31-AO35</f>
        <v>4</v>
      </c>
      <c r="AR35" s="346"/>
      <c r="AS35" s="346"/>
      <c r="AT35" s="346"/>
      <c r="AU35" s="346"/>
      <c r="AV35" s="311"/>
      <c r="AW35" s="312"/>
      <c r="AX35" s="313"/>
      <c r="AY35" s="311"/>
      <c r="AZ35" s="312"/>
      <c r="BA35" s="313"/>
      <c r="BB35" s="311"/>
      <c r="BC35" s="312"/>
      <c r="BD35" s="313"/>
    </row>
    <row r="36" spans="1:56" ht="15.75" thickBot="1">
      <c r="A36" s="330"/>
      <c r="B36" s="331"/>
      <c r="C36" s="332"/>
      <c r="D36" s="333"/>
      <c r="E36" s="203"/>
      <c r="F36" s="203"/>
      <c r="G36" s="204"/>
      <c r="H36" s="204"/>
      <c r="I36" s="204"/>
      <c r="J36" s="331"/>
      <c r="K36" s="350"/>
      <c r="L36" s="352"/>
      <c r="M36" s="350"/>
      <c r="N36" s="353"/>
      <c r="O36" s="101"/>
      <c r="P36" s="174"/>
      <c r="Q36" s="174"/>
      <c r="R36" s="215"/>
      <c r="S36" s="27" t="str">
        <f t="shared" si="0"/>
        <v/>
      </c>
      <c r="T36" s="215"/>
      <c r="U36" s="27" t="str">
        <f t="shared" si="1"/>
        <v/>
      </c>
      <c r="V36" s="208"/>
      <c r="W36" s="27" t="str">
        <f t="shared" si="2"/>
        <v/>
      </c>
      <c r="X36" s="208"/>
      <c r="Y36" s="27" t="str">
        <f t="shared" si="3"/>
        <v/>
      </c>
      <c r="Z36" s="208"/>
      <c r="AA36" s="27" t="str">
        <f t="shared" si="4"/>
        <v/>
      </c>
      <c r="AB36" s="208"/>
      <c r="AC36" s="27" t="str">
        <f t="shared" si="5"/>
        <v/>
      </c>
      <c r="AD36" s="208"/>
      <c r="AE36" s="27" t="str">
        <f t="shared" si="6"/>
        <v/>
      </c>
      <c r="AF36" s="48" t="str">
        <f t="shared" si="7"/>
        <v/>
      </c>
      <c r="AG36" s="48" t="str">
        <f t="shared" si="8"/>
        <v/>
      </c>
      <c r="AH36" s="209"/>
      <c r="AI36" s="210" t="str">
        <f t="shared" si="9"/>
        <v>Débil</v>
      </c>
      <c r="AJ36" s="21" t="str">
        <f>IFERROR(VLOOKUP((CONCATENATE(AG36,AI36)),Listados!$U$3:$V$11,2,FALSE),"")</f>
        <v/>
      </c>
      <c r="AK36" s="48">
        <f t="shared" si="10"/>
        <v>100</v>
      </c>
      <c r="AL36" s="356"/>
      <c r="AM36" s="357"/>
      <c r="AN36" s="173">
        <f>+IF(AND(Q36="Preventivo",AM31="Fuerte"),2,IF(AND(Q36="Preventivo",AM31="Moderado"),1,0))</f>
        <v>0</v>
      </c>
      <c r="AO36" s="173">
        <f>+IF(AND(Q36="Detectivo",$AM31="Fuerte"),2,IF(AND(Q36="Detectivo",$AM31="Moderado"),1,IF(AND(Q36="Preventivo",$AM31="Fuerte"),1,0)))</f>
        <v>0</v>
      </c>
      <c r="AP36" s="173">
        <f>+K31-AN36</f>
        <v>1</v>
      </c>
      <c r="AQ36" s="173">
        <f>+M31-AO36</f>
        <v>4</v>
      </c>
      <c r="AR36" s="347"/>
      <c r="AS36" s="347"/>
      <c r="AT36" s="347"/>
      <c r="AU36" s="347"/>
      <c r="AV36" s="311"/>
      <c r="AW36" s="312"/>
      <c r="AX36" s="313"/>
      <c r="AY36" s="311"/>
      <c r="AZ36" s="312"/>
      <c r="BA36" s="313"/>
      <c r="BB36" s="311"/>
      <c r="BC36" s="312"/>
      <c r="BD36" s="313"/>
    </row>
    <row r="37" spans="1:56" ht="358.5" customHeight="1" thickBot="1">
      <c r="A37" s="328">
        <v>6</v>
      </c>
      <c r="B37" s="331" t="s">
        <v>89</v>
      </c>
      <c r="C37" s="332" t="str">
        <f>IFERROR(VLOOKUP(B37,Listados!B$3:C$20,2,FALSE),"")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37" s="333" t="s">
        <v>228</v>
      </c>
      <c r="E37" s="203" t="s">
        <v>62</v>
      </c>
      <c r="F37" s="203"/>
      <c r="G37" s="204" t="s">
        <v>229</v>
      </c>
      <c r="H37" s="204" t="s">
        <v>16</v>
      </c>
      <c r="I37" s="204" t="s">
        <v>226</v>
      </c>
      <c r="J37" s="331" t="s">
        <v>21</v>
      </c>
      <c r="K37" s="348">
        <f>+VLOOKUP(J37,Listados!$K$8:$L$12,2,0)</f>
        <v>1</v>
      </c>
      <c r="L37" s="351" t="s">
        <v>54</v>
      </c>
      <c r="M37" s="348">
        <f>+VLOOKUP(L37,Listados!$K$13:$L$17,2,0)</f>
        <v>4</v>
      </c>
      <c r="N37" s="358" t="str">
        <f>IF(AND(J37&lt;&gt;"",L37&lt;&gt;""),VLOOKUP(J37&amp;L37,Listados!$M$3:$N$27,2,FALSE),"")</f>
        <v>Alto</v>
      </c>
      <c r="O37" s="219" t="s">
        <v>230</v>
      </c>
      <c r="P37" s="220" t="s">
        <v>229</v>
      </c>
      <c r="Q37" s="204" t="s">
        <v>20</v>
      </c>
      <c r="R37" s="215"/>
      <c r="S37" s="27" t="str">
        <f t="shared" si="0"/>
        <v/>
      </c>
      <c r="T37" s="215"/>
      <c r="U37" s="27" t="str">
        <f t="shared" si="1"/>
        <v/>
      </c>
      <c r="V37" s="208"/>
      <c r="W37" s="27" t="str">
        <f t="shared" si="2"/>
        <v/>
      </c>
      <c r="X37" s="208"/>
      <c r="Y37" s="27" t="str">
        <f t="shared" si="3"/>
        <v/>
      </c>
      <c r="Z37" s="208"/>
      <c r="AA37" s="27" t="str">
        <f t="shared" si="4"/>
        <v/>
      </c>
      <c r="AB37" s="208"/>
      <c r="AC37" s="27" t="str">
        <f t="shared" si="5"/>
        <v/>
      </c>
      <c r="AD37" s="208"/>
      <c r="AE37" s="27" t="str">
        <f t="shared" si="6"/>
        <v/>
      </c>
      <c r="AF37" s="48" t="str">
        <f t="shared" si="7"/>
        <v/>
      </c>
      <c r="AG37" s="48" t="str">
        <f t="shared" si="8"/>
        <v/>
      </c>
      <c r="AH37" s="209"/>
      <c r="AI37" s="210" t="str">
        <f t="shared" si="9"/>
        <v>Débil</v>
      </c>
      <c r="AJ37" s="21" t="str">
        <f>IFERROR(VLOOKUP((CONCATENATE(AG37,AI37)),Listados!$U$3:$V$11,2,FALSE),"")</f>
        <v/>
      </c>
      <c r="AK37" s="48">
        <f t="shared" si="10"/>
        <v>100</v>
      </c>
      <c r="AL37" s="354">
        <f>AVERAGE(AK37:AK42)</f>
        <v>100</v>
      </c>
      <c r="AM37" s="356" t="str">
        <f>IF(AL37&lt;=50, "Débil", IF(AL37&lt;=99,"Moderado","Fuerte"))</f>
        <v>Fuerte</v>
      </c>
      <c r="AN37" s="173">
        <f>+IF(AND(Q37="Preventivo",AM37="Fuerte"),2,IF(AND(Q37="Preventivo",AM37="Moderado"),1,0))</f>
        <v>2</v>
      </c>
      <c r="AO37" s="173">
        <f t="shared" ref="AO37:AO77" si="11">+IF(AND(Q37="Detectivo",$AM$7="Fuerte"),2,IF(AND(Q37="Detectivo",$AM$7="Moderado"),1,IF(AND(Q37="Preventivo",$AM$7="Fuerte"),1,0)))</f>
        <v>1</v>
      </c>
      <c r="AP37" s="173">
        <f>+K37-AN37</f>
        <v>-1</v>
      </c>
      <c r="AQ37" s="173">
        <f>+M37-AO37</f>
        <v>3</v>
      </c>
      <c r="AR37" s="345" t="str">
        <f>+VLOOKUP(MIN(AP37,AP38,AP39,AP40,AP41,AP42),Listados!$J$18:$K$24,2,TRUE)</f>
        <v>Rara Vez</v>
      </c>
      <c r="AS37" s="345" t="str">
        <f>+VLOOKUP(MIN(AQ37,AQ38,AQ39,AQ40,AQ41,AQ42),Listados!$J$26:$K$32,2,TRUE)</f>
        <v>Moderado</v>
      </c>
      <c r="AT37" s="345" t="str">
        <f>IF(AND(AR37&lt;&gt;"",AS37&lt;&gt;""),VLOOKUP(AR37&amp;AS37,Listados!$M$3:$N$27,2,FALSE),"")</f>
        <v>Moderado</v>
      </c>
      <c r="AU37" s="345" t="str">
        <f>+VLOOKUP(AT37,Listados!$P$3:$Q$6,2,FALSE)</f>
        <v xml:space="preserve"> Reducir el riesgo</v>
      </c>
      <c r="AV37" s="311"/>
      <c r="AW37" s="312"/>
      <c r="AX37" s="313"/>
      <c r="AY37" s="311"/>
      <c r="AZ37" s="312"/>
      <c r="BA37" s="313"/>
      <c r="BB37" s="311"/>
      <c r="BC37" s="312"/>
      <c r="BD37" s="313"/>
    </row>
    <row r="38" spans="1:56" ht="269.25" customHeight="1" thickBot="1">
      <c r="A38" s="329"/>
      <c r="B38" s="331"/>
      <c r="C38" s="332"/>
      <c r="D38" s="333"/>
      <c r="E38" s="203"/>
      <c r="F38" s="203"/>
      <c r="G38" s="204" t="s">
        <v>225</v>
      </c>
      <c r="H38" s="204" t="s">
        <v>30</v>
      </c>
      <c r="I38" s="204" t="s">
        <v>231</v>
      </c>
      <c r="J38" s="331"/>
      <c r="K38" s="349"/>
      <c r="L38" s="352"/>
      <c r="M38" s="349"/>
      <c r="N38" s="359"/>
      <c r="O38" s="219" t="s">
        <v>232</v>
      </c>
      <c r="P38" s="202" t="s">
        <v>225</v>
      </c>
      <c r="Q38" s="204" t="s">
        <v>20</v>
      </c>
      <c r="R38" s="215"/>
      <c r="S38" s="27" t="str">
        <f t="shared" si="0"/>
        <v/>
      </c>
      <c r="T38" s="215"/>
      <c r="U38" s="27" t="str">
        <f t="shared" si="1"/>
        <v/>
      </c>
      <c r="V38" s="208"/>
      <c r="W38" s="27" t="str">
        <f t="shared" si="2"/>
        <v/>
      </c>
      <c r="X38" s="208"/>
      <c r="Y38" s="27" t="str">
        <f t="shared" si="3"/>
        <v/>
      </c>
      <c r="Z38" s="208"/>
      <c r="AA38" s="27" t="str">
        <f t="shared" si="4"/>
        <v/>
      </c>
      <c r="AB38" s="208"/>
      <c r="AC38" s="27" t="str">
        <f t="shared" si="5"/>
        <v/>
      </c>
      <c r="AD38" s="208"/>
      <c r="AE38" s="27" t="str">
        <f t="shared" si="6"/>
        <v/>
      </c>
      <c r="AF38" s="48" t="str">
        <f t="shared" si="7"/>
        <v/>
      </c>
      <c r="AG38" s="48" t="str">
        <f t="shared" si="8"/>
        <v/>
      </c>
      <c r="AH38" s="209"/>
      <c r="AI38" s="210" t="str">
        <f t="shared" si="9"/>
        <v>Débil</v>
      </c>
      <c r="AJ38" s="21" t="str">
        <f>IFERROR(VLOOKUP((CONCATENATE(AG38,AI38)),Listados!$U$3:$V$11,2,FALSE),"")</f>
        <v/>
      </c>
      <c r="AK38" s="48">
        <f t="shared" si="10"/>
        <v>100</v>
      </c>
      <c r="AL38" s="355"/>
      <c r="AM38" s="357"/>
      <c r="AN38" s="173">
        <f>+IF(AND(Q38="Preventivo",AM37="Fuerte"),2,IF(AND(Q38="Preventivo",AM37="Moderado"),1,0))</f>
        <v>2</v>
      </c>
      <c r="AO38" s="173">
        <f t="shared" si="11"/>
        <v>1</v>
      </c>
      <c r="AP38" s="173">
        <f>+K37-AN38</f>
        <v>-1</v>
      </c>
      <c r="AQ38" s="173">
        <f>+M37-AO38</f>
        <v>3</v>
      </c>
      <c r="AR38" s="346"/>
      <c r="AS38" s="346"/>
      <c r="AT38" s="346"/>
      <c r="AU38" s="346"/>
      <c r="AV38" s="311"/>
      <c r="AW38" s="312"/>
      <c r="AX38" s="313"/>
      <c r="AY38" s="311"/>
      <c r="AZ38" s="312"/>
      <c r="BA38" s="313"/>
      <c r="BB38" s="311"/>
      <c r="BC38" s="312"/>
      <c r="BD38" s="313"/>
    </row>
    <row r="39" spans="1:56" ht="363.75" customHeight="1" thickBot="1">
      <c r="A39" s="329"/>
      <c r="B39" s="331"/>
      <c r="C39" s="332"/>
      <c r="D39" s="333"/>
      <c r="E39" s="203"/>
      <c r="F39" s="203"/>
      <c r="G39" s="204" t="s">
        <v>233</v>
      </c>
      <c r="H39" s="204" t="s">
        <v>16</v>
      </c>
      <c r="I39" s="204" t="s">
        <v>222</v>
      </c>
      <c r="J39" s="331"/>
      <c r="K39" s="349"/>
      <c r="L39" s="352"/>
      <c r="M39" s="349"/>
      <c r="N39" s="359"/>
      <c r="O39" s="219" t="s">
        <v>234</v>
      </c>
      <c r="P39" s="220" t="s">
        <v>233</v>
      </c>
      <c r="Q39" s="204" t="s">
        <v>20</v>
      </c>
      <c r="R39" s="215"/>
      <c r="S39" s="27" t="str">
        <f t="shared" si="0"/>
        <v/>
      </c>
      <c r="T39" s="215"/>
      <c r="U39" s="27" t="str">
        <f t="shared" si="1"/>
        <v/>
      </c>
      <c r="V39" s="208"/>
      <c r="W39" s="27" t="str">
        <f t="shared" si="2"/>
        <v/>
      </c>
      <c r="X39" s="208"/>
      <c r="Y39" s="27" t="str">
        <f t="shared" si="3"/>
        <v/>
      </c>
      <c r="Z39" s="208"/>
      <c r="AA39" s="27" t="str">
        <f t="shared" si="4"/>
        <v/>
      </c>
      <c r="AB39" s="208"/>
      <c r="AC39" s="27" t="str">
        <f t="shared" si="5"/>
        <v/>
      </c>
      <c r="AD39" s="208"/>
      <c r="AE39" s="27" t="str">
        <f t="shared" si="6"/>
        <v/>
      </c>
      <c r="AF39" s="48" t="str">
        <f t="shared" si="7"/>
        <v/>
      </c>
      <c r="AG39" s="48" t="str">
        <f t="shared" si="8"/>
        <v/>
      </c>
      <c r="AH39" s="209"/>
      <c r="AI39" s="210" t="str">
        <f t="shared" si="9"/>
        <v>Débil</v>
      </c>
      <c r="AJ39" s="21" t="str">
        <f>IFERROR(VLOOKUP((CONCATENATE(AG39,AI39)),Listados!$U$3:$V$11,2,FALSE),"")</f>
        <v/>
      </c>
      <c r="AK39" s="48">
        <f t="shared" si="10"/>
        <v>100</v>
      </c>
      <c r="AL39" s="355"/>
      <c r="AM39" s="357"/>
      <c r="AN39" s="173">
        <f>+IF(AND(Q39="Preventivo",AM37="Fuerte"),2,IF(AND(Q39="Preventivo",AM37="Moderado"),1,0))</f>
        <v>2</v>
      </c>
      <c r="AO39" s="173">
        <f t="shared" si="11"/>
        <v>1</v>
      </c>
      <c r="AP39" s="173">
        <f>+K37-AN39</f>
        <v>-1</v>
      </c>
      <c r="AQ39" s="173">
        <f>+M37-AO39</f>
        <v>3</v>
      </c>
      <c r="AR39" s="346"/>
      <c r="AS39" s="346"/>
      <c r="AT39" s="346"/>
      <c r="AU39" s="346"/>
      <c r="AV39" s="311"/>
      <c r="AW39" s="312"/>
      <c r="AX39" s="313"/>
      <c r="AY39" s="311"/>
      <c r="AZ39" s="312"/>
      <c r="BA39" s="313"/>
      <c r="BB39" s="311"/>
      <c r="BC39" s="312"/>
      <c r="BD39" s="313"/>
    </row>
    <row r="40" spans="1:56" ht="313.5" customHeight="1" thickBot="1">
      <c r="A40" s="329"/>
      <c r="B40" s="331"/>
      <c r="C40" s="332"/>
      <c r="D40" s="333"/>
      <c r="E40" s="203"/>
      <c r="F40" s="203"/>
      <c r="G40" s="204" t="s">
        <v>235</v>
      </c>
      <c r="H40" s="204" t="s">
        <v>16</v>
      </c>
      <c r="I40" s="204" t="s">
        <v>236</v>
      </c>
      <c r="J40" s="331"/>
      <c r="K40" s="349"/>
      <c r="L40" s="352"/>
      <c r="M40" s="349"/>
      <c r="N40" s="359"/>
      <c r="O40" s="219" t="s">
        <v>237</v>
      </c>
      <c r="P40" s="202" t="s">
        <v>235</v>
      </c>
      <c r="Q40" s="204" t="s">
        <v>20</v>
      </c>
      <c r="R40" s="215"/>
      <c r="S40" s="27" t="str">
        <f t="shared" si="0"/>
        <v/>
      </c>
      <c r="T40" s="215"/>
      <c r="U40" s="27" t="str">
        <f t="shared" si="1"/>
        <v/>
      </c>
      <c r="V40" s="208"/>
      <c r="W40" s="27" t="str">
        <f t="shared" si="2"/>
        <v/>
      </c>
      <c r="X40" s="208"/>
      <c r="Y40" s="27" t="str">
        <f t="shared" si="3"/>
        <v/>
      </c>
      <c r="Z40" s="208"/>
      <c r="AA40" s="27" t="str">
        <f t="shared" si="4"/>
        <v/>
      </c>
      <c r="AB40" s="208"/>
      <c r="AC40" s="27" t="str">
        <f t="shared" si="5"/>
        <v/>
      </c>
      <c r="AD40" s="208"/>
      <c r="AE40" s="27" t="str">
        <f t="shared" si="6"/>
        <v/>
      </c>
      <c r="AF40" s="48" t="str">
        <f t="shared" si="7"/>
        <v/>
      </c>
      <c r="AG40" s="48" t="str">
        <f t="shared" si="8"/>
        <v/>
      </c>
      <c r="AH40" s="209"/>
      <c r="AI40" s="210" t="str">
        <f t="shared" si="9"/>
        <v>Débil</v>
      </c>
      <c r="AJ40" s="21" t="str">
        <f>IFERROR(VLOOKUP((CONCATENATE(AG40,AI40)),Listados!$U$3:$V$11,2,FALSE),"")</f>
        <v/>
      </c>
      <c r="AK40" s="48">
        <f t="shared" si="10"/>
        <v>100</v>
      </c>
      <c r="AL40" s="355"/>
      <c r="AM40" s="357"/>
      <c r="AN40" s="173">
        <f>+IF(AND(Q40="Preventivo",AM37="Fuerte"),2,IF(AND(Q40="Preventivo",AM37="Moderado"),1,0))</f>
        <v>2</v>
      </c>
      <c r="AO40" s="173">
        <f t="shared" si="11"/>
        <v>1</v>
      </c>
      <c r="AP40" s="173">
        <f>+K37-AN40</f>
        <v>-1</v>
      </c>
      <c r="AQ40" s="173">
        <f>+M37-AO40</f>
        <v>3</v>
      </c>
      <c r="AR40" s="346"/>
      <c r="AS40" s="346"/>
      <c r="AT40" s="346"/>
      <c r="AU40" s="346"/>
      <c r="AV40" s="311"/>
      <c r="AW40" s="312"/>
      <c r="AX40" s="313"/>
      <c r="AY40" s="311"/>
      <c r="AZ40" s="312"/>
      <c r="BA40" s="313"/>
      <c r="BB40" s="311"/>
      <c r="BC40" s="312"/>
      <c r="BD40" s="313"/>
    </row>
    <row r="41" spans="1:56" ht="180" customHeight="1" thickBot="1">
      <c r="A41" s="329"/>
      <c r="B41" s="331"/>
      <c r="C41" s="332"/>
      <c r="D41" s="333"/>
      <c r="E41" s="203"/>
      <c r="F41" s="203"/>
      <c r="G41" s="204" t="s">
        <v>224</v>
      </c>
      <c r="H41" s="204" t="s">
        <v>16</v>
      </c>
      <c r="I41" s="204" t="s">
        <v>238</v>
      </c>
      <c r="J41" s="331"/>
      <c r="K41" s="349"/>
      <c r="L41" s="352"/>
      <c r="M41" s="349"/>
      <c r="N41" s="359"/>
      <c r="O41" s="219" t="s">
        <v>239</v>
      </c>
      <c r="P41" s="202" t="s">
        <v>224</v>
      </c>
      <c r="Q41" s="204" t="s">
        <v>20</v>
      </c>
      <c r="R41" s="215"/>
      <c r="S41" s="27" t="str">
        <f t="shared" si="0"/>
        <v/>
      </c>
      <c r="T41" s="215"/>
      <c r="U41" s="27" t="str">
        <f t="shared" si="1"/>
        <v/>
      </c>
      <c r="V41" s="208"/>
      <c r="W41" s="27" t="str">
        <f t="shared" si="2"/>
        <v/>
      </c>
      <c r="X41" s="208"/>
      <c r="Y41" s="27" t="str">
        <f t="shared" si="3"/>
        <v/>
      </c>
      <c r="Z41" s="208"/>
      <c r="AA41" s="27" t="str">
        <f t="shared" si="4"/>
        <v/>
      </c>
      <c r="AB41" s="208"/>
      <c r="AC41" s="27" t="str">
        <f t="shared" si="5"/>
        <v/>
      </c>
      <c r="AD41" s="208"/>
      <c r="AE41" s="27" t="str">
        <f t="shared" si="6"/>
        <v/>
      </c>
      <c r="AF41" s="48" t="str">
        <f t="shared" si="7"/>
        <v/>
      </c>
      <c r="AG41" s="48" t="str">
        <f t="shared" si="8"/>
        <v/>
      </c>
      <c r="AH41" s="209"/>
      <c r="AI41" s="210" t="str">
        <f t="shared" si="9"/>
        <v>Débil</v>
      </c>
      <c r="AJ41" s="21" t="str">
        <f>IFERROR(VLOOKUP((CONCATENATE(AG41,AI41)),Listados!$U$3:$V$11,2,FALSE),"")</f>
        <v/>
      </c>
      <c r="AK41" s="48">
        <f t="shared" si="10"/>
        <v>100</v>
      </c>
      <c r="AL41" s="355"/>
      <c r="AM41" s="357"/>
      <c r="AN41" s="173">
        <f>+IF(AND(Q41="Preventivo",AM37="Fuerte"),2,IF(AND(Q41="Preventivo",AM37="Moderado"),1,0))</f>
        <v>2</v>
      </c>
      <c r="AO41" s="173">
        <f t="shared" si="11"/>
        <v>1</v>
      </c>
      <c r="AP41" s="173">
        <f>+K37-AN41</f>
        <v>-1</v>
      </c>
      <c r="AQ41" s="173">
        <f>+M37-AO41</f>
        <v>3</v>
      </c>
      <c r="AR41" s="346"/>
      <c r="AS41" s="346"/>
      <c r="AT41" s="346"/>
      <c r="AU41" s="346"/>
      <c r="AV41" s="311"/>
      <c r="AW41" s="312"/>
      <c r="AX41" s="313"/>
      <c r="AY41" s="311"/>
      <c r="AZ41" s="312"/>
      <c r="BA41" s="313"/>
      <c r="BB41" s="311"/>
      <c r="BC41" s="312"/>
      <c r="BD41" s="313"/>
    </row>
    <row r="42" spans="1:56" ht="15.75" thickBot="1">
      <c r="A42" s="330"/>
      <c r="B42" s="331"/>
      <c r="C42" s="332"/>
      <c r="D42" s="333"/>
      <c r="E42" s="203"/>
      <c r="F42" s="203"/>
      <c r="G42" s="204"/>
      <c r="H42" s="204"/>
      <c r="I42" s="204"/>
      <c r="J42" s="331"/>
      <c r="K42" s="350"/>
      <c r="L42" s="352"/>
      <c r="M42" s="350"/>
      <c r="N42" s="359"/>
      <c r="O42" s="203"/>
      <c r="P42" s="205"/>
      <c r="Q42" s="205"/>
      <c r="R42" s="215"/>
      <c r="S42" s="27" t="str">
        <f t="shared" si="0"/>
        <v/>
      </c>
      <c r="T42" s="215"/>
      <c r="U42" s="27" t="str">
        <f t="shared" si="1"/>
        <v/>
      </c>
      <c r="V42" s="208"/>
      <c r="W42" s="27" t="str">
        <f t="shared" si="2"/>
        <v/>
      </c>
      <c r="X42" s="208"/>
      <c r="Y42" s="27" t="str">
        <f t="shared" si="3"/>
        <v/>
      </c>
      <c r="Z42" s="208"/>
      <c r="AA42" s="27" t="str">
        <f t="shared" si="4"/>
        <v/>
      </c>
      <c r="AB42" s="208"/>
      <c r="AC42" s="27" t="str">
        <f t="shared" si="5"/>
        <v/>
      </c>
      <c r="AD42" s="208"/>
      <c r="AE42" s="27" t="str">
        <f t="shared" si="6"/>
        <v/>
      </c>
      <c r="AF42" s="48" t="str">
        <f t="shared" si="7"/>
        <v/>
      </c>
      <c r="AG42" s="48" t="str">
        <f t="shared" si="8"/>
        <v/>
      </c>
      <c r="AH42" s="209"/>
      <c r="AI42" s="210" t="str">
        <f t="shared" si="9"/>
        <v>Débil</v>
      </c>
      <c r="AJ42" s="21" t="str">
        <f>IFERROR(VLOOKUP((CONCATENATE(AG42,AI42)),Listados!$U$3:$V$11,2,FALSE),"")</f>
        <v/>
      </c>
      <c r="AK42" s="48">
        <f t="shared" si="10"/>
        <v>100</v>
      </c>
      <c r="AL42" s="356"/>
      <c r="AM42" s="357"/>
      <c r="AN42" s="173">
        <f>+IF(AND(Q42="Preventivo",AM37="Fuerte"),2,IF(AND(Q42="Preventivo",AM37="Moderado"),1,0))</f>
        <v>0</v>
      </c>
      <c r="AO42" s="173">
        <f t="shared" si="11"/>
        <v>0</v>
      </c>
      <c r="AP42" s="173">
        <f>+K37-AN42</f>
        <v>1</v>
      </c>
      <c r="AQ42" s="173">
        <f>+M37-AO42</f>
        <v>4</v>
      </c>
      <c r="AR42" s="347"/>
      <c r="AS42" s="347"/>
      <c r="AT42" s="347"/>
      <c r="AU42" s="347"/>
      <c r="AV42" s="311"/>
      <c r="AW42" s="312"/>
      <c r="AX42" s="313"/>
      <c r="AY42" s="311"/>
      <c r="AZ42" s="312"/>
      <c r="BA42" s="313"/>
      <c r="BB42" s="311"/>
      <c r="BC42" s="312"/>
      <c r="BD42" s="313"/>
    </row>
    <row r="43" spans="1:56" ht="129" thickBot="1">
      <c r="A43" s="328">
        <v>7</v>
      </c>
      <c r="B43" s="331" t="s">
        <v>98</v>
      </c>
      <c r="C43" s="332" t="str">
        <f>IFERROR(VLOOKUP(B43,Listados!B$3:C$20,2,FALSE),"")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43" s="333" t="s">
        <v>240</v>
      </c>
      <c r="E43" s="203" t="s">
        <v>29</v>
      </c>
      <c r="F43" s="203"/>
      <c r="G43" s="204" t="s">
        <v>241</v>
      </c>
      <c r="H43" s="204" t="s">
        <v>16</v>
      </c>
      <c r="I43" s="204" t="s">
        <v>242</v>
      </c>
      <c r="J43" s="331" t="s">
        <v>53</v>
      </c>
      <c r="K43" s="348">
        <f>+VLOOKUP(J43,Listados!$K$8:$L$12,2,0)</f>
        <v>4</v>
      </c>
      <c r="L43" s="351" t="s">
        <v>36</v>
      </c>
      <c r="M43" s="348">
        <f>+VLOOKUP(L43,Listados!$K$13:$L$17,2,0)</f>
        <v>3</v>
      </c>
      <c r="N43" s="358" t="str">
        <f>IF(AND(J43&lt;&gt;"",L43&lt;&gt;""),VLOOKUP(J43&amp;L43,Listados!$M$3:$N$27,2,FALSE),"")</f>
        <v>Alto</v>
      </c>
      <c r="O43" s="203" t="s">
        <v>243</v>
      </c>
      <c r="P43" s="203" t="s">
        <v>241</v>
      </c>
      <c r="Q43" s="204" t="s">
        <v>20</v>
      </c>
      <c r="R43" s="215"/>
      <c r="S43" s="27" t="str">
        <f t="shared" si="0"/>
        <v/>
      </c>
      <c r="T43" s="215"/>
      <c r="U43" s="27" t="str">
        <f t="shared" si="1"/>
        <v/>
      </c>
      <c r="V43" s="208"/>
      <c r="W43" s="27" t="str">
        <f t="shared" si="2"/>
        <v/>
      </c>
      <c r="X43" s="208"/>
      <c r="Y43" s="27" t="str">
        <f t="shared" si="3"/>
        <v/>
      </c>
      <c r="Z43" s="208"/>
      <c r="AA43" s="27" t="str">
        <f t="shared" si="4"/>
        <v/>
      </c>
      <c r="AB43" s="208"/>
      <c r="AC43" s="27" t="str">
        <f t="shared" si="5"/>
        <v/>
      </c>
      <c r="AD43" s="208"/>
      <c r="AE43" s="27" t="str">
        <f t="shared" si="6"/>
        <v/>
      </c>
      <c r="AF43" s="48" t="str">
        <f t="shared" si="7"/>
        <v/>
      </c>
      <c r="AG43" s="48" t="str">
        <f t="shared" si="8"/>
        <v/>
      </c>
      <c r="AH43" s="209"/>
      <c r="AI43" s="210" t="str">
        <f t="shared" si="9"/>
        <v>Débil</v>
      </c>
      <c r="AJ43" s="21" t="str">
        <f>IFERROR(VLOOKUP((CONCATENATE(AG43,AI43)),Listados!$U$3:$V$11,2,FALSE),"")</f>
        <v/>
      </c>
      <c r="AK43" s="48">
        <f t="shared" si="10"/>
        <v>100</v>
      </c>
      <c r="AL43" s="354">
        <f>AVERAGE(AK43:AK48)</f>
        <v>100</v>
      </c>
      <c r="AM43" s="356" t="str">
        <f>IF(AL43&lt;=50, "Débil", IF(AL43&lt;=99,"Moderado","Fuerte"))</f>
        <v>Fuerte</v>
      </c>
      <c r="AN43" s="173">
        <f>+IF(AND(Q43="Preventivo",AM43="Fuerte"),2,IF(AND(Q43="Preventivo",AM43="Moderado"),1,0))</f>
        <v>2</v>
      </c>
      <c r="AO43" s="173">
        <f t="shared" si="11"/>
        <v>1</v>
      </c>
      <c r="AP43" s="173">
        <f>+K43-AN43</f>
        <v>2</v>
      </c>
      <c r="AQ43" s="173">
        <f>+M43-AO43</f>
        <v>2</v>
      </c>
      <c r="AR43" s="345" t="str">
        <f>+VLOOKUP(MIN(AP43,AP44,AP45,AP46,AP47,AP48),Listados!$J$18:$K$24,2,TRUE)</f>
        <v>Improbable</v>
      </c>
      <c r="AS43" s="345" t="str">
        <f>+VLOOKUP(MIN(AQ43,AQ44,AQ45,AQ46,AQ47,AQ48),Listados!$J$26:$K$32,2,TRUE)</f>
        <v>Insignificante</v>
      </c>
      <c r="AT43" s="345" t="str">
        <f>IF(AND(AR43&lt;&gt;"",AS43&lt;&gt;""),VLOOKUP(AR43&amp;AS43,Listados!$M$3:$N$27,2,FALSE),"")</f>
        <v>Bajo</v>
      </c>
      <c r="AU43" s="345" t="str">
        <f>+VLOOKUP(AT43,Listados!$P$3:$Q$6,2,FALSE)</f>
        <v>Asumir el riesgo</v>
      </c>
      <c r="AV43" s="311"/>
      <c r="AW43" s="312"/>
      <c r="AX43" s="313"/>
      <c r="AY43" s="311"/>
      <c r="AZ43" s="312"/>
      <c r="BA43" s="313"/>
      <c r="BB43" s="311"/>
      <c r="BC43" s="312"/>
      <c r="BD43" s="313"/>
    </row>
    <row r="44" spans="1:56" ht="143.25" thickBot="1">
      <c r="A44" s="329"/>
      <c r="B44" s="331"/>
      <c r="C44" s="332"/>
      <c r="D44" s="333"/>
      <c r="E44" s="203"/>
      <c r="F44" s="203"/>
      <c r="G44" s="204" t="s">
        <v>244</v>
      </c>
      <c r="H44" s="204" t="s">
        <v>16</v>
      </c>
      <c r="I44" s="204" t="s">
        <v>245</v>
      </c>
      <c r="J44" s="331"/>
      <c r="K44" s="349"/>
      <c r="L44" s="352"/>
      <c r="M44" s="349"/>
      <c r="N44" s="359"/>
      <c r="O44" s="203" t="s">
        <v>246</v>
      </c>
      <c r="P44" s="203" t="s">
        <v>244</v>
      </c>
      <c r="Q44" s="204" t="s">
        <v>123</v>
      </c>
      <c r="R44" s="215"/>
      <c r="S44" s="27" t="str">
        <f t="shared" si="0"/>
        <v/>
      </c>
      <c r="T44" s="215"/>
      <c r="U44" s="27" t="str">
        <f t="shared" si="1"/>
        <v/>
      </c>
      <c r="V44" s="208"/>
      <c r="W44" s="27" t="str">
        <f t="shared" si="2"/>
        <v/>
      </c>
      <c r="X44" s="208"/>
      <c r="Y44" s="27" t="str">
        <f t="shared" si="3"/>
        <v/>
      </c>
      <c r="Z44" s="208"/>
      <c r="AA44" s="27" t="str">
        <f t="shared" si="4"/>
        <v/>
      </c>
      <c r="AB44" s="208"/>
      <c r="AC44" s="27" t="str">
        <f t="shared" si="5"/>
        <v/>
      </c>
      <c r="AD44" s="208"/>
      <c r="AE44" s="27" t="str">
        <f t="shared" si="6"/>
        <v/>
      </c>
      <c r="AF44" s="48" t="str">
        <f t="shared" si="7"/>
        <v/>
      </c>
      <c r="AG44" s="48" t="str">
        <f t="shared" si="8"/>
        <v/>
      </c>
      <c r="AH44" s="209"/>
      <c r="AI44" s="210" t="str">
        <f t="shared" si="9"/>
        <v>Débil</v>
      </c>
      <c r="AJ44" s="21" t="str">
        <f>IFERROR(VLOOKUP((CONCATENATE(AG44,AI44)),Listados!$U$3:$V$11,2,FALSE),"")</f>
        <v/>
      </c>
      <c r="AK44" s="48">
        <f t="shared" si="10"/>
        <v>100</v>
      </c>
      <c r="AL44" s="355"/>
      <c r="AM44" s="357"/>
      <c r="AN44" s="173">
        <f>+IF(AND(Q44="Preventivo",AM43="Fuerte"),2,IF(AND(Q44="Preventivo",AM43="Moderado"),1,0))</f>
        <v>0</v>
      </c>
      <c r="AO44" s="173">
        <f t="shared" si="11"/>
        <v>2</v>
      </c>
      <c r="AP44" s="173">
        <f>+K43-AN44</f>
        <v>4</v>
      </c>
      <c r="AQ44" s="173">
        <f>+M43-AO44</f>
        <v>1</v>
      </c>
      <c r="AR44" s="346"/>
      <c r="AS44" s="346"/>
      <c r="AT44" s="346"/>
      <c r="AU44" s="346"/>
      <c r="AV44" s="311"/>
      <c r="AW44" s="312"/>
      <c r="AX44" s="313"/>
      <c r="AY44" s="311"/>
      <c r="AZ44" s="312"/>
      <c r="BA44" s="313"/>
      <c r="BB44" s="311"/>
      <c r="BC44" s="312"/>
      <c r="BD44" s="313"/>
    </row>
    <row r="45" spans="1:56" ht="200.25" thickBot="1">
      <c r="A45" s="329"/>
      <c r="B45" s="331"/>
      <c r="C45" s="332"/>
      <c r="D45" s="333"/>
      <c r="E45" s="203"/>
      <c r="F45" s="203"/>
      <c r="G45" s="204" t="s">
        <v>247</v>
      </c>
      <c r="H45" s="204" t="s">
        <v>16</v>
      </c>
      <c r="I45" s="204" t="s">
        <v>248</v>
      </c>
      <c r="J45" s="331"/>
      <c r="K45" s="349"/>
      <c r="L45" s="352"/>
      <c r="M45" s="349"/>
      <c r="N45" s="359"/>
      <c r="O45" s="203" t="s">
        <v>249</v>
      </c>
      <c r="P45" s="203" t="s">
        <v>247</v>
      </c>
      <c r="Q45" s="204" t="s">
        <v>123</v>
      </c>
      <c r="R45" s="215"/>
      <c r="S45" s="27" t="str">
        <f t="shared" si="0"/>
        <v/>
      </c>
      <c r="T45" s="215"/>
      <c r="U45" s="27" t="str">
        <f t="shared" si="1"/>
        <v/>
      </c>
      <c r="V45" s="208"/>
      <c r="W45" s="27" t="str">
        <f t="shared" si="2"/>
        <v/>
      </c>
      <c r="X45" s="208"/>
      <c r="Y45" s="27" t="str">
        <f t="shared" si="3"/>
        <v/>
      </c>
      <c r="Z45" s="208"/>
      <c r="AA45" s="27" t="str">
        <f t="shared" si="4"/>
        <v/>
      </c>
      <c r="AB45" s="208"/>
      <c r="AC45" s="27" t="str">
        <f t="shared" si="5"/>
        <v/>
      </c>
      <c r="AD45" s="208"/>
      <c r="AE45" s="27" t="str">
        <f t="shared" si="6"/>
        <v/>
      </c>
      <c r="AF45" s="48" t="str">
        <f t="shared" si="7"/>
        <v/>
      </c>
      <c r="AG45" s="48" t="str">
        <f t="shared" si="8"/>
        <v/>
      </c>
      <c r="AH45" s="209"/>
      <c r="AI45" s="210" t="str">
        <f t="shared" si="9"/>
        <v>Débil</v>
      </c>
      <c r="AJ45" s="21" t="str">
        <f>IFERROR(VLOOKUP((CONCATENATE(AG45,AI45)),Listados!$U$3:$V$11,2,FALSE),"")</f>
        <v/>
      </c>
      <c r="AK45" s="48">
        <f t="shared" si="10"/>
        <v>100</v>
      </c>
      <c r="AL45" s="355"/>
      <c r="AM45" s="357"/>
      <c r="AN45" s="173">
        <f>+IF(AND(Q45="Preventivo",AM43="Fuerte"),2,IF(AND(Q45="Preventivo",AM43="Moderado"),1,0))</f>
        <v>0</v>
      </c>
      <c r="AO45" s="173">
        <f t="shared" si="11"/>
        <v>2</v>
      </c>
      <c r="AP45" s="173">
        <f>+K43-AN45</f>
        <v>4</v>
      </c>
      <c r="AQ45" s="173">
        <f>+M43-AO45</f>
        <v>1</v>
      </c>
      <c r="AR45" s="346"/>
      <c r="AS45" s="346"/>
      <c r="AT45" s="346"/>
      <c r="AU45" s="346"/>
      <c r="AV45" s="311"/>
      <c r="AW45" s="312"/>
      <c r="AX45" s="313"/>
      <c r="AY45" s="311"/>
      <c r="AZ45" s="312"/>
      <c r="BA45" s="313"/>
      <c r="BB45" s="311"/>
      <c r="BC45" s="312"/>
      <c r="BD45" s="313"/>
    </row>
    <row r="46" spans="1:56" ht="200.25" thickBot="1">
      <c r="A46" s="329"/>
      <c r="B46" s="331"/>
      <c r="C46" s="332"/>
      <c r="D46" s="333"/>
      <c r="E46" s="203"/>
      <c r="F46" s="203"/>
      <c r="G46" s="204" t="s">
        <v>250</v>
      </c>
      <c r="H46" s="204" t="s">
        <v>16</v>
      </c>
      <c r="I46" s="204" t="s">
        <v>251</v>
      </c>
      <c r="J46" s="331"/>
      <c r="K46" s="349"/>
      <c r="L46" s="352"/>
      <c r="M46" s="349"/>
      <c r="N46" s="359"/>
      <c r="O46" s="203" t="s">
        <v>252</v>
      </c>
      <c r="P46" s="203" t="s">
        <v>250</v>
      </c>
      <c r="Q46" s="204" t="s">
        <v>123</v>
      </c>
      <c r="R46" s="215"/>
      <c r="S46" s="27" t="str">
        <f t="shared" si="0"/>
        <v/>
      </c>
      <c r="T46" s="215"/>
      <c r="U46" s="27" t="str">
        <f t="shared" si="1"/>
        <v/>
      </c>
      <c r="V46" s="208"/>
      <c r="W46" s="27" t="str">
        <f t="shared" si="2"/>
        <v/>
      </c>
      <c r="X46" s="208"/>
      <c r="Y46" s="27" t="str">
        <f t="shared" si="3"/>
        <v/>
      </c>
      <c r="Z46" s="208"/>
      <c r="AA46" s="27" t="str">
        <f t="shared" si="4"/>
        <v/>
      </c>
      <c r="AB46" s="208"/>
      <c r="AC46" s="27" t="str">
        <f t="shared" si="5"/>
        <v/>
      </c>
      <c r="AD46" s="208"/>
      <c r="AE46" s="27" t="str">
        <f t="shared" si="6"/>
        <v/>
      </c>
      <c r="AF46" s="48" t="str">
        <f t="shared" si="7"/>
        <v/>
      </c>
      <c r="AG46" s="48" t="str">
        <f t="shared" si="8"/>
        <v/>
      </c>
      <c r="AH46" s="209"/>
      <c r="AI46" s="210" t="str">
        <f t="shared" si="9"/>
        <v>Débil</v>
      </c>
      <c r="AJ46" s="21" t="str">
        <f>IFERROR(VLOOKUP((CONCATENATE(AG46,AI46)),Listados!$U$3:$V$11,2,FALSE),"")</f>
        <v/>
      </c>
      <c r="AK46" s="48">
        <f t="shared" si="10"/>
        <v>100</v>
      </c>
      <c r="AL46" s="355"/>
      <c r="AM46" s="357"/>
      <c r="AN46" s="173">
        <f>+IF(AND(Q46="Preventivo",AM43="Fuerte"),2,IF(AND(Q46="Preventivo",AM43="Moderado"),1,0))</f>
        <v>0</v>
      </c>
      <c r="AO46" s="173">
        <f t="shared" si="11"/>
        <v>2</v>
      </c>
      <c r="AP46" s="173">
        <f>+K43-AN46</f>
        <v>4</v>
      </c>
      <c r="AQ46" s="173">
        <f>+M43-AO46</f>
        <v>1</v>
      </c>
      <c r="AR46" s="346"/>
      <c r="AS46" s="346"/>
      <c r="AT46" s="346"/>
      <c r="AU46" s="346"/>
      <c r="AV46" s="311"/>
      <c r="AW46" s="312"/>
      <c r="AX46" s="313"/>
      <c r="AY46" s="311"/>
      <c r="AZ46" s="312"/>
      <c r="BA46" s="313"/>
      <c r="BB46" s="311"/>
      <c r="BC46" s="312"/>
      <c r="BD46" s="313"/>
    </row>
    <row r="47" spans="1:56" ht="15.75" thickBot="1">
      <c r="A47" s="329"/>
      <c r="B47" s="331"/>
      <c r="C47" s="332"/>
      <c r="D47" s="333"/>
      <c r="E47" s="203"/>
      <c r="F47" s="203"/>
      <c r="G47" s="204"/>
      <c r="H47" s="204"/>
      <c r="I47" s="204"/>
      <c r="J47" s="331"/>
      <c r="K47" s="349"/>
      <c r="L47" s="352"/>
      <c r="M47" s="349"/>
      <c r="N47" s="359"/>
      <c r="O47" s="203"/>
      <c r="P47" s="205"/>
      <c r="Q47" s="205"/>
      <c r="R47" s="215"/>
      <c r="S47" s="27" t="str">
        <f t="shared" si="0"/>
        <v/>
      </c>
      <c r="T47" s="215"/>
      <c r="U47" s="27" t="str">
        <f t="shared" si="1"/>
        <v/>
      </c>
      <c r="V47" s="208"/>
      <c r="W47" s="27" t="str">
        <f t="shared" si="2"/>
        <v/>
      </c>
      <c r="X47" s="208"/>
      <c r="Y47" s="27" t="str">
        <f t="shared" si="3"/>
        <v/>
      </c>
      <c r="Z47" s="208"/>
      <c r="AA47" s="27" t="str">
        <f t="shared" si="4"/>
        <v/>
      </c>
      <c r="AB47" s="208"/>
      <c r="AC47" s="27" t="str">
        <f t="shared" si="5"/>
        <v/>
      </c>
      <c r="AD47" s="208"/>
      <c r="AE47" s="27" t="str">
        <f t="shared" si="6"/>
        <v/>
      </c>
      <c r="AF47" s="48" t="str">
        <f t="shared" si="7"/>
        <v/>
      </c>
      <c r="AG47" s="48" t="str">
        <f t="shared" si="8"/>
        <v/>
      </c>
      <c r="AH47" s="209"/>
      <c r="AI47" s="210" t="str">
        <f t="shared" si="9"/>
        <v>Débil</v>
      </c>
      <c r="AJ47" s="21" t="str">
        <f>IFERROR(VLOOKUP((CONCATENATE(AG47,AI47)),Listados!$U$3:$V$11,2,FALSE),"")</f>
        <v/>
      </c>
      <c r="AK47" s="48">
        <f t="shared" si="10"/>
        <v>100</v>
      </c>
      <c r="AL47" s="355"/>
      <c r="AM47" s="357"/>
      <c r="AN47" s="173">
        <f>+IF(AND(Q47="Preventivo",AM43="Fuerte"),2,IF(AND(Q47="Preventivo",AM43="Moderado"),1,0))</f>
        <v>0</v>
      </c>
      <c r="AO47" s="173">
        <f t="shared" si="11"/>
        <v>0</v>
      </c>
      <c r="AP47" s="173">
        <f>+K43-AN47</f>
        <v>4</v>
      </c>
      <c r="AQ47" s="173">
        <f>+M43-AO47</f>
        <v>3</v>
      </c>
      <c r="AR47" s="346"/>
      <c r="AS47" s="346"/>
      <c r="AT47" s="346"/>
      <c r="AU47" s="346"/>
      <c r="AV47" s="311"/>
      <c r="AW47" s="312"/>
      <c r="AX47" s="313"/>
      <c r="AY47" s="311"/>
      <c r="AZ47" s="312"/>
      <c r="BA47" s="313"/>
      <c r="BB47" s="311"/>
      <c r="BC47" s="312"/>
      <c r="BD47" s="313"/>
    </row>
    <row r="48" spans="1:56" ht="15.75" thickBot="1">
      <c r="A48" s="330"/>
      <c r="B48" s="331"/>
      <c r="C48" s="332"/>
      <c r="D48" s="333"/>
      <c r="E48" s="203"/>
      <c r="F48" s="203"/>
      <c r="G48" s="204"/>
      <c r="H48" s="204"/>
      <c r="I48" s="204"/>
      <c r="J48" s="331"/>
      <c r="K48" s="350"/>
      <c r="L48" s="352"/>
      <c r="M48" s="350"/>
      <c r="N48" s="359"/>
      <c r="O48" s="203"/>
      <c r="P48" s="205"/>
      <c r="Q48" s="205"/>
      <c r="R48" s="215"/>
      <c r="S48" s="27" t="str">
        <f t="shared" si="0"/>
        <v/>
      </c>
      <c r="T48" s="215"/>
      <c r="U48" s="27" t="str">
        <f t="shared" si="1"/>
        <v/>
      </c>
      <c r="V48" s="208"/>
      <c r="W48" s="27" t="str">
        <f t="shared" si="2"/>
        <v/>
      </c>
      <c r="X48" s="208"/>
      <c r="Y48" s="27" t="str">
        <f t="shared" si="3"/>
        <v/>
      </c>
      <c r="Z48" s="208"/>
      <c r="AA48" s="27" t="str">
        <f t="shared" si="4"/>
        <v/>
      </c>
      <c r="AB48" s="208"/>
      <c r="AC48" s="27" t="str">
        <f t="shared" si="5"/>
        <v/>
      </c>
      <c r="AD48" s="208"/>
      <c r="AE48" s="27" t="str">
        <f t="shared" si="6"/>
        <v/>
      </c>
      <c r="AF48" s="48" t="str">
        <f t="shared" si="7"/>
        <v/>
      </c>
      <c r="AG48" s="48" t="str">
        <f t="shared" si="8"/>
        <v/>
      </c>
      <c r="AH48" s="209"/>
      <c r="AI48" s="210" t="str">
        <f t="shared" si="9"/>
        <v>Débil</v>
      </c>
      <c r="AJ48" s="21" t="str">
        <f>IFERROR(VLOOKUP((CONCATENATE(AG48,AI48)),Listados!$U$3:$V$11,2,FALSE),"")</f>
        <v/>
      </c>
      <c r="AK48" s="48">
        <f t="shared" si="10"/>
        <v>100</v>
      </c>
      <c r="AL48" s="356"/>
      <c r="AM48" s="357"/>
      <c r="AN48" s="173">
        <f>+IF(AND(Q48="Preventivo",AM43="Fuerte"),2,IF(AND(Q48="Preventivo",AM43="Moderado"),1,0))</f>
        <v>0</v>
      </c>
      <c r="AO48" s="173">
        <f t="shared" si="11"/>
        <v>0</v>
      </c>
      <c r="AP48" s="173">
        <f>+K43-AN48</f>
        <v>4</v>
      </c>
      <c r="AQ48" s="173">
        <f>+M43-AO48</f>
        <v>3</v>
      </c>
      <c r="AR48" s="347"/>
      <c r="AS48" s="347"/>
      <c r="AT48" s="347"/>
      <c r="AU48" s="347"/>
      <c r="AV48" s="311"/>
      <c r="AW48" s="312"/>
      <c r="AX48" s="313"/>
      <c r="AY48" s="311"/>
      <c r="AZ48" s="312"/>
      <c r="BA48" s="313"/>
      <c r="BB48" s="311"/>
      <c r="BC48" s="312"/>
      <c r="BD48" s="313"/>
    </row>
    <row r="49" spans="1:56" ht="129" thickBot="1">
      <c r="A49" s="328">
        <v>8</v>
      </c>
      <c r="B49" s="331" t="s">
        <v>98</v>
      </c>
      <c r="C49" s="332" t="str">
        <f>IFERROR(VLOOKUP(B49,Listados!B$3:C$20,2,FALSE),"")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49" s="333" t="s">
        <v>253</v>
      </c>
      <c r="E49" s="203" t="s">
        <v>29</v>
      </c>
      <c r="F49" s="203"/>
      <c r="G49" s="204" t="s">
        <v>254</v>
      </c>
      <c r="H49" s="204" t="s">
        <v>16</v>
      </c>
      <c r="I49" s="204" t="s">
        <v>255</v>
      </c>
      <c r="J49" s="331" t="s">
        <v>53</v>
      </c>
      <c r="K49" s="348">
        <f>+VLOOKUP(J49,Listados!$K$8:$L$12,2,0)</f>
        <v>4</v>
      </c>
      <c r="L49" s="351" t="s">
        <v>36</v>
      </c>
      <c r="M49" s="348">
        <f>+VLOOKUP(L49,Listados!$K$13:$L$17,2,0)</f>
        <v>3</v>
      </c>
      <c r="N49" s="358" t="str">
        <f>IF(AND(J49&lt;&gt;"",L49&lt;&gt;""),VLOOKUP(J49&amp;L49,Listados!$M$3:$N$27,2,FALSE),"")</f>
        <v>Alto</v>
      </c>
      <c r="O49" s="203" t="s">
        <v>256</v>
      </c>
      <c r="P49" s="204" t="s">
        <v>254</v>
      </c>
      <c r="Q49" s="204" t="s">
        <v>123</v>
      </c>
      <c r="R49" s="215"/>
      <c r="S49" s="27" t="str">
        <f t="shared" si="0"/>
        <v/>
      </c>
      <c r="T49" s="215"/>
      <c r="U49" s="27" t="str">
        <f t="shared" si="1"/>
        <v/>
      </c>
      <c r="V49" s="208"/>
      <c r="W49" s="27" t="str">
        <f t="shared" si="2"/>
        <v/>
      </c>
      <c r="X49" s="208"/>
      <c r="Y49" s="27" t="str">
        <f t="shared" si="3"/>
        <v/>
      </c>
      <c r="Z49" s="208"/>
      <c r="AA49" s="27" t="str">
        <f t="shared" si="4"/>
        <v/>
      </c>
      <c r="AB49" s="208"/>
      <c r="AC49" s="27" t="str">
        <f t="shared" si="5"/>
        <v/>
      </c>
      <c r="AD49" s="208"/>
      <c r="AE49" s="27" t="str">
        <f t="shared" si="6"/>
        <v/>
      </c>
      <c r="AF49" s="48" t="str">
        <f t="shared" si="7"/>
        <v/>
      </c>
      <c r="AG49" s="48" t="str">
        <f t="shared" si="8"/>
        <v/>
      </c>
      <c r="AH49" s="209"/>
      <c r="AI49" s="210" t="str">
        <f t="shared" si="9"/>
        <v>Débil</v>
      </c>
      <c r="AJ49" s="21" t="str">
        <f>IFERROR(VLOOKUP((CONCATENATE(AG49,AI49)),Listados!$U$3:$V$11,2,FALSE),"")</f>
        <v/>
      </c>
      <c r="AK49" s="48">
        <f t="shared" si="10"/>
        <v>100</v>
      </c>
      <c r="AL49" s="354">
        <f>AVERAGE(AK49:AK54)</f>
        <v>100</v>
      </c>
      <c r="AM49" s="356" t="str">
        <f>IF(AL49&lt;=50, "Débil", IF(AL49&lt;=99,"Moderado","Fuerte"))</f>
        <v>Fuerte</v>
      </c>
      <c r="AN49" s="173">
        <f>+IF(AND(Q49="Preventivo",AM49="Fuerte"),2,IF(AND(Q49="Preventivo",AM49="Moderado"),1,0))</f>
        <v>0</v>
      </c>
      <c r="AO49" s="173">
        <f t="shared" si="11"/>
        <v>2</v>
      </c>
      <c r="AP49" s="173">
        <f>+K49-AN49</f>
        <v>4</v>
      </c>
      <c r="AQ49" s="173">
        <f>+M49-AO49</f>
        <v>1</v>
      </c>
      <c r="AR49" s="345" t="str">
        <f>+VLOOKUP(MIN(AP49,AP50,AP51,AP52,AP53,AP54),Listados!$J$18:$K$24,2,TRUE)</f>
        <v>Probable</v>
      </c>
      <c r="AS49" s="345" t="str">
        <f>+VLOOKUP(MIN(AQ49,AQ50,AQ51,AQ52,AQ53,AQ54),Listados!$J$27:$K$32,2,TRUE)</f>
        <v>Insignificante</v>
      </c>
      <c r="AT49" s="345" t="str">
        <f>IF(AND(AR49&lt;&gt;"",AS49&lt;&gt;""),VLOOKUP(AR49&amp;AS49,Listados!$M$3:$N$27,2,FALSE),"")</f>
        <v>Moderado</v>
      </c>
      <c r="AU49" s="345" t="str">
        <f>+VLOOKUP(AT49,Listados!$P$3:$Q$6,2,FALSE)</f>
        <v xml:space="preserve"> Reducir el riesgo</v>
      </c>
      <c r="AV49" s="311"/>
      <c r="AW49" s="312"/>
      <c r="AX49" s="313"/>
      <c r="AY49" s="311"/>
      <c r="AZ49" s="312"/>
      <c r="BA49" s="313"/>
      <c r="BB49" s="311"/>
      <c r="BC49" s="312"/>
      <c r="BD49" s="313"/>
    </row>
    <row r="50" spans="1:56" ht="200.25" thickBot="1">
      <c r="A50" s="329"/>
      <c r="B50" s="331"/>
      <c r="C50" s="332"/>
      <c r="D50" s="333"/>
      <c r="E50" s="203"/>
      <c r="F50" s="203"/>
      <c r="G50" s="204" t="s">
        <v>257</v>
      </c>
      <c r="H50" s="204" t="s">
        <v>16</v>
      </c>
      <c r="I50" s="204" t="s">
        <v>258</v>
      </c>
      <c r="J50" s="331"/>
      <c r="K50" s="349"/>
      <c r="L50" s="352"/>
      <c r="M50" s="349"/>
      <c r="N50" s="359"/>
      <c r="O50" s="203" t="s">
        <v>259</v>
      </c>
      <c r="P50" s="204" t="s">
        <v>257</v>
      </c>
      <c r="Q50" s="204" t="s">
        <v>123</v>
      </c>
      <c r="R50" s="215"/>
      <c r="S50" s="27" t="str">
        <f t="shared" si="0"/>
        <v/>
      </c>
      <c r="T50" s="215"/>
      <c r="U50" s="27" t="str">
        <f t="shared" si="1"/>
        <v/>
      </c>
      <c r="V50" s="208"/>
      <c r="W50" s="27" t="str">
        <f t="shared" si="2"/>
        <v/>
      </c>
      <c r="X50" s="208"/>
      <c r="Y50" s="27" t="str">
        <f t="shared" si="3"/>
        <v/>
      </c>
      <c r="Z50" s="208"/>
      <c r="AA50" s="27" t="str">
        <f t="shared" si="4"/>
        <v/>
      </c>
      <c r="AB50" s="208"/>
      <c r="AC50" s="27" t="str">
        <f t="shared" si="5"/>
        <v/>
      </c>
      <c r="AD50" s="208"/>
      <c r="AE50" s="27" t="str">
        <f t="shared" si="6"/>
        <v/>
      </c>
      <c r="AF50" s="48" t="str">
        <f t="shared" si="7"/>
        <v/>
      </c>
      <c r="AG50" s="48" t="str">
        <f t="shared" si="8"/>
        <v/>
      </c>
      <c r="AH50" s="209"/>
      <c r="AI50" s="210" t="str">
        <f t="shared" si="9"/>
        <v>Débil</v>
      </c>
      <c r="AJ50" s="21" t="str">
        <f>IFERROR(VLOOKUP((CONCATENATE(AG50,AI50)),Listados!$U$3:$V$11,2,FALSE),"")</f>
        <v/>
      </c>
      <c r="AK50" s="48">
        <f t="shared" si="10"/>
        <v>100</v>
      </c>
      <c r="AL50" s="355"/>
      <c r="AM50" s="357"/>
      <c r="AN50" s="173">
        <f>+IF(AND(Q50="Preventivo",AM49="Fuerte"),2,IF(AND(Q50="Preventivo",AM49="Moderado"),1,0))</f>
        <v>0</v>
      </c>
      <c r="AO50" s="173">
        <f t="shared" si="11"/>
        <v>2</v>
      </c>
      <c r="AP50" s="173">
        <f>+K49-AN50</f>
        <v>4</v>
      </c>
      <c r="AQ50" s="173">
        <f>+M49-AO50</f>
        <v>1</v>
      </c>
      <c r="AR50" s="346"/>
      <c r="AS50" s="346"/>
      <c r="AT50" s="346"/>
      <c r="AU50" s="346"/>
      <c r="AV50" s="311"/>
      <c r="AW50" s="312"/>
      <c r="AX50" s="313"/>
      <c r="AY50" s="311"/>
      <c r="AZ50" s="312"/>
      <c r="BA50" s="313"/>
      <c r="BB50" s="311"/>
      <c r="BC50" s="312"/>
      <c r="BD50" s="313"/>
    </row>
    <row r="51" spans="1:56" ht="15.75" thickBot="1">
      <c r="A51" s="329"/>
      <c r="B51" s="331"/>
      <c r="C51" s="332"/>
      <c r="D51" s="333"/>
      <c r="E51" s="203"/>
      <c r="F51" s="203"/>
      <c r="G51" s="204"/>
      <c r="H51" s="204"/>
      <c r="I51" s="204"/>
      <c r="J51" s="331"/>
      <c r="K51" s="349"/>
      <c r="L51" s="352"/>
      <c r="M51" s="349"/>
      <c r="N51" s="359"/>
      <c r="O51" s="203"/>
      <c r="P51" s="205"/>
      <c r="Q51" s="205"/>
      <c r="R51" s="215"/>
      <c r="S51" s="27" t="str">
        <f t="shared" si="0"/>
        <v/>
      </c>
      <c r="T51" s="215"/>
      <c r="U51" s="27" t="str">
        <f t="shared" si="1"/>
        <v/>
      </c>
      <c r="V51" s="208"/>
      <c r="W51" s="27" t="str">
        <f t="shared" si="2"/>
        <v/>
      </c>
      <c r="X51" s="208"/>
      <c r="Y51" s="27" t="str">
        <f t="shared" si="3"/>
        <v/>
      </c>
      <c r="Z51" s="208"/>
      <c r="AA51" s="27" t="str">
        <f t="shared" si="4"/>
        <v/>
      </c>
      <c r="AB51" s="208"/>
      <c r="AC51" s="27" t="str">
        <f t="shared" si="5"/>
        <v/>
      </c>
      <c r="AD51" s="208"/>
      <c r="AE51" s="27" t="str">
        <f t="shared" si="6"/>
        <v/>
      </c>
      <c r="AF51" s="48" t="str">
        <f t="shared" si="7"/>
        <v/>
      </c>
      <c r="AG51" s="48" t="str">
        <f t="shared" si="8"/>
        <v/>
      </c>
      <c r="AH51" s="209"/>
      <c r="AI51" s="210" t="str">
        <f t="shared" si="9"/>
        <v>Débil</v>
      </c>
      <c r="AJ51" s="21" t="str">
        <f>IFERROR(VLOOKUP((CONCATENATE(AG51,AI51)),Listados!$U$3:$V$11,2,FALSE),"")</f>
        <v/>
      </c>
      <c r="AK51" s="48">
        <f t="shared" si="10"/>
        <v>100</v>
      </c>
      <c r="AL51" s="355"/>
      <c r="AM51" s="357"/>
      <c r="AN51" s="173">
        <f>+IF(AND(Q51="Preventivo",AM49="Fuerte"),2,IF(AND(Q51="Preventivo",AM49="Moderado"),1,0))</f>
        <v>0</v>
      </c>
      <c r="AO51" s="173">
        <f t="shared" si="11"/>
        <v>0</v>
      </c>
      <c r="AP51" s="173">
        <f>+K49-AN51</f>
        <v>4</v>
      </c>
      <c r="AQ51" s="173">
        <f>+M49-AO51</f>
        <v>3</v>
      </c>
      <c r="AR51" s="346"/>
      <c r="AS51" s="346"/>
      <c r="AT51" s="346"/>
      <c r="AU51" s="346"/>
      <c r="AV51" s="311"/>
      <c r="AW51" s="312"/>
      <c r="AX51" s="313"/>
      <c r="AY51" s="311"/>
      <c r="AZ51" s="312"/>
      <c r="BA51" s="313"/>
      <c r="BB51" s="311"/>
      <c r="BC51" s="312"/>
      <c r="BD51" s="313"/>
    </row>
    <row r="52" spans="1:56" ht="15.75" thickBot="1">
      <c r="A52" s="329"/>
      <c r="B52" s="331"/>
      <c r="C52" s="332"/>
      <c r="D52" s="333"/>
      <c r="E52" s="203"/>
      <c r="F52" s="203"/>
      <c r="G52" s="204"/>
      <c r="H52" s="204"/>
      <c r="I52" s="204"/>
      <c r="J52" s="331"/>
      <c r="K52" s="349"/>
      <c r="L52" s="352"/>
      <c r="M52" s="349"/>
      <c r="N52" s="359"/>
      <c r="O52" s="203"/>
      <c r="P52" s="205"/>
      <c r="Q52" s="205"/>
      <c r="R52" s="215"/>
      <c r="S52" s="27" t="str">
        <f t="shared" si="0"/>
        <v/>
      </c>
      <c r="T52" s="215"/>
      <c r="U52" s="27" t="str">
        <f t="shared" si="1"/>
        <v/>
      </c>
      <c r="V52" s="208"/>
      <c r="W52" s="27" t="str">
        <f t="shared" si="2"/>
        <v/>
      </c>
      <c r="X52" s="208"/>
      <c r="Y52" s="27" t="str">
        <f t="shared" si="3"/>
        <v/>
      </c>
      <c r="Z52" s="208"/>
      <c r="AA52" s="27" t="str">
        <f t="shared" si="4"/>
        <v/>
      </c>
      <c r="AB52" s="208"/>
      <c r="AC52" s="27" t="str">
        <f t="shared" si="5"/>
        <v/>
      </c>
      <c r="AD52" s="208"/>
      <c r="AE52" s="27" t="str">
        <f t="shared" si="6"/>
        <v/>
      </c>
      <c r="AF52" s="48" t="str">
        <f t="shared" si="7"/>
        <v/>
      </c>
      <c r="AG52" s="48" t="str">
        <f t="shared" si="8"/>
        <v/>
      </c>
      <c r="AH52" s="209"/>
      <c r="AI52" s="210" t="str">
        <f t="shared" si="9"/>
        <v>Débil</v>
      </c>
      <c r="AJ52" s="21" t="str">
        <f>IFERROR(VLOOKUP((CONCATENATE(AG52,AI52)),Listados!$U$3:$V$11,2,FALSE),"")</f>
        <v/>
      </c>
      <c r="AK52" s="48">
        <f t="shared" si="10"/>
        <v>100</v>
      </c>
      <c r="AL52" s="355"/>
      <c r="AM52" s="357"/>
      <c r="AN52" s="173">
        <f>+IF(AND(Q52="Preventivo",AM49="Fuerte"),2,IF(AND(Q52="Preventivo",AM49="Moderado"),1,0))</f>
        <v>0</v>
      </c>
      <c r="AO52" s="173">
        <f t="shared" si="11"/>
        <v>0</v>
      </c>
      <c r="AP52" s="173">
        <f>+K49-AN52</f>
        <v>4</v>
      </c>
      <c r="AQ52" s="173">
        <f>+M49-AO52</f>
        <v>3</v>
      </c>
      <c r="AR52" s="346"/>
      <c r="AS52" s="346"/>
      <c r="AT52" s="346"/>
      <c r="AU52" s="346"/>
      <c r="AV52" s="311"/>
      <c r="AW52" s="312"/>
      <c r="AX52" s="313"/>
      <c r="AY52" s="311"/>
      <c r="AZ52" s="312"/>
      <c r="BA52" s="313"/>
      <c r="BB52" s="311"/>
      <c r="BC52" s="312"/>
      <c r="BD52" s="313"/>
    </row>
    <row r="53" spans="1:56" ht="15.75" thickBot="1">
      <c r="A53" s="329"/>
      <c r="B53" s="331"/>
      <c r="C53" s="332"/>
      <c r="D53" s="333"/>
      <c r="E53" s="203"/>
      <c r="F53" s="203"/>
      <c r="G53" s="204"/>
      <c r="H53" s="204"/>
      <c r="I53" s="204"/>
      <c r="J53" s="331"/>
      <c r="K53" s="349"/>
      <c r="L53" s="352"/>
      <c r="M53" s="349"/>
      <c r="N53" s="359"/>
      <c r="O53" s="203"/>
      <c r="P53" s="205"/>
      <c r="Q53" s="205"/>
      <c r="R53" s="215"/>
      <c r="S53" s="27" t="str">
        <f t="shared" si="0"/>
        <v/>
      </c>
      <c r="T53" s="215"/>
      <c r="U53" s="27" t="str">
        <f t="shared" si="1"/>
        <v/>
      </c>
      <c r="V53" s="208"/>
      <c r="W53" s="27" t="str">
        <f t="shared" si="2"/>
        <v/>
      </c>
      <c r="X53" s="208"/>
      <c r="Y53" s="27" t="str">
        <f t="shared" si="3"/>
        <v/>
      </c>
      <c r="Z53" s="208"/>
      <c r="AA53" s="27" t="str">
        <f t="shared" si="4"/>
        <v/>
      </c>
      <c r="AB53" s="208"/>
      <c r="AC53" s="27" t="str">
        <f t="shared" si="5"/>
        <v/>
      </c>
      <c r="AD53" s="208"/>
      <c r="AE53" s="27" t="str">
        <f t="shared" si="6"/>
        <v/>
      </c>
      <c r="AF53" s="48" t="str">
        <f t="shared" si="7"/>
        <v/>
      </c>
      <c r="AG53" s="48" t="str">
        <f t="shared" si="8"/>
        <v/>
      </c>
      <c r="AH53" s="209"/>
      <c r="AI53" s="210" t="str">
        <f t="shared" si="9"/>
        <v>Débil</v>
      </c>
      <c r="AJ53" s="21" t="str">
        <f>IFERROR(VLOOKUP((CONCATENATE(AG53,AI53)),Listados!$U$3:$V$11,2,FALSE),"")</f>
        <v/>
      </c>
      <c r="AK53" s="48">
        <f t="shared" si="10"/>
        <v>100</v>
      </c>
      <c r="AL53" s="355"/>
      <c r="AM53" s="357"/>
      <c r="AN53" s="173">
        <f>+IF(AND(Q53="Preventivo",AM49="Fuerte"),2,IF(AND(Q53="Preventivo",AM49="Moderado"),1,0))</f>
        <v>0</v>
      </c>
      <c r="AO53" s="173">
        <f t="shared" si="11"/>
        <v>0</v>
      </c>
      <c r="AP53" s="173">
        <f>+K49-AN53</f>
        <v>4</v>
      </c>
      <c r="AQ53" s="173">
        <f>+M49-AO53</f>
        <v>3</v>
      </c>
      <c r="AR53" s="346"/>
      <c r="AS53" s="346"/>
      <c r="AT53" s="346"/>
      <c r="AU53" s="346"/>
      <c r="AV53" s="311"/>
      <c r="AW53" s="312"/>
      <c r="AX53" s="313"/>
      <c r="AY53" s="311"/>
      <c r="AZ53" s="312"/>
      <c r="BA53" s="313"/>
      <c r="BB53" s="311"/>
      <c r="BC53" s="312"/>
      <c r="BD53" s="313"/>
    </row>
    <row r="54" spans="1:56" ht="15.75" thickBot="1">
      <c r="A54" s="330"/>
      <c r="B54" s="331"/>
      <c r="C54" s="332"/>
      <c r="D54" s="333"/>
      <c r="E54" s="203"/>
      <c r="F54" s="203"/>
      <c r="G54" s="204"/>
      <c r="H54" s="204"/>
      <c r="I54" s="204"/>
      <c r="J54" s="331"/>
      <c r="K54" s="350"/>
      <c r="L54" s="352"/>
      <c r="M54" s="350"/>
      <c r="N54" s="359"/>
      <c r="O54" s="203"/>
      <c r="P54" s="205"/>
      <c r="Q54" s="205"/>
      <c r="R54" s="215"/>
      <c r="S54" s="27" t="str">
        <f t="shared" si="0"/>
        <v/>
      </c>
      <c r="T54" s="215"/>
      <c r="U54" s="27" t="str">
        <f t="shared" si="1"/>
        <v/>
      </c>
      <c r="V54" s="208"/>
      <c r="W54" s="27" t="str">
        <f t="shared" si="2"/>
        <v/>
      </c>
      <c r="X54" s="208"/>
      <c r="Y54" s="27" t="str">
        <f t="shared" si="3"/>
        <v/>
      </c>
      <c r="Z54" s="208"/>
      <c r="AA54" s="27" t="str">
        <f t="shared" si="4"/>
        <v/>
      </c>
      <c r="AB54" s="208"/>
      <c r="AC54" s="27" t="str">
        <f t="shared" si="5"/>
        <v/>
      </c>
      <c r="AD54" s="208"/>
      <c r="AE54" s="27" t="str">
        <f t="shared" si="6"/>
        <v/>
      </c>
      <c r="AF54" s="48" t="str">
        <f t="shared" si="7"/>
        <v/>
      </c>
      <c r="AG54" s="48" t="str">
        <f t="shared" si="8"/>
        <v/>
      </c>
      <c r="AH54" s="209"/>
      <c r="AI54" s="210" t="str">
        <f t="shared" si="9"/>
        <v>Débil</v>
      </c>
      <c r="AJ54" s="21" t="str">
        <f>IFERROR(VLOOKUP((CONCATENATE(AG54,AI54)),Listados!$U$3:$V$11,2,FALSE),"")</f>
        <v/>
      </c>
      <c r="AK54" s="48">
        <f t="shared" si="10"/>
        <v>100</v>
      </c>
      <c r="AL54" s="356"/>
      <c r="AM54" s="357"/>
      <c r="AN54" s="173">
        <f>+IF(AND(Q54="Preventivo",AM49="Fuerte"),2,IF(AND(Q54="Preventivo",AM49="Moderado"),1,0))</f>
        <v>0</v>
      </c>
      <c r="AO54" s="173">
        <f t="shared" si="11"/>
        <v>0</v>
      </c>
      <c r="AP54" s="173">
        <f>+K49-AN54</f>
        <v>4</v>
      </c>
      <c r="AQ54" s="173">
        <f>+M49-AO54</f>
        <v>3</v>
      </c>
      <c r="AR54" s="347"/>
      <c r="AS54" s="347"/>
      <c r="AT54" s="347"/>
      <c r="AU54" s="347"/>
      <c r="AV54" s="311"/>
      <c r="AW54" s="312"/>
      <c r="AX54" s="313"/>
      <c r="AY54" s="311"/>
      <c r="AZ54" s="312"/>
      <c r="BA54" s="313"/>
      <c r="BB54" s="311"/>
      <c r="BC54" s="312"/>
      <c r="BD54" s="313"/>
    </row>
    <row r="55" spans="1:56" ht="157.5" thickBot="1">
      <c r="A55" s="328">
        <v>9</v>
      </c>
      <c r="B55" s="331" t="s">
        <v>39</v>
      </c>
      <c r="C55" s="332" t="str">
        <f>IFERROR(VLOOKUP(B55,Listados!B$3:C$20,2,FALSE),"")</f>
        <v>Gestionar la relación con los grupos de interés del Ministerio de Justicia y del Derecho, mediante el diseño y desarrollo de instrumentos, actividades y estrategias de servicio y participación ciudadana, la atención de sus requerimientos y la promoción del gobierno abierto. Con el propósito de contribuir a la generación de valor público en la Entidad, en alineación con los objetivos institucionales y las buenas prácticas nacionales e internacionales</v>
      </c>
      <c r="D55" s="333" t="s">
        <v>260</v>
      </c>
      <c r="E55" s="203" t="s">
        <v>52</v>
      </c>
      <c r="F55" s="203"/>
      <c r="G55" s="204" t="s">
        <v>261</v>
      </c>
      <c r="H55" s="204" t="s">
        <v>16</v>
      </c>
      <c r="I55" s="204" t="s">
        <v>262</v>
      </c>
      <c r="J55" s="331" t="s">
        <v>63</v>
      </c>
      <c r="K55" s="348">
        <f>+VLOOKUP(J55,Listados!$K$8:$L$12,2,0)</f>
        <v>5</v>
      </c>
      <c r="L55" s="351" t="s">
        <v>54</v>
      </c>
      <c r="M55" s="348">
        <f>+VLOOKUP(L55,Listados!$K$13:$L$17,2,0)</f>
        <v>4</v>
      </c>
      <c r="N55" s="358" t="str">
        <f>IF(AND(J55&lt;&gt;"",L55&lt;&gt;""),VLOOKUP(J55&amp;L55,Listados!$M$3:$N$27,2,FALSE),"")</f>
        <v>Extremo</v>
      </c>
      <c r="O55" s="203" t="s">
        <v>263</v>
      </c>
      <c r="P55" s="203" t="s">
        <v>261</v>
      </c>
      <c r="Q55" s="204" t="s">
        <v>123</v>
      </c>
      <c r="R55" s="215"/>
      <c r="S55" s="27" t="str">
        <f t="shared" si="0"/>
        <v/>
      </c>
      <c r="T55" s="215"/>
      <c r="U55" s="27" t="str">
        <f t="shared" si="1"/>
        <v/>
      </c>
      <c r="V55" s="208"/>
      <c r="W55" s="27" t="str">
        <f t="shared" si="2"/>
        <v/>
      </c>
      <c r="X55" s="208"/>
      <c r="Y55" s="27" t="str">
        <f t="shared" si="3"/>
        <v/>
      </c>
      <c r="Z55" s="208"/>
      <c r="AA55" s="27" t="str">
        <f t="shared" si="4"/>
        <v/>
      </c>
      <c r="AB55" s="208"/>
      <c r="AC55" s="27" t="str">
        <f t="shared" si="5"/>
        <v/>
      </c>
      <c r="AD55" s="208"/>
      <c r="AE55" s="27" t="str">
        <f t="shared" si="6"/>
        <v/>
      </c>
      <c r="AF55" s="48" t="str">
        <f t="shared" si="7"/>
        <v/>
      </c>
      <c r="AG55" s="48" t="str">
        <f t="shared" si="8"/>
        <v/>
      </c>
      <c r="AH55" s="209"/>
      <c r="AI55" s="210" t="str">
        <f t="shared" si="9"/>
        <v>Débil</v>
      </c>
      <c r="AJ55" s="21" t="str">
        <f>IFERROR(VLOOKUP((CONCATENATE(AG55,AI55)),Listados!$U$3:$V$11,2,FALSE),"")</f>
        <v/>
      </c>
      <c r="AK55" s="48">
        <f t="shared" si="10"/>
        <v>100</v>
      </c>
      <c r="AL55" s="354">
        <f>AVERAGE(AK55:AK60)</f>
        <v>100</v>
      </c>
      <c r="AM55" s="356" t="str">
        <f>IF(AL55&lt;=50, "Débil", IF(AL55&lt;=99,"Moderado","Fuerte"))</f>
        <v>Fuerte</v>
      </c>
      <c r="AN55" s="173">
        <f>+IF(AND(Q55="Preventivo",AM55="Fuerte"),2,IF(AND(Q55="Preventivo",AM55="Moderado"),1,0))</f>
        <v>0</v>
      </c>
      <c r="AO55" s="173">
        <f t="shared" si="11"/>
        <v>2</v>
      </c>
      <c r="AP55" s="173">
        <f>+K55-AN55</f>
        <v>5</v>
      </c>
      <c r="AQ55" s="173">
        <f>+M55-AO55</f>
        <v>2</v>
      </c>
      <c r="AR55" s="345" t="str">
        <f>+VLOOKUP(MIN(AP55,AP56,AP57,AP58,AP59,AP60),Listados!$J$18:$K$24,2,TRUE)</f>
        <v>Posible</v>
      </c>
      <c r="AS55" s="345" t="str">
        <f>+VLOOKUP(MIN(AQ55,AQ56,AQ57,AQ58,AQ59,AQ60),Listados!$J$27:$K$32,2,TRUE)</f>
        <v>Menor</v>
      </c>
      <c r="AT55" s="345" t="str">
        <f>IF(AND(AR55&lt;&gt;"",AS55&lt;&gt;""),VLOOKUP(AR55&amp;AS55,Listados!$M$3:$N$27,2,FALSE),"")</f>
        <v>Moderado</v>
      </c>
      <c r="AU55" s="345" t="str">
        <f>+VLOOKUP(AT55,Listados!$P$3:$Q$6,2,FALSE)</f>
        <v xml:space="preserve"> Reducir el riesgo</v>
      </c>
      <c r="AV55" s="311"/>
      <c r="AW55" s="312"/>
      <c r="AX55" s="313"/>
      <c r="AY55" s="311"/>
      <c r="AZ55" s="312"/>
      <c r="BA55" s="313"/>
      <c r="BB55" s="311"/>
      <c r="BC55" s="312"/>
      <c r="BD55" s="313"/>
    </row>
    <row r="56" spans="1:56" ht="129.75" thickBot="1">
      <c r="A56" s="329"/>
      <c r="B56" s="331"/>
      <c r="C56" s="332"/>
      <c r="D56" s="333"/>
      <c r="E56" s="203"/>
      <c r="F56" s="203"/>
      <c r="G56" s="204" t="s">
        <v>264</v>
      </c>
      <c r="H56" s="204" t="s">
        <v>16</v>
      </c>
      <c r="I56" s="204" t="s">
        <v>265</v>
      </c>
      <c r="J56" s="331"/>
      <c r="K56" s="349"/>
      <c r="L56" s="352"/>
      <c r="M56" s="349"/>
      <c r="N56" s="359"/>
      <c r="O56" s="221" t="s">
        <v>266</v>
      </c>
      <c r="P56" s="203" t="s">
        <v>264</v>
      </c>
      <c r="Q56" s="204" t="s">
        <v>20</v>
      </c>
      <c r="R56" s="215"/>
      <c r="S56" s="27" t="str">
        <f t="shared" si="0"/>
        <v/>
      </c>
      <c r="T56" s="215"/>
      <c r="U56" s="27" t="str">
        <f t="shared" si="1"/>
        <v/>
      </c>
      <c r="V56" s="208"/>
      <c r="W56" s="27" t="str">
        <f t="shared" si="2"/>
        <v/>
      </c>
      <c r="X56" s="208"/>
      <c r="Y56" s="27" t="str">
        <f t="shared" si="3"/>
        <v/>
      </c>
      <c r="Z56" s="208"/>
      <c r="AA56" s="27" t="str">
        <f t="shared" si="4"/>
        <v/>
      </c>
      <c r="AB56" s="208"/>
      <c r="AC56" s="27" t="str">
        <f t="shared" si="5"/>
        <v/>
      </c>
      <c r="AD56" s="208"/>
      <c r="AE56" s="27" t="str">
        <f t="shared" si="6"/>
        <v/>
      </c>
      <c r="AF56" s="48" t="str">
        <f t="shared" si="7"/>
        <v/>
      </c>
      <c r="AG56" s="48" t="str">
        <f t="shared" si="8"/>
        <v/>
      </c>
      <c r="AH56" s="209"/>
      <c r="AI56" s="210" t="str">
        <f t="shared" si="9"/>
        <v>Débil</v>
      </c>
      <c r="AJ56" s="21" t="str">
        <f>IFERROR(VLOOKUP((CONCATENATE(AG56,AI56)),Listados!$U$3:$V$11,2,FALSE),"")</f>
        <v/>
      </c>
      <c r="AK56" s="48">
        <f t="shared" si="10"/>
        <v>100</v>
      </c>
      <c r="AL56" s="355"/>
      <c r="AM56" s="357"/>
      <c r="AN56" s="173">
        <f>+IF(AND(Q56="Preventivo",AM55="Fuerte"),2,IF(AND(Q56="Preventivo",AM55="Moderado"),1,0))</f>
        <v>2</v>
      </c>
      <c r="AO56" s="173">
        <f t="shared" si="11"/>
        <v>1</v>
      </c>
      <c r="AP56" s="173">
        <f>+K55-AN56</f>
        <v>3</v>
      </c>
      <c r="AQ56" s="173">
        <f>+M55-AO56</f>
        <v>3</v>
      </c>
      <c r="AR56" s="346"/>
      <c r="AS56" s="346"/>
      <c r="AT56" s="346"/>
      <c r="AU56" s="346"/>
      <c r="AV56" s="311"/>
      <c r="AW56" s="312"/>
      <c r="AX56" s="313"/>
      <c r="AY56" s="311"/>
      <c r="AZ56" s="312"/>
      <c r="BA56" s="313"/>
      <c r="BB56" s="311"/>
      <c r="BC56" s="312"/>
      <c r="BD56" s="313"/>
    </row>
    <row r="57" spans="1:56" ht="171.75" thickBot="1">
      <c r="A57" s="329"/>
      <c r="B57" s="331"/>
      <c r="C57" s="332"/>
      <c r="D57" s="333"/>
      <c r="E57" s="203"/>
      <c r="F57" s="203"/>
      <c r="G57" s="204" t="s">
        <v>267</v>
      </c>
      <c r="H57" s="204" t="s">
        <v>16</v>
      </c>
      <c r="I57" s="204" t="s">
        <v>268</v>
      </c>
      <c r="J57" s="331"/>
      <c r="K57" s="349"/>
      <c r="L57" s="352"/>
      <c r="M57" s="349"/>
      <c r="N57" s="359"/>
      <c r="O57" s="203" t="s">
        <v>269</v>
      </c>
      <c r="P57" s="203" t="s">
        <v>270</v>
      </c>
      <c r="Q57" s="204" t="s">
        <v>123</v>
      </c>
      <c r="R57" s="215"/>
      <c r="S57" s="27" t="str">
        <f t="shared" si="0"/>
        <v/>
      </c>
      <c r="T57" s="215"/>
      <c r="U57" s="27" t="str">
        <f t="shared" si="1"/>
        <v/>
      </c>
      <c r="V57" s="208"/>
      <c r="W57" s="27" t="str">
        <f t="shared" si="2"/>
        <v/>
      </c>
      <c r="X57" s="208"/>
      <c r="Y57" s="27" t="str">
        <f t="shared" si="3"/>
        <v/>
      </c>
      <c r="Z57" s="208"/>
      <c r="AA57" s="27" t="str">
        <f t="shared" si="4"/>
        <v/>
      </c>
      <c r="AB57" s="208"/>
      <c r="AC57" s="27" t="str">
        <f t="shared" si="5"/>
        <v/>
      </c>
      <c r="AD57" s="208"/>
      <c r="AE57" s="27" t="str">
        <f t="shared" si="6"/>
        <v/>
      </c>
      <c r="AF57" s="48" t="str">
        <f t="shared" si="7"/>
        <v/>
      </c>
      <c r="AG57" s="48" t="str">
        <f t="shared" si="8"/>
        <v/>
      </c>
      <c r="AH57" s="209"/>
      <c r="AI57" s="210" t="str">
        <f t="shared" si="9"/>
        <v>Débil</v>
      </c>
      <c r="AJ57" s="21" t="str">
        <f>IFERROR(VLOOKUP((CONCATENATE(AG57,AI57)),Listados!$U$3:$V$11,2,FALSE),"")</f>
        <v/>
      </c>
      <c r="AK57" s="48">
        <f t="shared" si="10"/>
        <v>100</v>
      </c>
      <c r="AL57" s="355"/>
      <c r="AM57" s="357"/>
      <c r="AN57" s="173">
        <f>+IF(AND(Q57="Preventivo",AM55="Fuerte"),2,IF(AND(Q57="Preventivo",AM55="Moderado"),1,0))</f>
        <v>0</v>
      </c>
      <c r="AO57" s="173">
        <f t="shared" si="11"/>
        <v>2</v>
      </c>
      <c r="AP57" s="173">
        <f>+K55-AN57</f>
        <v>5</v>
      </c>
      <c r="AQ57" s="173">
        <f>+M55-AO57</f>
        <v>2</v>
      </c>
      <c r="AR57" s="346"/>
      <c r="AS57" s="346"/>
      <c r="AT57" s="346"/>
      <c r="AU57" s="346"/>
      <c r="AV57" s="311"/>
      <c r="AW57" s="312"/>
      <c r="AX57" s="313"/>
      <c r="AY57" s="311"/>
      <c r="AZ57" s="312"/>
      <c r="BA57" s="313"/>
      <c r="BB57" s="311"/>
      <c r="BC57" s="312"/>
      <c r="BD57" s="313"/>
    </row>
    <row r="58" spans="1:56" ht="143.25" thickBot="1">
      <c r="A58" s="329"/>
      <c r="B58" s="331"/>
      <c r="C58" s="332"/>
      <c r="D58" s="333"/>
      <c r="E58" s="203"/>
      <c r="F58" s="203"/>
      <c r="G58" s="204" t="s">
        <v>271</v>
      </c>
      <c r="H58" s="204" t="s">
        <v>16</v>
      </c>
      <c r="I58" s="204" t="s">
        <v>272</v>
      </c>
      <c r="J58" s="331"/>
      <c r="K58" s="349"/>
      <c r="L58" s="352"/>
      <c r="M58" s="349"/>
      <c r="N58" s="359"/>
      <c r="O58" s="203" t="s">
        <v>273</v>
      </c>
      <c r="P58" s="203" t="s">
        <v>274</v>
      </c>
      <c r="Q58" s="204" t="s">
        <v>20</v>
      </c>
      <c r="R58" s="215"/>
      <c r="S58" s="27" t="str">
        <f t="shared" si="0"/>
        <v/>
      </c>
      <c r="T58" s="215"/>
      <c r="U58" s="27" t="str">
        <f t="shared" si="1"/>
        <v/>
      </c>
      <c r="V58" s="208"/>
      <c r="W58" s="27" t="str">
        <f t="shared" si="2"/>
        <v/>
      </c>
      <c r="X58" s="208"/>
      <c r="Y58" s="27" t="str">
        <f t="shared" si="3"/>
        <v/>
      </c>
      <c r="Z58" s="208"/>
      <c r="AA58" s="27" t="str">
        <f t="shared" si="4"/>
        <v/>
      </c>
      <c r="AB58" s="208"/>
      <c r="AC58" s="27" t="str">
        <f t="shared" si="5"/>
        <v/>
      </c>
      <c r="AD58" s="208"/>
      <c r="AE58" s="27" t="str">
        <f t="shared" si="6"/>
        <v/>
      </c>
      <c r="AF58" s="48" t="str">
        <f t="shared" si="7"/>
        <v/>
      </c>
      <c r="AG58" s="48" t="str">
        <f t="shared" si="8"/>
        <v/>
      </c>
      <c r="AH58" s="209"/>
      <c r="AI58" s="210" t="str">
        <f t="shared" si="9"/>
        <v>Débil</v>
      </c>
      <c r="AJ58" s="21" t="str">
        <f>IFERROR(VLOOKUP((CONCATENATE(AG58,AI58)),Listados!$U$3:$V$11,2,FALSE),"")</f>
        <v/>
      </c>
      <c r="AK58" s="48">
        <f t="shared" si="10"/>
        <v>100</v>
      </c>
      <c r="AL58" s="355"/>
      <c r="AM58" s="357"/>
      <c r="AN58" s="173">
        <f>+IF(AND(Q58="Preventivo",AM55="Fuerte"),2,IF(AND(Q58="Preventivo",AM55="Moderado"),1,0))</f>
        <v>2</v>
      </c>
      <c r="AO58" s="173">
        <f t="shared" si="11"/>
        <v>1</v>
      </c>
      <c r="AP58" s="173">
        <f>+K55-AN58</f>
        <v>3</v>
      </c>
      <c r="AQ58" s="173">
        <f>+M55-AO58</f>
        <v>3</v>
      </c>
      <c r="AR58" s="346"/>
      <c r="AS58" s="346"/>
      <c r="AT58" s="346"/>
      <c r="AU58" s="346"/>
      <c r="AV58" s="311"/>
      <c r="AW58" s="312"/>
      <c r="AX58" s="313"/>
      <c r="AY58" s="311"/>
      <c r="AZ58" s="312"/>
      <c r="BA58" s="313"/>
      <c r="BB58" s="311"/>
      <c r="BC58" s="312"/>
      <c r="BD58" s="313"/>
    </row>
    <row r="59" spans="1:56" ht="129" thickBot="1">
      <c r="A59" s="329"/>
      <c r="B59" s="331"/>
      <c r="C59" s="332"/>
      <c r="D59" s="333"/>
      <c r="E59" s="203"/>
      <c r="F59" s="203"/>
      <c r="G59" s="204" t="s">
        <v>275</v>
      </c>
      <c r="H59" s="204" t="s">
        <v>16</v>
      </c>
      <c r="I59" s="222" t="s">
        <v>276</v>
      </c>
      <c r="J59" s="331"/>
      <c r="K59" s="349"/>
      <c r="L59" s="352"/>
      <c r="M59" s="349"/>
      <c r="N59" s="359"/>
      <c r="O59" s="203" t="s">
        <v>277</v>
      </c>
      <c r="P59" s="204" t="s">
        <v>275</v>
      </c>
      <c r="Q59" s="204" t="s">
        <v>20</v>
      </c>
      <c r="R59" s="215"/>
      <c r="S59" s="27" t="str">
        <f t="shared" si="0"/>
        <v/>
      </c>
      <c r="T59" s="215"/>
      <c r="U59" s="27" t="str">
        <f t="shared" si="1"/>
        <v/>
      </c>
      <c r="V59" s="208"/>
      <c r="W59" s="27" t="str">
        <f t="shared" si="2"/>
        <v/>
      </c>
      <c r="X59" s="208"/>
      <c r="Y59" s="27" t="str">
        <f t="shared" si="3"/>
        <v/>
      </c>
      <c r="Z59" s="208"/>
      <c r="AA59" s="27" t="str">
        <f t="shared" si="4"/>
        <v/>
      </c>
      <c r="AB59" s="208"/>
      <c r="AC59" s="27" t="str">
        <f t="shared" si="5"/>
        <v/>
      </c>
      <c r="AD59" s="208"/>
      <c r="AE59" s="27" t="str">
        <f t="shared" si="6"/>
        <v/>
      </c>
      <c r="AF59" s="48" t="str">
        <f t="shared" si="7"/>
        <v/>
      </c>
      <c r="AG59" s="48" t="str">
        <f t="shared" si="8"/>
        <v/>
      </c>
      <c r="AH59" s="209"/>
      <c r="AI59" s="210" t="str">
        <f t="shared" si="9"/>
        <v>Débil</v>
      </c>
      <c r="AJ59" s="21" t="str">
        <f>IFERROR(VLOOKUP((CONCATENATE(AG59,AI59)),Listados!$U$3:$V$11,2,FALSE),"")</f>
        <v/>
      </c>
      <c r="AK59" s="48">
        <f t="shared" si="10"/>
        <v>100</v>
      </c>
      <c r="AL59" s="355"/>
      <c r="AM59" s="357"/>
      <c r="AN59" s="173">
        <f>+IF(AND(Q59="Preventivo",AM55="Fuerte"),2,IF(AND(Q59="Preventivo",AM55="Moderado"),1,0))</f>
        <v>2</v>
      </c>
      <c r="AO59" s="173">
        <f t="shared" si="11"/>
        <v>1</v>
      </c>
      <c r="AP59" s="173">
        <f>+K55-AN59</f>
        <v>3</v>
      </c>
      <c r="AQ59" s="173">
        <f>+M55-AO59</f>
        <v>3</v>
      </c>
      <c r="AR59" s="346"/>
      <c r="AS59" s="346"/>
      <c r="AT59" s="346"/>
      <c r="AU59" s="346"/>
      <c r="AV59" s="311"/>
      <c r="AW59" s="312"/>
      <c r="AX59" s="313"/>
      <c r="AY59" s="311"/>
      <c r="AZ59" s="312"/>
      <c r="BA59" s="313"/>
      <c r="BB59" s="311"/>
      <c r="BC59" s="312"/>
      <c r="BD59" s="313"/>
    </row>
    <row r="60" spans="1:56" ht="157.5" thickBot="1">
      <c r="A60" s="330"/>
      <c r="B60" s="331"/>
      <c r="C60" s="332"/>
      <c r="D60" s="333"/>
      <c r="E60" s="203"/>
      <c r="F60" s="203"/>
      <c r="G60" s="204"/>
      <c r="H60" s="204"/>
      <c r="I60" s="204"/>
      <c r="J60" s="331"/>
      <c r="K60" s="350"/>
      <c r="L60" s="352"/>
      <c r="M60" s="350"/>
      <c r="N60" s="359"/>
      <c r="O60" s="203" t="s">
        <v>278</v>
      </c>
      <c r="P60" s="204" t="s">
        <v>275</v>
      </c>
      <c r="Q60" s="205"/>
      <c r="R60" s="215"/>
      <c r="S60" s="27" t="str">
        <f t="shared" si="0"/>
        <v/>
      </c>
      <c r="T60" s="215"/>
      <c r="U60" s="27" t="str">
        <f t="shared" si="1"/>
        <v/>
      </c>
      <c r="V60" s="208"/>
      <c r="W60" s="27" t="str">
        <f t="shared" si="2"/>
        <v/>
      </c>
      <c r="X60" s="208"/>
      <c r="Y60" s="27" t="str">
        <f t="shared" si="3"/>
        <v/>
      </c>
      <c r="Z60" s="208"/>
      <c r="AA60" s="27" t="str">
        <f t="shared" si="4"/>
        <v/>
      </c>
      <c r="AB60" s="208"/>
      <c r="AC60" s="27" t="str">
        <f t="shared" si="5"/>
        <v/>
      </c>
      <c r="AD60" s="208"/>
      <c r="AE60" s="27" t="str">
        <f t="shared" si="6"/>
        <v/>
      </c>
      <c r="AF60" s="48" t="str">
        <f t="shared" si="7"/>
        <v/>
      </c>
      <c r="AG60" s="48" t="str">
        <f t="shared" si="8"/>
        <v/>
      </c>
      <c r="AH60" s="209"/>
      <c r="AI60" s="210" t="str">
        <f t="shared" si="9"/>
        <v>Débil</v>
      </c>
      <c r="AJ60" s="21" t="str">
        <f>IFERROR(VLOOKUP((CONCATENATE(AG60,AI60)),Listados!$U$3:$V$11,2,FALSE),"")</f>
        <v/>
      </c>
      <c r="AK60" s="48">
        <f t="shared" si="10"/>
        <v>100</v>
      </c>
      <c r="AL60" s="356"/>
      <c r="AM60" s="357"/>
      <c r="AN60" s="173">
        <f>+IF(AND(Q60="Preventivo",AM55="Fuerte"),2,IF(AND(Q60="Preventivo",AM55="Moderado"),1,0))</f>
        <v>0</v>
      </c>
      <c r="AO60" s="173">
        <f t="shared" si="11"/>
        <v>0</v>
      </c>
      <c r="AP60" s="173">
        <f>+K55-AN60</f>
        <v>5</v>
      </c>
      <c r="AQ60" s="173">
        <f>+M55-AO60</f>
        <v>4</v>
      </c>
      <c r="AR60" s="347"/>
      <c r="AS60" s="347"/>
      <c r="AT60" s="347"/>
      <c r="AU60" s="347"/>
      <c r="AV60" s="311"/>
      <c r="AW60" s="312"/>
      <c r="AX60" s="313"/>
      <c r="AY60" s="311"/>
      <c r="AZ60" s="312"/>
      <c r="BA60" s="313"/>
      <c r="BB60" s="311"/>
      <c r="BC60" s="312"/>
      <c r="BD60" s="313"/>
    </row>
    <row r="61" spans="1:56" ht="15.75" thickBot="1">
      <c r="A61" s="328">
        <v>10</v>
      </c>
      <c r="B61" s="331"/>
      <c r="C61" s="332" t="str">
        <f>IFERROR(VLOOKUP(B61,Listados!B$3:C$20,2,FALSE),"")</f>
        <v/>
      </c>
      <c r="D61" s="333"/>
      <c r="E61" s="203"/>
      <c r="F61" s="203"/>
      <c r="G61" s="204"/>
      <c r="H61" s="204"/>
      <c r="I61" s="204"/>
      <c r="J61" s="331"/>
      <c r="K61" s="348" t="e">
        <f>+VLOOKUP(J61,Listados!$K$8:$L$12,2,0)</f>
        <v>#N/A</v>
      </c>
      <c r="L61" s="351"/>
      <c r="M61" s="348" t="e">
        <f>+VLOOKUP(L61,Listados!$K$13:$L$17,2,0)</f>
        <v>#N/A</v>
      </c>
      <c r="N61" s="358" t="str">
        <f>IF(AND(J61&lt;&gt;"",L61&lt;&gt;""),VLOOKUP(J61&amp;L61,Listados!$M$3:$N$27,2,FALSE),"")</f>
        <v/>
      </c>
      <c r="O61" s="203"/>
      <c r="P61" s="203"/>
      <c r="Q61" s="204"/>
      <c r="R61" s="215"/>
      <c r="S61" s="27" t="str">
        <f t="shared" si="0"/>
        <v/>
      </c>
      <c r="T61" s="215"/>
      <c r="U61" s="27" t="str">
        <f t="shared" si="1"/>
        <v/>
      </c>
      <c r="V61" s="208"/>
      <c r="W61" s="27" t="str">
        <f t="shared" si="2"/>
        <v/>
      </c>
      <c r="X61" s="208"/>
      <c r="Y61" s="27" t="str">
        <f t="shared" si="3"/>
        <v/>
      </c>
      <c r="Z61" s="208"/>
      <c r="AA61" s="27" t="str">
        <f t="shared" si="4"/>
        <v/>
      </c>
      <c r="AB61" s="208"/>
      <c r="AC61" s="27" t="str">
        <f t="shared" si="5"/>
        <v/>
      </c>
      <c r="AD61" s="208"/>
      <c r="AE61" s="27" t="str">
        <f t="shared" si="6"/>
        <v/>
      </c>
      <c r="AF61" s="48" t="str">
        <f t="shared" si="7"/>
        <v/>
      </c>
      <c r="AG61" s="48" t="str">
        <f t="shared" si="8"/>
        <v/>
      </c>
      <c r="AH61" s="209"/>
      <c r="AI61" s="210" t="str">
        <f t="shared" si="9"/>
        <v>Débil</v>
      </c>
      <c r="AJ61" s="21" t="str">
        <f>IFERROR(VLOOKUP((CONCATENATE(AG61,AI61)),Listados!$U$3:$V$11,2,FALSE),"")</f>
        <v/>
      </c>
      <c r="AK61" s="48">
        <f t="shared" si="10"/>
        <v>100</v>
      </c>
      <c r="AL61" s="354">
        <f>AVERAGE(AK61:AK66)</f>
        <v>100</v>
      </c>
      <c r="AM61" s="356" t="str">
        <f>IF(AL61&lt;=50, "Débil", IF(AL61&lt;=99,"Moderado","Fuerte"))</f>
        <v>Fuerte</v>
      </c>
      <c r="AN61" s="173">
        <f>+IF(AND(Q61="Preventivo",AM61="Fuerte"),2,IF(AND(Q61="Preventivo",AM61="Moderado"),1,0))</f>
        <v>0</v>
      </c>
      <c r="AO61" s="173">
        <f t="shared" si="11"/>
        <v>0</v>
      </c>
      <c r="AP61" s="173" t="e">
        <f>+K61-AN61</f>
        <v>#N/A</v>
      </c>
      <c r="AQ61" s="173" t="e">
        <f>+M61-AO61</f>
        <v>#N/A</v>
      </c>
      <c r="AR61" s="345" t="e">
        <f>+VLOOKUP(MIN(AP61,AP62,AP63,AP64,AP65,AP66),Listados!$J$18:$K$24,2,TRUE)</f>
        <v>#N/A</v>
      </c>
      <c r="AS61" s="345" t="e">
        <f>+VLOOKUP(MIN(AQ61,AQ62,AQ63,AQ64,AQ65,AQ66),Listados!$J$27:$K$32,2,TRUE)</f>
        <v>#N/A</v>
      </c>
      <c r="AT61" s="345" t="e">
        <f>IF(AND(AR61&lt;&gt;"",AS61&lt;&gt;""),VLOOKUP(AR61&amp;AS61,Listados!$M$3:$N$27,2,FALSE),"")</f>
        <v>#N/A</v>
      </c>
      <c r="AU61" s="345" t="e">
        <f>+VLOOKUP(AT61,Listados!$P$3:$Q$6,2,FALSE)</f>
        <v>#N/A</v>
      </c>
      <c r="AV61" s="311"/>
      <c r="AW61" s="312"/>
      <c r="AX61" s="313"/>
      <c r="AY61" s="311"/>
      <c r="AZ61" s="312"/>
      <c r="BA61" s="313"/>
      <c r="BB61" s="311"/>
      <c r="BC61" s="312"/>
      <c r="BD61" s="313"/>
    </row>
    <row r="62" spans="1:56" ht="15.75" thickBot="1">
      <c r="A62" s="329"/>
      <c r="B62" s="331"/>
      <c r="C62" s="332"/>
      <c r="D62" s="333"/>
      <c r="E62" s="203"/>
      <c r="F62" s="203"/>
      <c r="G62" s="204"/>
      <c r="H62" s="204"/>
      <c r="I62" s="204"/>
      <c r="J62" s="331"/>
      <c r="K62" s="349"/>
      <c r="L62" s="352"/>
      <c r="M62" s="349"/>
      <c r="N62" s="359"/>
      <c r="O62" s="203"/>
      <c r="P62" s="203"/>
      <c r="Q62" s="204"/>
      <c r="R62" s="215"/>
      <c r="S62" s="27" t="str">
        <f t="shared" si="0"/>
        <v/>
      </c>
      <c r="T62" s="215"/>
      <c r="U62" s="27" t="str">
        <f t="shared" si="1"/>
        <v/>
      </c>
      <c r="V62" s="208"/>
      <c r="W62" s="27" t="str">
        <f t="shared" si="2"/>
        <v/>
      </c>
      <c r="X62" s="208"/>
      <c r="Y62" s="27" t="str">
        <f t="shared" si="3"/>
        <v/>
      </c>
      <c r="Z62" s="208"/>
      <c r="AA62" s="27" t="str">
        <f t="shared" si="4"/>
        <v/>
      </c>
      <c r="AB62" s="208"/>
      <c r="AC62" s="27" t="str">
        <f t="shared" si="5"/>
        <v/>
      </c>
      <c r="AD62" s="208"/>
      <c r="AE62" s="27" t="str">
        <f t="shared" si="6"/>
        <v/>
      </c>
      <c r="AF62" s="48" t="str">
        <f t="shared" si="7"/>
        <v/>
      </c>
      <c r="AG62" s="48" t="str">
        <f t="shared" si="8"/>
        <v/>
      </c>
      <c r="AH62" s="209"/>
      <c r="AI62" s="210" t="str">
        <f t="shared" si="9"/>
        <v>Débil</v>
      </c>
      <c r="AJ62" s="21" t="str">
        <f>IFERROR(VLOOKUP((CONCATENATE(AG62,AI62)),Listados!$U$3:$V$11,2,FALSE),"")</f>
        <v/>
      </c>
      <c r="AK62" s="48">
        <f t="shared" si="10"/>
        <v>100</v>
      </c>
      <c r="AL62" s="355"/>
      <c r="AM62" s="357"/>
      <c r="AN62" s="173">
        <f>+IF(AND(Q62="Preventivo",AM61="Fuerte"),2,IF(AND(Q62="Preventivo",AM61="Moderado"),1,0))</f>
        <v>0</v>
      </c>
      <c r="AO62" s="173">
        <f t="shared" si="11"/>
        <v>0</v>
      </c>
      <c r="AP62" s="173" t="e">
        <f>+K61-AN62</f>
        <v>#N/A</v>
      </c>
      <c r="AQ62" s="173" t="e">
        <f>+M61-AO62</f>
        <v>#N/A</v>
      </c>
      <c r="AR62" s="346"/>
      <c r="AS62" s="346"/>
      <c r="AT62" s="346"/>
      <c r="AU62" s="346"/>
      <c r="AV62" s="311"/>
      <c r="AW62" s="312"/>
      <c r="AX62" s="313"/>
      <c r="AY62" s="311"/>
      <c r="AZ62" s="312"/>
      <c r="BA62" s="313"/>
      <c r="BB62" s="311"/>
      <c r="BC62" s="312"/>
      <c r="BD62" s="313"/>
    </row>
    <row r="63" spans="1:56" ht="15.75" thickBot="1">
      <c r="A63" s="329"/>
      <c r="B63" s="331"/>
      <c r="C63" s="332"/>
      <c r="D63" s="333"/>
      <c r="E63" s="203"/>
      <c r="F63" s="203"/>
      <c r="G63" s="204"/>
      <c r="H63" s="204"/>
      <c r="I63" s="204"/>
      <c r="J63" s="331"/>
      <c r="K63" s="349"/>
      <c r="L63" s="352"/>
      <c r="M63" s="349"/>
      <c r="N63" s="359"/>
      <c r="O63" s="203"/>
      <c r="P63" s="203"/>
      <c r="Q63" s="204"/>
      <c r="R63" s="208"/>
      <c r="S63" s="27" t="str">
        <f t="shared" si="0"/>
        <v/>
      </c>
      <c r="T63" s="215"/>
      <c r="U63" s="27" t="str">
        <f t="shared" si="1"/>
        <v/>
      </c>
      <c r="V63" s="208"/>
      <c r="W63" s="27" t="str">
        <f t="shared" si="2"/>
        <v/>
      </c>
      <c r="X63" s="208"/>
      <c r="Y63" s="27" t="str">
        <f t="shared" si="3"/>
        <v/>
      </c>
      <c r="Z63" s="208"/>
      <c r="AA63" s="27" t="str">
        <f t="shared" si="4"/>
        <v/>
      </c>
      <c r="AB63" s="208"/>
      <c r="AC63" s="27" t="str">
        <f t="shared" si="5"/>
        <v/>
      </c>
      <c r="AD63" s="208"/>
      <c r="AE63" s="27" t="str">
        <f t="shared" si="6"/>
        <v/>
      </c>
      <c r="AF63" s="48" t="str">
        <f t="shared" si="7"/>
        <v/>
      </c>
      <c r="AG63" s="48" t="str">
        <f t="shared" si="8"/>
        <v/>
      </c>
      <c r="AH63" s="209"/>
      <c r="AI63" s="210" t="str">
        <f t="shared" si="9"/>
        <v>Débil</v>
      </c>
      <c r="AJ63" s="21" t="str">
        <f>IFERROR(VLOOKUP((CONCATENATE(AG63,AI63)),Listados!$U$3:$V$11,2,FALSE),"")</f>
        <v/>
      </c>
      <c r="AK63" s="48">
        <f t="shared" si="10"/>
        <v>100</v>
      </c>
      <c r="AL63" s="355"/>
      <c r="AM63" s="357"/>
      <c r="AN63" s="173">
        <f>+IF(AND(Q63="Preventivo",AM61="Fuerte"),2,IF(AND(Q63="Preventivo",AM61="Moderado"),1,0))</f>
        <v>0</v>
      </c>
      <c r="AO63" s="173">
        <f t="shared" si="11"/>
        <v>0</v>
      </c>
      <c r="AP63" s="173" t="e">
        <f>+K61-AN63</f>
        <v>#N/A</v>
      </c>
      <c r="AQ63" s="173" t="e">
        <f>+M61-AO63</f>
        <v>#N/A</v>
      </c>
      <c r="AR63" s="346"/>
      <c r="AS63" s="346"/>
      <c r="AT63" s="346"/>
      <c r="AU63" s="346"/>
      <c r="AV63" s="311"/>
      <c r="AW63" s="312"/>
      <c r="AX63" s="313"/>
      <c r="AY63" s="311"/>
      <c r="AZ63" s="312"/>
      <c r="BA63" s="313"/>
      <c r="BB63" s="311"/>
      <c r="BC63" s="312"/>
      <c r="BD63" s="313"/>
    </row>
    <row r="64" spans="1:56" ht="15.75" thickBot="1">
      <c r="A64" s="329"/>
      <c r="B64" s="331"/>
      <c r="C64" s="332"/>
      <c r="D64" s="333"/>
      <c r="E64" s="203"/>
      <c r="F64" s="203"/>
      <c r="G64" s="204"/>
      <c r="H64" s="204"/>
      <c r="I64" s="204"/>
      <c r="J64" s="331"/>
      <c r="K64" s="349"/>
      <c r="L64" s="352"/>
      <c r="M64" s="349"/>
      <c r="N64" s="359"/>
      <c r="O64" s="203"/>
      <c r="P64" s="203"/>
      <c r="Q64" s="204"/>
      <c r="R64" s="215"/>
      <c r="S64" s="27" t="str">
        <f t="shared" si="0"/>
        <v/>
      </c>
      <c r="T64" s="215"/>
      <c r="U64" s="27" t="str">
        <f t="shared" si="1"/>
        <v/>
      </c>
      <c r="V64" s="208"/>
      <c r="W64" s="27" t="str">
        <f t="shared" si="2"/>
        <v/>
      </c>
      <c r="X64" s="208"/>
      <c r="Y64" s="27" t="str">
        <f t="shared" si="3"/>
        <v/>
      </c>
      <c r="Z64" s="208"/>
      <c r="AA64" s="27" t="str">
        <f t="shared" si="4"/>
        <v/>
      </c>
      <c r="AB64" s="208"/>
      <c r="AC64" s="27" t="str">
        <f t="shared" si="5"/>
        <v/>
      </c>
      <c r="AD64" s="208"/>
      <c r="AE64" s="27" t="str">
        <f t="shared" si="6"/>
        <v/>
      </c>
      <c r="AF64" s="48" t="str">
        <f t="shared" si="7"/>
        <v/>
      </c>
      <c r="AG64" s="48" t="str">
        <f t="shared" si="8"/>
        <v/>
      </c>
      <c r="AH64" s="209"/>
      <c r="AI64" s="210" t="str">
        <f t="shared" si="9"/>
        <v>Débil</v>
      </c>
      <c r="AJ64" s="21" t="str">
        <f>IFERROR(VLOOKUP((CONCATENATE(AG64,AI64)),Listados!$U$3:$V$11,2,FALSE),"")</f>
        <v/>
      </c>
      <c r="AK64" s="48">
        <f t="shared" si="10"/>
        <v>100</v>
      </c>
      <c r="AL64" s="355"/>
      <c r="AM64" s="357"/>
      <c r="AN64" s="173">
        <f>+IF(AND(Q64="Preventivo",AM61="Fuerte"),2,IF(AND(Q64="Preventivo",AM61="Moderado"),1,0))</f>
        <v>0</v>
      </c>
      <c r="AO64" s="173">
        <f t="shared" si="11"/>
        <v>0</v>
      </c>
      <c r="AP64" s="173" t="e">
        <f>+K61-AN64</f>
        <v>#N/A</v>
      </c>
      <c r="AQ64" s="173" t="e">
        <f>+M61-AO64</f>
        <v>#N/A</v>
      </c>
      <c r="AR64" s="346"/>
      <c r="AS64" s="346"/>
      <c r="AT64" s="346"/>
      <c r="AU64" s="346"/>
      <c r="AV64" s="311"/>
      <c r="AW64" s="312"/>
      <c r="AX64" s="313"/>
      <c r="AY64" s="311"/>
      <c r="AZ64" s="312"/>
      <c r="BA64" s="313"/>
      <c r="BB64" s="311"/>
      <c r="BC64" s="312"/>
      <c r="BD64" s="313"/>
    </row>
    <row r="65" spans="1:56" ht="15.75" thickBot="1">
      <c r="A65" s="329"/>
      <c r="B65" s="331"/>
      <c r="C65" s="332"/>
      <c r="D65" s="333"/>
      <c r="E65" s="203"/>
      <c r="F65" s="203"/>
      <c r="G65" s="204"/>
      <c r="H65" s="204"/>
      <c r="I65" s="204"/>
      <c r="J65" s="331"/>
      <c r="K65" s="349"/>
      <c r="L65" s="352"/>
      <c r="M65" s="349"/>
      <c r="N65" s="359"/>
      <c r="O65" s="203"/>
      <c r="P65" s="203"/>
      <c r="Q65" s="204"/>
      <c r="R65" s="215"/>
      <c r="S65" s="27" t="str">
        <f t="shared" si="0"/>
        <v/>
      </c>
      <c r="T65" s="215"/>
      <c r="U65" s="27" t="str">
        <f t="shared" si="1"/>
        <v/>
      </c>
      <c r="V65" s="208"/>
      <c r="W65" s="27" t="str">
        <f t="shared" si="2"/>
        <v/>
      </c>
      <c r="X65" s="208"/>
      <c r="Y65" s="27" t="str">
        <f t="shared" si="3"/>
        <v/>
      </c>
      <c r="Z65" s="208"/>
      <c r="AA65" s="27" t="str">
        <f t="shared" si="4"/>
        <v/>
      </c>
      <c r="AB65" s="208"/>
      <c r="AC65" s="27" t="str">
        <f t="shared" si="5"/>
        <v/>
      </c>
      <c r="AD65" s="208"/>
      <c r="AE65" s="27" t="str">
        <f t="shared" si="6"/>
        <v/>
      </c>
      <c r="AF65" s="48" t="str">
        <f t="shared" si="7"/>
        <v/>
      </c>
      <c r="AG65" s="48" t="str">
        <f t="shared" si="8"/>
        <v/>
      </c>
      <c r="AH65" s="209"/>
      <c r="AI65" s="210" t="str">
        <f t="shared" si="9"/>
        <v>Débil</v>
      </c>
      <c r="AJ65" s="21" t="str">
        <f>IFERROR(VLOOKUP((CONCATENATE(AG65,AI65)),Listados!$U$3:$V$11,2,FALSE),"")</f>
        <v/>
      </c>
      <c r="AK65" s="48">
        <f t="shared" si="10"/>
        <v>100</v>
      </c>
      <c r="AL65" s="355"/>
      <c r="AM65" s="357"/>
      <c r="AN65" s="173">
        <f>+IF(AND(Q65="Preventivo",AM61="Fuerte"),2,IF(AND(Q65="Preventivo",AM61="Moderado"),1,0))</f>
        <v>0</v>
      </c>
      <c r="AO65" s="173">
        <f t="shared" si="11"/>
        <v>0</v>
      </c>
      <c r="AP65" s="173" t="e">
        <f>+K61-AN65</f>
        <v>#N/A</v>
      </c>
      <c r="AQ65" s="173" t="e">
        <f>+M61-AO65</f>
        <v>#N/A</v>
      </c>
      <c r="AR65" s="346"/>
      <c r="AS65" s="346"/>
      <c r="AT65" s="346"/>
      <c r="AU65" s="346"/>
      <c r="AV65" s="311"/>
      <c r="AW65" s="312"/>
      <c r="AX65" s="313"/>
      <c r="AY65" s="311"/>
      <c r="AZ65" s="312"/>
      <c r="BA65" s="313"/>
      <c r="BB65" s="311"/>
      <c r="BC65" s="312"/>
      <c r="BD65" s="313"/>
    </row>
    <row r="66" spans="1:56" ht="15.75" thickBot="1">
      <c r="A66" s="330"/>
      <c r="B66" s="331"/>
      <c r="C66" s="332"/>
      <c r="D66" s="333"/>
      <c r="E66" s="203"/>
      <c r="F66" s="203"/>
      <c r="G66" s="204"/>
      <c r="H66" s="204"/>
      <c r="I66" s="204"/>
      <c r="J66" s="331"/>
      <c r="K66" s="350"/>
      <c r="L66" s="352"/>
      <c r="M66" s="350"/>
      <c r="N66" s="359"/>
      <c r="O66" s="203"/>
      <c r="P66" s="205"/>
      <c r="Q66" s="205"/>
      <c r="R66" s="215"/>
      <c r="S66" s="27" t="str">
        <f t="shared" si="0"/>
        <v/>
      </c>
      <c r="T66" s="215"/>
      <c r="U66" s="27" t="str">
        <f t="shared" si="1"/>
        <v/>
      </c>
      <c r="V66" s="208"/>
      <c r="W66" s="27" t="str">
        <f t="shared" si="2"/>
        <v/>
      </c>
      <c r="X66" s="208"/>
      <c r="Y66" s="27" t="str">
        <f t="shared" si="3"/>
        <v/>
      </c>
      <c r="Z66" s="208"/>
      <c r="AA66" s="27" t="str">
        <f t="shared" si="4"/>
        <v/>
      </c>
      <c r="AB66" s="208"/>
      <c r="AC66" s="27" t="str">
        <f t="shared" si="5"/>
        <v/>
      </c>
      <c r="AD66" s="208"/>
      <c r="AE66" s="27" t="str">
        <f t="shared" si="6"/>
        <v/>
      </c>
      <c r="AF66" s="48" t="str">
        <f t="shared" si="7"/>
        <v/>
      </c>
      <c r="AG66" s="48" t="str">
        <f t="shared" si="8"/>
        <v/>
      </c>
      <c r="AH66" s="209"/>
      <c r="AI66" s="210" t="str">
        <f t="shared" si="9"/>
        <v>Débil</v>
      </c>
      <c r="AJ66" s="21" t="str">
        <f>IFERROR(VLOOKUP((CONCATENATE(AG66,AI66)),Listados!$U$3:$V$11,2,FALSE),"")</f>
        <v/>
      </c>
      <c r="AK66" s="48">
        <f t="shared" si="10"/>
        <v>100</v>
      </c>
      <c r="AL66" s="356"/>
      <c r="AM66" s="357"/>
      <c r="AN66" s="173">
        <f>+IF(AND(Q66="Preventivo",AM61="Fuerte"),2,IF(AND(Q66="Preventivo",AM61="Moderado"),1,0))</f>
        <v>0</v>
      </c>
      <c r="AO66" s="173">
        <f t="shared" si="11"/>
        <v>0</v>
      </c>
      <c r="AP66" s="173" t="e">
        <f>+K61-AN66</f>
        <v>#N/A</v>
      </c>
      <c r="AQ66" s="173" t="e">
        <f>+M61-AO66</f>
        <v>#N/A</v>
      </c>
      <c r="AR66" s="347"/>
      <c r="AS66" s="347"/>
      <c r="AT66" s="347"/>
      <c r="AU66" s="347"/>
      <c r="AV66" s="311"/>
      <c r="AW66" s="312"/>
      <c r="AX66" s="313"/>
      <c r="AY66" s="311"/>
      <c r="AZ66" s="312"/>
      <c r="BA66" s="313"/>
      <c r="BB66" s="311"/>
      <c r="BC66" s="312"/>
      <c r="BD66" s="313"/>
    </row>
    <row r="67" spans="1:56" ht="171.75" thickBot="1">
      <c r="A67" s="328">
        <v>11</v>
      </c>
      <c r="B67" s="331" t="s">
        <v>79</v>
      </c>
      <c r="C67" s="332" t="str">
        <f>IFERROR(VLOOKUP(B67,Listados!B$3:C$20,2,FALSE),"")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67" s="333" t="s">
        <v>279</v>
      </c>
      <c r="E67" s="203" t="s">
        <v>15</v>
      </c>
      <c r="F67" s="203" t="s">
        <v>178</v>
      </c>
      <c r="G67" s="204" t="s">
        <v>280</v>
      </c>
      <c r="H67" s="204" t="s">
        <v>16</v>
      </c>
      <c r="I67" s="204" t="s">
        <v>281</v>
      </c>
      <c r="J67" s="331" t="s">
        <v>21</v>
      </c>
      <c r="K67" s="348">
        <f>+VLOOKUP(J67,Listados!$K$8:$L$12,2,0)</f>
        <v>1</v>
      </c>
      <c r="L67" s="351" t="s">
        <v>36</v>
      </c>
      <c r="M67" s="348">
        <f>+VLOOKUP(L67,Listados!$K$13:$L$17,2,0)</f>
        <v>3</v>
      </c>
      <c r="N67" s="358" t="str">
        <f>IF(AND(J67&lt;&gt;"",L67&lt;&gt;""),VLOOKUP(J67&amp;L67,Listados!$M$3:$N$27,2,FALSE),"")</f>
        <v>Moderado</v>
      </c>
      <c r="O67" s="223" t="s">
        <v>282</v>
      </c>
      <c r="P67" s="203" t="s">
        <v>280</v>
      </c>
      <c r="Q67" s="204" t="s">
        <v>123</v>
      </c>
      <c r="R67" s="215"/>
      <c r="S67" s="27" t="str">
        <f t="shared" si="0"/>
        <v/>
      </c>
      <c r="T67" s="215"/>
      <c r="U67" s="27" t="str">
        <f t="shared" si="1"/>
        <v/>
      </c>
      <c r="V67" s="208"/>
      <c r="W67" s="27" t="str">
        <f t="shared" si="2"/>
        <v/>
      </c>
      <c r="X67" s="208"/>
      <c r="Y67" s="27" t="str">
        <f t="shared" si="3"/>
        <v/>
      </c>
      <c r="Z67" s="208"/>
      <c r="AA67" s="27" t="str">
        <f t="shared" si="4"/>
        <v/>
      </c>
      <c r="AB67" s="208"/>
      <c r="AC67" s="27" t="str">
        <f t="shared" si="5"/>
        <v/>
      </c>
      <c r="AD67" s="208"/>
      <c r="AE67" s="27" t="str">
        <f t="shared" si="6"/>
        <v/>
      </c>
      <c r="AF67" s="48" t="str">
        <f t="shared" si="7"/>
        <v/>
      </c>
      <c r="AG67" s="48" t="str">
        <f t="shared" si="8"/>
        <v/>
      </c>
      <c r="AH67" s="209"/>
      <c r="AI67" s="210" t="str">
        <f t="shared" si="9"/>
        <v>Débil</v>
      </c>
      <c r="AJ67" s="21" t="str">
        <f>IFERROR(VLOOKUP((CONCATENATE(AG67,AI67)),Listados!$U$3:$V$11,2,FALSE),"")</f>
        <v/>
      </c>
      <c r="AK67" s="48">
        <f t="shared" si="10"/>
        <v>100</v>
      </c>
      <c r="AL67" s="354">
        <f>AVERAGE(AK67:AK72)</f>
        <v>100</v>
      </c>
      <c r="AM67" s="356" t="str">
        <f>IF(AL67&lt;=50, "Débil", IF(AL67&lt;=99,"Moderado","Fuerte"))</f>
        <v>Fuerte</v>
      </c>
      <c r="AN67" s="173">
        <f>+IF(AND(Q67="Preventivo",AM67="Fuerte"),2,IF(AND(Q67="Preventivo",AM67="Moderado"),1,0))</f>
        <v>0</v>
      </c>
      <c r="AO67" s="173">
        <f t="shared" si="11"/>
        <v>2</v>
      </c>
      <c r="AP67" s="173">
        <f>+K67-AN67</f>
        <v>1</v>
      </c>
      <c r="AQ67" s="173">
        <f>+M67-AO67</f>
        <v>1</v>
      </c>
      <c r="AR67" s="345" t="str">
        <f>+VLOOKUP(MIN(AP67,AP68,AP69,AP70,AP71,AP72),Listados!$J$18:$K$24,2,TRUE)</f>
        <v>Rara Vez</v>
      </c>
      <c r="AS67" s="345" t="str">
        <f>+VLOOKUP(MIN(AQ67,AQ68,AQ69,AQ70,AQ71,AQ72),Listados!$J$27:$K$32,2,TRUE)</f>
        <v>Insignificante</v>
      </c>
      <c r="AT67" s="345" t="str">
        <f>IF(AND(AR67&lt;&gt;"",AS67&lt;&gt;""),VLOOKUP(AR67&amp;AS67,Listados!$M$3:$N$27,2,FALSE),"")</f>
        <v>Bajo</v>
      </c>
      <c r="AU67" s="345" t="str">
        <f>+VLOOKUP(AT67,Listados!$P$3:$Q$6,2,FALSE)</f>
        <v>Asumir el riesgo</v>
      </c>
      <c r="AV67" s="311"/>
      <c r="AW67" s="312"/>
      <c r="AX67" s="313"/>
      <c r="AY67" s="311"/>
      <c r="AZ67" s="312"/>
      <c r="BA67" s="313"/>
      <c r="BB67" s="311"/>
      <c r="BC67" s="312"/>
      <c r="BD67" s="313"/>
    </row>
    <row r="68" spans="1:56" ht="86.25" thickBot="1">
      <c r="A68" s="329"/>
      <c r="B68" s="331"/>
      <c r="C68" s="332"/>
      <c r="D68" s="333"/>
      <c r="E68" s="203"/>
      <c r="F68" s="203"/>
      <c r="G68" s="204" t="s">
        <v>283</v>
      </c>
      <c r="H68" s="204" t="s">
        <v>16</v>
      </c>
      <c r="I68" s="204" t="s">
        <v>281</v>
      </c>
      <c r="J68" s="331"/>
      <c r="K68" s="349"/>
      <c r="L68" s="352"/>
      <c r="M68" s="349"/>
      <c r="N68" s="359"/>
      <c r="O68" s="204" t="s">
        <v>284</v>
      </c>
      <c r="P68" s="203" t="s">
        <v>283</v>
      </c>
      <c r="Q68" s="204" t="s">
        <v>20</v>
      </c>
      <c r="R68" s="215"/>
      <c r="S68" s="27" t="str">
        <f t="shared" si="0"/>
        <v/>
      </c>
      <c r="T68" s="215"/>
      <c r="U68" s="27" t="str">
        <f t="shared" si="1"/>
        <v/>
      </c>
      <c r="V68" s="208"/>
      <c r="W68" s="27" t="str">
        <f t="shared" si="2"/>
        <v/>
      </c>
      <c r="X68" s="208"/>
      <c r="Y68" s="27" t="str">
        <f t="shared" si="3"/>
        <v/>
      </c>
      <c r="Z68" s="208"/>
      <c r="AA68" s="27" t="str">
        <f t="shared" si="4"/>
        <v/>
      </c>
      <c r="AB68" s="208"/>
      <c r="AC68" s="27" t="str">
        <f t="shared" si="5"/>
        <v/>
      </c>
      <c r="AD68" s="208"/>
      <c r="AE68" s="27" t="str">
        <f t="shared" si="6"/>
        <v/>
      </c>
      <c r="AF68" s="48" t="str">
        <f t="shared" si="7"/>
        <v/>
      </c>
      <c r="AG68" s="48" t="str">
        <f t="shared" si="8"/>
        <v/>
      </c>
      <c r="AH68" s="209"/>
      <c r="AI68" s="210" t="str">
        <f t="shared" si="9"/>
        <v>Débil</v>
      </c>
      <c r="AJ68" s="21" t="str">
        <f>IFERROR(VLOOKUP((CONCATENATE(AG68,AI68)),Listados!$U$3:$V$11,2,FALSE),"")</f>
        <v/>
      </c>
      <c r="AK68" s="48">
        <f t="shared" si="10"/>
        <v>100</v>
      </c>
      <c r="AL68" s="355"/>
      <c r="AM68" s="357"/>
      <c r="AN68" s="173">
        <f>+IF(AND(Q68="Preventivo",AM67="Fuerte"),2,IF(AND(Q68="Preventivo",AM67="Moderado"),1,0))</f>
        <v>2</v>
      </c>
      <c r="AO68" s="173">
        <f t="shared" si="11"/>
        <v>1</v>
      </c>
      <c r="AP68" s="173">
        <f>+K67-AN68</f>
        <v>-1</v>
      </c>
      <c r="AQ68" s="173">
        <f>+M67-AO68</f>
        <v>2</v>
      </c>
      <c r="AR68" s="346"/>
      <c r="AS68" s="346"/>
      <c r="AT68" s="346"/>
      <c r="AU68" s="346"/>
      <c r="AV68" s="311"/>
      <c r="AW68" s="312"/>
      <c r="AX68" s="313"/>
      <c r="AY68" s="311"/>
      <c r="AZ68" s="312"/>
      <c r="BA68" s="313"/>
      <c r="BB68" s="311"/>
      <c r="BC68" s="312"/>
      <c r="BD68" s="313"/>
    </row>
    <row r="69" spans="1:56" ht="101.25" thickBot="1">
      <c r="A69" s="329"/>
      <c r="B69" s="331"/>
      <c r="C69" s="332"/>
      <c r="D69" s="333"/>
      <c r="E69" s="203"/>
      <c r="F69" s="203"/>
      <c r="G69" s="204" t="s">
        <v>285</v>
      </c>
      <c r="H69" s="204" t="s">
        <v>16</v>
      </c>
      <c r="I69" s="204" t="s">
        <v>281</v>
      </c>
      <c r="J69" s="331"/>
      <c r="K69" s="349"/>
      <c r="L69" s="352"/>
      <c r="M69" s="349"/>
      <c r="N69" s="359"/>
      <c r="O69" s="205" t="s">
        <v>286</v>
      </c>
      <c r="P69" s="203" t="s">
        <v>285</v>
      </c>
      <c r="Q69" s="204" t="s">
        <v>20</v>
      </c>
      <c r="R69" s="215"/>
      <c r="S69" s="27" t="str">
        <f t="shared" si="0"/>
        <v/>
      </c>
      <c r="T69" s="215"/>
      <c r="U69" s="27" t="str">
        <f t="shared" si="1"/>
        <v/>
      </c>
      <c r="V69" s="208"/>
      <c r="W69" s="27" t="str">
        <f t="shared" si="2"/>
        <v/>
      </c>
      <c r="X69" s="208"/>
      <c r="Y69" s="27" t="str">
        <f t="shared" si="3"/>
        <v/>
      </c>
      <c r="Z69" s="208"/>
      <c r="AA69" s="27" t="str">
        <f t="shared" si="4"/>
        <v/>
      </c>
      <c r="AB69" s="208"/>
      <c r="AC69" s="27" t="str">
        <f t="shared" si="5"/>
        <v/>
      </c>
      <c r="AD69" s="208"/>
      <c r="AE69" s="27" t="str">
        <f t="shared" si="6"/>
        <v/>
      </c>
      <c r="AF69" s="48" t="str">
        <f t="shared" si="7"/>
        <v/>
      </c>
      <c r="AG69" s="48" t="str">
        <f t="shared" si="8"/>
        <v/>
      </c>
      <c r="AH69" s="209"/>
      <c r="AI69" s="210" t="str">
        <f t="shared" si="9"/>
        <v>Débil</v>
      </c>
      <c r="AJ69" s="21" t="str">
        <f>IFERROR(VLOOKUP((CONCATENATE(AG69,AI69)),Listados!$U$3:$V$11,2,FALSE),"")</f>
        <v/>
      </c>
      <c r="AK69" s="48">
        <f t="shared" si="10"/>
        <v>100</v>
      </c>
      <c r="AL69" s="355"/>
      <c r="AM69" s="357"/>
      <c r="AN69" s="173">
        <f>+IF(AND(Q69="Preventivo",AM67="Fuerte"),2,IF(AND(Q69="Preventivo",AM67="Moderado"),1,0))</f>
        <v>2</v>
      </c>
      <c r="AO69" s="173">
        <f t="shared" si="11"/>
        <v>1</v>
      </c>
      <c r="AP69" s="173">
        <f>+K67-AN69</f>
        <v>-1</v>
      </c>
      <c r="AQ69" s="173">
        <f>+M67-AO69</f>
        <v>2</v>
      </c>
      <c r="AR69" s="346"/>
      <c r="AS69" s="346"/>
      <c r="AT69" s="346"/>
      <c r="AU69" s="346"/>
      <c r="AV69" s="311"/>
      <c r="AW69" s="312"/>
      <c r="AX69" s="313"/>
      <c r="AY69" s="311"/>
      <c r="AZ69" s="312"/>
      <c r="BA69" s="313"/>
      <c r="BB69" s="311"/>
      <c r="BC69" s="312"/>
      <c r="BD69" s="313"/>
    </row>
    <row r="70" spans="1:56" ht="171.75" thickBot="1">
      <c r="A70" s="329"/>
      <c r="B70" s="331"/>
      <c r="C70" s="332"/>
      <c r="D70" s="333"/>
      <c r="E70" s="203"/>
      <c r="F70" s="203"/>
      <c r="G70" s="204" t="s">
        <v>287</v>
      </c>
      <c r="H70" s="204" t="s">
        <v>16</v>
      </c>
      <c r="I70" s="204" t="s">
        <v>288</v>
      </c>
      <c r="J70" s="331"/>
      <c r="K70" s="349"/>
      <c r="L70" s="352"/>
      <c r="M70" s="349"/>
      <c r="N70" s="359"/>
      <c r="O70" s="223" t="s">
        <v>282</v>
      </c>
      <c r="P70" s="203" t="s">
        <v>287</v>
      </c>
      <c r="Q70" s="204" t="s">
        <v>123</v>
      </c>
      <c r="R70" s="215"/>
      <c r="S70" s="27" t="str">
        <f t="shared" si="0"/>
        <v/>
      </c>
      <c r="T70" s="215"/>
      <c r="U70" s="27" t="str">
        <f t="shared" si="1"/>
        <v/>
      </c>
      <c r="V70" s="208"/>
      <c r="W70" s="27" t="str">
        <f t="shared" si="2"/>
        <v/>
      </c>
      <c r="X70" s="208"/>
      <c r="Y70" s="27" t="str">
        <f t="shared" si="3"/>
        <v/>
      </c>
      <c r="Z70" s="208"/>
      <c r="AA70" s="27" t="str">
        <f t="shared" si="4"/>
        <v/>
      </c>
      <c r="AB70" s="208"/>
      <c r="AC70" s="27" t="str">
        <f t="shared" si="5"/>
        <v/>
      </c>
      <c r="AD70" s="208"/>
      <c r="AE70" s="27" t="str">
        <f t="shared" si="6"/>
        <v/>
      </c>
      <c r="AF70" s="48" t="str">
        <f t="shared" si="7"/>
        <v/>
      </c>
      <c r="AG70" s="48" t="str">
        <f t="shared" si="8"/>
        <v/>
      </c>
      <c r="AH70" s="209"/>
      <c r="AI70" s="210" t="str">
        <f t="shared" si="9"/>
        <v>Débil</v>
      </c>
      <c r="AJ70" s="21" t="str">
        <f>IFERROR(VLOOKUP((CONCATENATE(AG70,AI70)),Listados!$U$3:$V$11,2,FALSE),"")</f>
        <v/>
      </c>
      <c r="AK70" s="48">
        <f t="shared" si="10"/>
        <v>100</v>
      </c>
      <c r="AL70" s="355"/>
      <c r="AM70" s="357"/>
      <c r="AN70" s="173">
        <f>+IF(AND(Q70="Preventivo",AM67="Fuerte"),2,IF(AND(Q70="Preventivo",AM67="Moderado"),1,0))</f>
        <v>0</v>
      </c>
      <c r="AO70" s="173">
        <f t="shared" si="11"/>
        <v>2</v>
      </c>
      <c r="AP70" s="173">
        <f>+K67-AN70</f>
        <v>1</v>
      </c>
      <c r="AQ70" s="173">
        <f>+M67-AO70</f>
        <v>1</v>
      </c>
      <c r="AR70" s="346"/>
      <c r="AS70" s="346"/>
      <c r="AT70" s="346"/>
      <c r="AU70" s="346"/>
      <c r="AV70" s="311"/>
      <c r="AW70" s="312"/>
      <c r="AX70" s="313"/>
      <c r="AY70" s="311"/>
      <c r="AZ70" s="312"/>
      <c r="BA70" s="313"/>
      <c r="BB70" s="311"/>
      <c r="BC70" s="312"/>
      <c r="BD70" s="313"/>
    </row>
    <row r="71" spans="1:56" ht="15.75" thickBot="1">
      <c r="A71" s="329"/>
      <c r="B71" s="331"/>
      <c r="C71" s="332"/>
      <c r="D71" s="333"/>
      <c r="E71" s="203"/>
      <c r="F71" s="203"/>
      <c r="G71" s="204"/>
      <c r="H71" s="204"/>
      <c r="I71" s="204"/>
      <c r="J71" s="331"/>
      <c r="K71" s="349"/>
      <c r="L71" s="352"/>
      <c r="M71" s="349"/>
      <c r="N71" s="359"/>
      <c r="O71" s="203"/>
      <c r="P71" s="205"/>
      <c r="Q71" s="205"/>
      <c r="R71" s="215"/>
      <c r="S71" s="27" t="str">
        <f t="shared" si="0"/>
        <v/>
      </c>
      <c r="T71" s="215"/>
      <c r="U71" s="27" t="str">
        <f t="shared" si="1"/>
        <v/>
      </c>
      <c r="V71" s="208"/>
      <c r="W71" s="27" t="str">
        <f t="shared" si="2"/>
        <v/>
      </c>
      <c r="X71" s="208"/>
      <c r="Y71" s="27" t="str">
        <f t="shared" si="3"/>
        <v/>
      </c>
      <c r="Z71" s="208"/>
      <c r="AA71" s="27" t="str">
        <f t="shared" si="4"/>
        <v/>
      </c>
      <c r="AB71" s="208"/>
      <c r="AC71" s="27" t="str">
        <f t="shared" si="5"/>
        <v/>
      </c>
      <c r="AD71" s="208"/>
      <c r="AE71" s="27" t="str">
        <f t="shared" si="6"/>
        <v/>
      </c>
      <c r="AF71" s="48" t="str">
        <f t="shared" si="7"/>
        <v/>
      </c>
      <c r="AG71" s="48" t="str">
        <f t="shared" si="8"/>
        <v/>
      </c>
      <c r="AH71" s="209"/>
      <c r="AI71" s="210" t="str">
        <f t="shared" si="9"/>
        <v>Débil</v>
      </c>
      <c r="AJ71" s="21" t="str">
        <f>IFERROR(VLOOKUP((CONCATENATE(AG71,AI71)),Listados!$U$3:$V$11,2,FALSE),"")</f>
        <v/>
      </c>
      <c r="AK71" s="48">
        <f t="shared" si="10"/>
        <v>100</v>
      </c>
      <c r="AL71" s="355"/>
      <c r="AM71" s="357"/>
      <c r="AN71" s="173">
        <f>+IF(AND(Q71="Preventivo",AM67="Fuerte"),2,IF(AND(Q71="Preventivo",AM67="Moderado"),1,0))</f>
        <v>0</v>
      </c>
      <c r="AO71" s="173">
        <f t="shared" si="11"/>
        <v>0</v>
      </c>
      <c r="AP71" s="173">
        <f>+K67-AN71</f>
        <v>1</v>
      </c>
      <c r="AQ71" s="173">
        <f>+M67-AO71</f>
        <v>3</v>
      </c>
      <c r="AR71" s="346"/>
      <c r="AS71" s="346"/>
      <c r="AT71" s="346"/>
      <c r="AU71" s="346"/>
      <c r="AV71" s="311"/>
      <c r="AW71" s="312"/>
      <c r="AX71" s="313"/>
      <c r="AY71" s="311"/>
      <c r="AZ71" s="312"/>
      <c r="BA71" s="313"/>
      <c r="BB71" s="311"/>
      <c r="BC71" s="312"/>
      <c r="BD71" s="313"/>
    </row>
    <row r="72" spans="1:56" ht="15.75" thickBot="1">
      <c r="A72" s="330"/>
      <c r="B72" s="331"/>
      <c r="C72" s="332"/>
      <c r="D72" s="333"/>
      <c r="E72" s="203"/>
      <c r="F72" s="203"/>
      <c r="G72" s="204"/>
      <c r="H72" s="204"/>
      <c r="I72" s="204"/>
      <c r="J72" s="331"/>
      <c r="K72" s="350"/>
      <c r="L72" s="352"/>
      <c r="M72" s="350"/>
      <c r="N72" s="359"/>
      <c r="O72" s="203"/>
      <c r="P72" s="205"/>
      <c r="Q72" s="205"/>
      <c r="R72" s="215"/>
      <c r="S72" s="27" t="str">
        <f t="shared" ref="S72:S135" si="12">+IF(R72="si",15,"")</f>
        <v/>
      </c>
      <c r="T72" s="215"/>
      <c r="U72" s="27" t="str">
        <f t="shared" ref="U72:U135" si="13">+IF(T72="si",15,"")</f>
        <v/>
      </c>
      <c r="V72" s="208"/>
      <c r="W72" s="27" t="str">
        <f t="shared" ref="W72:W135" si="14">+IF(V72="si",15,"")</f>
        <v/>
      </c>
      <c r="X72" s="208"/>
      <c r="Y72" s="27" t="str">
        <f t="shared" ref="Y72:Y135" si="15">+IF(X72="Preventivo",15,IF(X72="Detectivo",10,""))</f>
        <v/>
      </c>
      <c r="Z72" s="208"/>
      <c r="AA72" s="27" t="str">
        <f t="shared" ref="AA72:AA135" si="16">+IF(Z72="si",15,"")</f>
        <v/>
      </c>
      <c r="AB72" s="208"/>
      <c r="AC72" s="27" t="str">
        <f t="shared" ref="AC72:AC135" si="17">+IF(AB72="si",15,"")</f>
        <v/>
      </c>
      <c r="AD72" s="208"/>
      <c r="AE72" s="27" t="str">
        <f t="shared" ref="AE72:AE135" si="18">+IF(AD72="Completa",10,IF(AD72="Incompleta",5,""))</f>
        <v/>
      </c>
      <c r="AF72" s="48" t="str">
        <f t="shared" ref="AF72:AF135" si="19">IF((SUM(S72,U72,W72,Y72,AA72,AC72,AE72)=0),"",(SUM(S72,U72,W72,Y72,AA72,AC72,AE72)))</f>
        <v/>
      </c>
      <c r="AG72" s="48" t="str">
        <f t="shared" ref="AG72:AG135" si="20">IF(AF72&lt;=85,"Débil",IF(AF72&lt;=95,"Moderado",IF(AF72=100,"Fuerte","")))</f>
        <v/>
      </c>
      <c r="AH72" s="209"/>
      <c r="AI72" s="210" t="str">
        <f t="shared" si="9"/>
        <v>Débil</v>
      </c>
      <c r="AJ72" s="21" t="str">
        <f>IFERROR(VLOOKUP((CONCATENATE(AG72,AI72)),Listados!$U$3:$V$11,2,FALSE),"")</f>
        <v/>
      </c>
      <c r="AK72" s="48">
        <f t="shared" si="10"/>
        <v>100</v>
      </c>
      <c r="AL72" s="356"/>
      <c r="AM72" s="357"/>
      <c r="AN72" s="173">
        <f>+IF(AND(Q72="Preventivo",AM67="Fuerte"),2,IF(AND(Q72="Preventivo",AM67="Moderado"),1,0))</f>
        <v>0</v>
      </c>
      <c r="AO72" s="173">
        <f t="shared" si="11"/>
        <v>0</v>
      </c>
      <c r="AP72" s="173">
        <f>+K67-AN72</f>
        <v>1</v>
      </c>
      <c r="AQ72" s="173">
        <f>+M67-AO72</f>
        <v>3</v>
      </c>
      <c r="AR72" s="347"/>
      <c r="AS72" s="347"/>
      <c r="AT72" s="347"/>
      <c r="AU72" s="347"/>
      <c r="AV72" s="311"/>
      <c r="AW72" s="312"/>
      <c r="AX72" s="313"/>
      <c r="AY72" s="311"/>
      <c r="AZ72" s="312"/>
      <c r="BA72" s="313"/>
      <c r="BB72" s="311"/>
      <c r="BC72" s="312"/>
      <c r="BD72" s="313"/>
    </row>
    <row r="73" spans="1:56" ht="87" thickBot="1">
      <c r="A73" s="328">
        <v>12</v>
      </c>
      <c r="B73" s="331" t="s">
        <v>79</v>
      </c>
      <c r="C73" s="332" t="str">
        <f>IFERROR(VLOOKUP(B73,Listados!B$3:C$20,2,FALSE),"")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73" s="333" t="s">
        <v>289</v>
      </c>
      <c r="E73" s="203" t="s">
        <v>15</v>
      </c>
      <c r="F73" s="203" t="s">
        <v>178</v>
      </c>
      <c r="G73" s="204" t="s">
        <v>290</v>
      </c>
      <c r="H73" s="204" t="s">
        <v>16</v>
      </c>
      <c r="I73" s="204" t="s">
        <v>281</v>
      </c>
      <c r="J73" s="331" t="s">
        <v>31</v>
      </c>
      <c r="K73" s="348">
        <f>+VLOOKUP(J73,Listados!$K$8:$L$12,2,0)</f>
        <v>2</v>
      </c>
      <c r="L73" s="351" t="s">
        <v>36</v>
      </c>
      <c r="M73" s="348">
        <f>+VLOOKUP(L73,Listados!$K$13:$L$17,2,0)</f>
        <v>3</v>
      </c>
      <c r="N73" s="358" t="str">
        <f>IF(AND(J73&lt;&gt;"",L73&lt;&gt;""),VLOOKUP(J73&amp;L73,Listados!$M$3:$N$27,2,FALSE),"")</f>
        <v>Moderado</v>
      </c>
      <c r="O73" s="205" t="s">
        <v>291</v>
      </c>
      <c r="P73" s="204" t="s">
        <v>290</v>
      </c>
      <c r="Q73" s="204" t="s">
        <v>20</v>
      </c>
      <c r="R73" s="215"/>
      <c r="S73" s="27" t="str">
        <f t="shared" si="12"/>
        <v/>
      </c>
      <c r="T73" s="215"/>
      <c r="U73" s="27" t="str">
        <f t="shared" si="13"/>
        <v/>
      </c>
      <c r="V73" s="208"/>
      <c r="W73" s="27" t="str">
        <f t="shared" si="14"/>
        <v/>
      </c>
      <c r="X73" s="208"/>
      <c r="Y73" s="27" t="str">
        <f t="shared" si="15"/>
        <v/>
      </c>
      <c r="Z73" s="208"/>
      <c r="AA73" s="27" t="str">
        <f t="shared" si="16"/>
        <v/>
      </c>
      <c r="AB73" s="208"/>
      <c r="AC73" s="27" t="str">
        <f t="shared" si="17"/>
        <v/>
      </c>
      <c r="AD73" s="208"/>
      <c r="AE73" s="27" t="str">
        <f t="shared" si="18"/>
        <v/>
      </c>
      <c r="AF73" s="48" t="str">
        <f t="shared" si="19"/>
        <v/>
      </c>
      <c r="AG73" s="48" t="str">
        <f t="shared" si="20"/>
        <v/>
      </c>
      <c r="AH73" s="209"/>
      <c r="AI73" s="210" t="str">
        <f t="shared" ref="AI73:AI136" si="21">+IF(AH73="siempre","Fuerte",IF(AH73="Algunas veces","Moderado","Débil"))</f>
        <v>Débil</v>
      </c>
      <c r="AJ73" s="21" t="str">
        <f>IFERROR(VLOOKUP((CONCATENATE(AG73,AI73)),Listados!$U$3:$V$11,2,FALSE),"")</f>
        <v/>
      </c>
      <c r="AK73" s="48">
        <f t="shared" ref="AK73:AK136" si="22">IF(ISBLANK(AJ73),"",IF(AJ73="Débil", 0, IF(AJ73="Moderado",50,100)))</f>
        <v>100</v>
      </c>
      <c r="AL73" s="354">
        <f>AVERAGE(AK73:AK78)</f>
        <v>100</v>
      </c>
      <c r="AM73" s="356" t="str">
        <f>IF(AL73&lt;=50, "Débil", IF(AL73&lt;=99,"Moderado","Fuerte"))</f>
        <v>Fuerte</v>
      </c>
      <c r="AN73" s="173">
        <f>+IF(AND(Q73="Preventivo",AM73="Fuerte"),2,IF(AND(Q73="Preventivo",AM73="Moderado"),1,0))</f>
        <v>2</v>
      </c>
      <c r="AO73" s="173">
        <f t="shared" si="11"/>
        <v>1</v>
      </c>
      <c r="AP73" s="173">
        <f>+K73-AN73</f>
        <v>0</v>
      </c>
      <c r="AQ73" s="173">
        <f>+M73-AO73</f>
        <v>2</v>
      </c>
      <c r="AR73" s="345" t="str">
        <f>+VLOOKUP(MIN(AP73,AP74,AP75,AP76,AP77,AP78),Listados!$J$18:$K$24,2,TRUE)</f>
        <v>Rara Vez</v>
      </c>
      <c r="AS73" s="345" t="str">
        <f>+VLOOKUP(MIN(AQ73,AQ74,AQ75,AQ76,AQ77,AQ78),Listados!$J$27:$K$32,2,TRUE)</f>
        <v>Menor</v>
      </c>
      <c r="AT73" s="345" t="str">
        <f>IF(AND(AR73&lt;&gt;"",AS73&lt;&gt;""),VLOOKUP(AR73&amp;AS73,Listados!$M$3:$N$27,2,FALSE),"")</f>
        <v>Bajo</v>
      </c>
      <c r="AU73" s="345" t="str">
        <f>+VLOOKUP(AT73,Listados!$P$3:$Q$6,2,FALSE)</f>
        <v>Asumir el riesgo</v>
      </c>
      <c r="AV73" s="311"/>
      <c r="AW73" s="312"/>
      <c r="AX73" s="313"/>
      <c r="AY73" s="311"/>
      <c r="AZ73" s="312"/>
      <c r="BA73" s="313"/>
      <c r="BB73" s="311"/>
      <c r="BC73" s="312"/>
      <c r="BD73" s="313"/>
    </row>
    <row r="74" spans="1:56" ht="87" thickBot="1">
      <c r="A74" s="329"/>
      <c r="B74" s="331"/>
      <c r="C74" s="332"/>
      <c r="D74" s="333"/>
      <c r="E74" s="203"/>
      <c r="F74" s="203"/>
      <c r="G74" s="204" t="s">
        <v>292</v>
      </c>
      <c r="H74" s="204" t="s">
        <v>16</v>
      </c>
      <c r="I74" s="204" t="s">
        <v>293</v>
      </c>
      <c r="J74" s="331"/>
      <c r="K74" s="349"/>
      <c r="L74" s="352"/>
      <c r="M74" s="349"/>
      <c r="N74" s="359"/>
      <c r="O74" s="205" t="s">
        <v>294</v>
      </c>
      <c r="P74" s="204" t="s">
        <v>290</v>
      </c>
      <c r="Q74" s="204" t="s">
        <v>20</v>
      </c>
      <c r="R74" s="215"/>
      <c r="S74" s="27" t="str">
        <f t="shared" si="12"/>
        <v/>
      </c>
      <c r="T74" s="215"/>
      <c r="U74" s="27" t="str">
        <f t="shared" si="13"/>
        <v/>
      </c>
      <c r="V74" s="208"/>
      <c r="W74" s="27" t="str">
        <f t="shared" si="14"/>
        <v/>
      </c>
      <c r="X74" s="208"/>
      <c r="Y74" s="27" t="str">
        <f t="shared" si="15"/>
        <v/>
      </c>
      <c r="Z74" s="208"/>
      <c r="AA74" s="27" t="str">
        <f t="shared" si="16"/>
        <v/>
      </c>
      <c r="AB74" s="208"/>
      <c r="AC74" s="27" t="str">
        <f t="shared" si="17"/>
        <v/>
      </c>
      <c r="AD74" s="208"/>
      <c r="AE74" s="27" t="str">
        <f t="shared" si="18"/>
        <v/>
      </c>
      <c r="AF74" s="48" t="str">
        <f t="shared" si="19"/>
        <v/>
      </c>
      <c r="AG74" s="48" t="str">
        <f t="shared" si="20"/>
        <v/>
      </c>
      <c r="AH74" s="209"/>
      <c r="AI74" s="210" t="str">
        <f t="shared" si="21"/>
        <v>Débil</v>
      </c>
      <c r="AJ74" s="21" t="str">
        <f>IFERROR(VLOOKUP((CONCATENATE(AG74,AI74)),Listados!$U$3:$V$11,2,FALSE),"")</f>
        <v/>
      </c>
      <c r="AK74" s="48">
        <f t="shared" si="22"/>
        <v>100</v>
      </c>
      <c r="AL74" s="355"/>
      <c r="AM74" s="357"/>
      <c r="AN74" s="173">
        <f>+IF(AND(Q74="Preventivo",AM73="Fuerte"),2,IF(AND(Q74="Preventivo",AM73="Moderado"),1,0))</f>
        <v>2</v>
      </c>
      <c r="AO74" s="173">
        <f t="shared" si="11"/>
        <v>1</v>
      </c>
      <c r="AP74" s="173">
        <f>+K73-AN74</f>
        <v>0</v>
      </c>
      <c r="AQ74" s="173">
        <f>+M73-AO74</f>
        <v>2</v>
      </c>
      <c r="AR74" s="346"/>
      <c r="AS74" s="346"/>
      <c r="AT74" s="346"/>
      <c r="AU74" s="346"/>
      <c r="AV74" s="311"/>
      <c r="AW74" s="312"/>
      <c r="AX74" s="313"/>
      <c r="AY74" s="311"/>
      <c r="AZ74" s="312"/>
      <c r="BA74" s="313"/>
      <c r="BB74" s="311"/>
      <c r="BC74" s="312"/>
      <c r="BD74" s="313"/>
    </row>
    <row r="75" spans="1:56" ht="161.25" customHeight="1" thickBot="1">
      <c r="A75" s="329"/>
      <c r="B75" s="331"/>
      <c r="C75" s="332"/>
      <c r="D75" s="333"/>
      <c r="E75" s="203"/>
      <c r="F75" s="203"/>
      <c r="G75" s="204"/>
      <c r="H75" s="204"/>
      <c r="I75" s="204" t="s">
        <v>288</v>
      </c>
      <c r="J75" s="331"/>
      <c r="K75" s="349"/>
      <c r="L75" s="352"/>
      <c r="M75" s="349"/>
      <c r="N75" s="359"/>
      <c r="O75" s="224" t="s">
        <v>295</v>
      </c>
      <c r="P75" s="204" t="s">
        <v>292</v>
      </c>
      <c r="Q75" s="204" t="s">
        <v>20</v>
      </c>
      <c r="R75" s="215"/>
      <c r="S75" s="27" t="str">
        <f t="shared" si="12"/>
        <v/>
      </c>
      <c r="T75" s="215"/>
      <c r="U75" s="27" t="str">
        <f t="shared" si="13"/>
        <v/>
      </c>
      <c r="V75" s="208"/>
      <c r="W75" s="27" t="str">
        <f t="shared" si="14"/>
        <v/>
      </c>
      <c r="X75" s="208"/>
      <c r="Y75" s="27" t="str">
        <f t="shared" si="15"/>
        <v/>
      </c>
      <c r="Z75" s="208"/>
      <c r="AA75" s="27" t="str">
        <f t="shared" si="16"/>
        <v/>
      </c>
      <c r="AB75" s="208"/>
      <c r="AC75" s="27" t="str">
        <f t="shared" si="17"/>
        <v/>
      </c>
      <c r="AD75" s="208"/>
      <c r="AE75" s="27" t="str">
        <f t="shared" si="18"/>
        <v/>
      </c>
      <c r="AF75" s="48" t="str">
        <f t="shared" si="19"/>
        <v/>
      </c>
      <c r="AG75" s="48" t="str">
        <f t="shared" si="20"/>
        <v/>
      </c>
      <c r="AH75" s="209"/>
      <c r="AI75" s="210" t="str">
        <f t="shared" si="21"/>
        <v>Débil</v>
      </c>
      <c r="AJ75" s="21" t="str">
        <f>IFERROR(VLOOKUP((CONCATENATE(AG75,AI75)),Listados!$U$3:$V$11,2,FALSE),"")</f>
        <v/>
      </c>
      <c r="AK75" s="48">
        <f t="shared" si="22"/>
        <v>100</v>
      </c>
      <c r="AL75" s="355"/>
      <c r="AM75" s="357"/>
      <c r="AN75" s="173">
        <f>+IF(AND(Q75="Preventivo",AM73="Fuerte"),2,IF(AND(Q75="Preventivo",AM73="Moderado"),1,0))</f>
        <v>2</v>
      </c>
      <c r="AO75" s="173">
        <f t="shared" si="11"/>
        <v>1</v>
      </c>
      <c r="AP75" s="173">
        <f>+K73-AN75</f>
        <v>0</v>
      </c>
      <c r="AQ75" s="173">
        <f>+M73-AO75</f>
        <v>2</v>
      </c>
      <c r="AR75" s="346"/>
      <c r="AS75" s="346"/>
      <c r="AT75" s="346"/>
      <c r="AU75" s="346"/>
      <c r="AV75" s="311"/>
      <c r="AW75" s="312"/>
      <c r="AX75" s="313"/>
      <c r="AY75" s="311"/>
      <c r="AZ75" s="312"/>
      <c r="BA75" s="313"/>
      <c r="BB75" s="311"/>
      <c r="BC75" s="312"/>
      <c r="BD75" s="313"/>
    </row>
    <row r="76" spans="1:56" ht="15.75" thickBot="1">
      <c r="A76" s="329"/>
      <c r="B76" s="331"/>
      <c r="C76" s="332"/>
      <c r="D76" s="333"/>
      <c r="E76" s="203"/>
      <c r="F76" s="203"/>
      <c r="G76" s="204"/>
      <c r="H76" s="204"/>
      <c r="I76" s="204"/>
      <c r="J76" s="331"/>
      <c r="K76" s="349"/>
      <c r="L76" s="352"/>
      <c r="M76" s="349"/>
      <c r="N76" s="359"/>
      <c r="O76" s="203"/>
      <c r="P76" s="205"/>
      <c r="Q76" s="205"/>
      <c r="R76" s="215"/>
      <c r="S76" s="27" t="str">
        <f t="shared" si="12"/>
        <v/>
      </c>
      <c r="T76" s="215"/>
      <c r="U76" s="27" t="str">
        <f t="shared" si="13"/>
        <v/>
      </c>
      <c r="V76" s="208"/>
      <c r="W76" s="27" t="str">
        <f t="shared" si="14"/>
        <v/>
      </c>
      <c r="X76" s="208"/>
      <c r="Y76" s="27" t="str">
        <f t="shared" si="15"/>
        <v/>
      </c>
      <c r="Z76" s="208"/>
      <c r="AA76" s="27" t="str">
        <f t="shared" si="16"/>
        <v/>
      </c>
      <c r="AB76" s="208"/>
      <c r="AC76" s="27" t="str">
        <f t="shared" si="17"/>
        <v/>
      </c>
      <c r="AD76" s="208"/>
      <c r="AE76" s="27" t="str">
        <f t="shared" si="18"/>
        <v/>
      </c>
      <c r="AF76" s="48" t="str">
        <f t="shared" si="19"/>
        <v/>
      </c>
      <c r="AG76" s="48" t="str">
        <f t="shared" si="20"/>
        <v/>
      </c>
      <c r="AH76" s="209"/>
      <c r="AI76" s="210" t="str">
        <f t="shared" si="21"/>
        <v>Débil</v>
      </c>
      <c r="AJ76" s="21" t="str">
        <f>IFERROR(VLOOKUP((CONCATENATE(AG76,AI76)),Listados!$U$3:$V$11,2,FALSE),"")</f>
        <v/>
      </c>
      <c r="AK76" s="48">
        <f t="shared" si="22"/>
        <v>100</v>
      </c>
      <c r="AL76" s="355"/>
      <c r="AM76" s="357"/>
      <c r="AN76" s="173">
        <f>+IF(AND(Q76="Preventivo",AM73="Fuerte"),2,IF(AND(Q76="Preventivo",AM73="Moderado"),1,0))</f>
        <v>0</v>
      </c>
      <c r="AO76" s="173">
        <f t="shared" si="11"/>
        <v>0</v>
      </c>
      <c r="AP76" s="173">
        <f>+K73-AN76</f>
        <v>2</v>
      </c>
      <c r="AQ76" s="173">
        <f>+M73-AO76</f>
        <v>3</v>
      </c>
      <c r="AR76" s="346"/>
      <c r="AS76" s="346"/>
      <c r="AT76" s="346"/>
      <c r="AU76" s="346"/>
      <c r="AV76" s="311"/>
      <c r="AW76" s="312"/>
      <c r="AX76" s="313"/>
      <c r="AY76" s="311"/>
      <c r="AZ76" s="312"/>
      <c r="BA76" s="313"/>
      <c r="BB76" s="311"/>
      <c r="BC76" s="312"/>
      <c r="BD76" s="313"/>
    </row>
    <row r="77" spans="1:56" ht="15.75" thickBot="1">
      <c r="A77" s="329"/>
      <c r="B77" s="331"/>
      <c r="C77" s="332"/>
      <c r="D77" s="333"/>
      <c r="E77" s="203"/>
      <c r="F77" s="203"/>
      <c r="G77" s="204"/>
      <c r="H77" s="204"/>
      <c r="I77" s="204"/>
      <c r="J77" s="331"/>
      <c r="K77" s="349"/>
      <c r="L77" s="352"/>
      <c r="M77" s="349"/>
      <c r="N77" s="359"/>
      <c r="O77" s="203"/>
      <c r="P77" s="205"/>
      <c r="Q77" s="205"/>
      <c r="R77" s="215"/>
      <c r="S77" s="27" t="str">
        <f t="shared" si="12"/>
        <v/>
      </c>
      <c r="T77" s="215"/>
      <c r="U77" s="27" t="str">
        <f t="shared" si="13"/>
        <v/>
      </c>
      <c r="V77" s="208"/>
      <c r="W77" s="27" t="str">
        <f t="shared" si="14"/>
        <v/>
      </c>
      <c r="X77" s="208"/>
      <c r="Y77" s="27" t="str">
        <f t="shared" si="15"/>
        <v/>
      </c>
      <c r="Z77" s="208"/>
      <c r="AA77" s="27" t="str">
        <f t="shared" si="16"/>
        <v/>
      </c>
      <c r="AB77" s="208"/>
      <c r="AC77" s="27" t="str">
        <f t="shared" si="17"/>
        <v/>
      </c>
      <c r="AD77" s="208"/>
      <c r="AE77" s="27" t="str">
        <f t="shared" si="18"/>
        <v/>
      </c>
      <c r="AF77" s="48" t="str">
        <f t="shared" si="19"/>
        <v/>
      </c>
      <c r="AG77" s="48" t="str">
        <f t="shared" si="20"/>
        <v/>
      </c>
      <c r="AH77" s="209"/>
      <c r="AI77" s="210" t="str">
        <f t="shared" si="21"/>
        <v>Débil</v>
      </c>
      <c r="AJ77" s="21" t="str">
        <f>IFERROR(VLOOKUP((CONCATENATE(AG77,AI77)),Listados!$U$3:$V$11,2,FALSE),"")</f>
        <v/>
      </c>
      <c r="AK77" s="48">
        <f t="shared" si="22"/>
        <v>100</v>
      </c>
      <c r="AL77" s="355"/>
      <c r="AM77" s="357"/>
      <c r="AN77" s="173">
        <f>+IF(AND(Q77="Preventivo",AM73="Fuerte"),2,IF(AND(Q77="Preventivo",AM73="Moderado"),1,0))</f>
        <v>0</v>
      </c>
      <c r="AO77" s="173">
        <f t="shared" si="11"/>
        <v>0</v>
      </c>
      <c r="AP77" s="173">
        <f>+K73-AN77</f>
        <v>2</v>
      </c>
      <c r="AQ77" s="173">
        <f>+M73-AO77</f>
        <v>3</v>
      </c>
      <c r="AR77" s="346"/>
      <c r="AS77" s="346"/>
      <c r="AT77" s="346"/>
      <c r="AU77" s="346"/>
      <c r="AV77" s="311"/>
      <c r="AW77" s="312"/>
      <c r="AX77" s="313"/>
      <c r="AY77" s="311"/>
      <c r="AZ77" s="312"/>
      <c r="BA77" s="313"/>
      <c r="BB77" s="311"/>
      <c r="BC77" s="312"/>
      <c r="BD77" s="313"/>
    </row>
    <row r="78" spans="1:56" ht="15.75" thickBot="1">
      <c r="A78" s="330"/>
      <c r="B78" s="331"/>
      <c r="C78" s="332"/>
      <c r="D78" s="333"/>
      <c r="E78" s="203"/>
      <c r="F78" s="203"/>
      <c r="G78" s="204"/>
      <c r="H78" s="204"/>
      <c r="I78" s="204"/>
      <c r="J78" s="331"/>
      <c r="K78" s="350"/>
      <c r="L78" s="352"/>
      <c r="M78" s="350"/>
      <c r="N78" s="359"/>
      <c r="O78" s="203"/>
      <c r="P78" s="205"/>
      <c r="Q78" s="205"/>
      <c r="R78" s="215"/>
      <c r="S78" s="27" t="str">
        <f t="shared" si="12"/>
        <v/>
      </c>
      <c r="T78" s="215"/>
      <c r="U78" s="27" t="str">
        <f t="shared" si="13"/>
        <v/>
      </c>
      <c r="V78" s="208"/>
      <c r="W78" s="27" t="str">
        <f t="shared" si="14"/>
        <v/>
      </c>
      <c r="X78" s="208"/>
      <c r="Y78" s="27" t="str">
        <f t="shared" si="15"/>
        <v/>
      </c>
      <c r="Z78" s="208"/>
      <c r="AA78" s="27" t="str">
        <f t="shared" si="16"/>
        <v/>
      </c>
      <c r="AB78" s="208"/>
      <c r="AC78" s="27" t="str">
        <f t="shared" si="17"/>
        <v/>
      </c>
      <c r="AD78" s="208"/>
      <c r="AE78" s="27" t="str">
        <f t="shared" si="18"/>
        <v/>
      </c>
      <c r="AF78" s="48" t="str">
        <f t="shared" si="19"/>
        <v/>
      </c>
      <c r="AG78" s="48" t="str">
        <f t="shared" si="20"/>
        <v/>
      </c>
      <c r="AH78" s="209"/>
      <c r="AI78" s="210" t="str">
        <f t="shared" si="21"/>
        <v>Débil</v>
      </c>
      <c r="AJ78" s="21" t="str">
        <f>IFERROR(VLOOKUP((CONCATENATE(AG78,AI78)),Listados!$U$3:$V$11,2,FALSE),"")</f>
        <v/>
      </c>
      <c r="AK78" s="48">
        <f t="shared" si="22"/>
        <v>100</v>
      </c>
      <c r="AL78" s="356"/>
      <c r="AM78" s="357"/>
      <c r="AN78" s="173">
        <f>+IF(AND(Q78="Preventivo",AM73="Fuerte"),2,IF(AND(Q78="Preventivo",AM73="Moderado"),1,0))</f>
        <v>0</v>
      </c>
      <c r="AO78" s="173">
        <f t="shared" ref="AO78:AO141" si="23">+IF(AND(Q78="Detectivo",$AM$7="Fuerte"),2,IF(AND(Q78="Detectivo",$AM$7="Moderado"),1,IF(AND(Q78="Preventivo",$AM$7="Fuerte"),1,0)))</f>
        <v>0</v>
      </c>
      <c r="AP78" s="173">
        <f>+K73-AN78</f>
        <v>2</v>
      </c>
      <c r="AQ78" s="173">
        <f>+M73-AO78</f>
        <v>3</v>
      </c>
      <c r="AR78" s="347"/>
      <c r="AS78" s="347"/>
      <c r="AT78" s="347"/>
      <c r="AU78" s="347"/>
      <c r="AV78" s="311"/>
      <c r="AW78" s="312"/>
      <c r="AX78" s="313"/>
      <c r="AY78" s="311"/>
      <c r="AZ78" s="312"/>
      <c r="BA78" s="313"/>
      <c r="BB78" s="311"/>
      <c r="BC78" s="312"/>
      <c r="BD78" s="313"/>
    </row>
    <row r="79" spans="1:56" ht="186.75" thickBot="1">
      <c r="A79" s="328">
        <v>13</v>
      </c>
      <c r="B79" s="331" t="s">
        <v>79</v>
      </c>
      <c r="C79" s="332" t="str">
        <f>IFERROR(VLOOKUP(B79,Listados!B$3:C$20,2,FALSE),"")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79" s="333" t="s">
        <v>296</v>
      </c>
      <c r="E79" s="203" t="s">
        <v>52</v>
      </c>
      <c r="F79" s="203"/>
      <c r="G79" s="204" t="s">
        <v>297</v>
      </c>
      <c r="H79" s="204" t="s">
        <v>16</v>
      </c>
      <c r="I79" s="204" t="s">
        <v>298</v>
      </c>
      <c r="J79" s="331" t="s">
        <v>21</v>
      </c>
      <c r="K79" s="348">
        <f>+VLOOKUP(J79,Listados!$K$8:$L$12,2,0)</f>
        <v>1</v>
      </c>
      <c r="L79" s="351" t="s">
        <v>36</v>
      </c>
      <c r="M79" s="348">
        <f>+VLOOKUP(L79,Listados!$K$13:$L$17,2,0)</f>
        <v>3</v>
      </c>
      <c r="N79" s="358" t="str">
        <f>IF(AND(J79&lt;&gt;"",L79&lt;&gt;""),VLOOKUP(J79&amp;L79,Listados!$M$3:$N$27,2,FALSE),"")</f>
        <v>Moderado</v>
      </c>
      <c r="O79" s="205" t="s">
        <v>299</v>
      </c>
      <c r="P79" s="204" t="s">
        <v>297</v>
      </c>
      <c r="Q79" s="204" t="s">
        <v>20</v>
      </c>
      <c r="R79" s="215"/>
      <c r="S79" s="27" t="str">
        <f t="shared" si="12"/>
        <v/>
      </c>
      <c r="T79" s="215"/>
      <c r="U79" s="27" t="str">
        <f t="shared" si="13"/>
        <v/>
      </c>
      <c r="V79" s="208"/>
      <c r="W79" s="27" t="str">
        <f t="shared" si="14"/>
        <v/>
      </c>
      <c r="X79" s="208"/>
      <c r="Y79" s="27" t="str">
        <f t="shared" si="15"/>
        <v/>
      </c>
      <c r="Z79" s="208"/>
      <c r="AA79" s="27" t="str">
        <f t="shared" si="16"/>
        <v/>
      </c>
      <c r="AB79" s="208"/>
      <c r="AC79" s="27" t="str">
        <f t="shared" si="17"/>
        <v/>
      </c>
      <c r="AD79" s="208"/>
      <c r="AE79" s="27" t="str">
        <f t="shared" si="18"/>
        <v/>
      </c>
      <c r="AF79" s="48" t="str">
        <f t="shared" si="19"/>
        <v/>
      </c>
      <c r="AG79" s="48" t="str">
        <f t="shared" si="20"/>
        <v/>
      </c>
      <c r="AH79" s="209"/>
      <c r="AI79" s="210" t="str">
        <f t="shared" si="21"/>
        <v>Débil</v>
      </c>
      <c r="AJ79" s="21" t="str">
        <f>IFERROR(VLOOKUP((CONCATENATE(AG79,AI79)),Listados!$U$3:$V$11,2,FALSE),"")</f>
        <v/>
      </c>
      <c r="AK79" s="48">
        <f t="shared" si="22"/>
        <v>100</v>
      </c>
      <c r="AL79" s="354">
        <f>AVERAGE(AK79:AK84)</f>
        <v>100</v>
      </c>
      <c r="AM79" s="356" t="str">
        <f>IF(AL79&lt;=50, "Débil", IF(AL79&lt;=99,"Moderado","Fuerte"))</f>
        <v>Fuerte</v>
      </c>
      <c r="AN79" s="173">
        <f>+IF(AND(Q79="Preventivo",AM79="Fuerte"),2,IF(AND(Q79="Preventivo",AM79="Moderado"),1,0))</f>
        <v>2</v>
      </c>
      <c r="AO79" s="173">
        <f t="shared" si="23"/>
        <v>1</v>
      </c>
      <c r="AP79" s="173">
        <f>+K79-AN79</f>
        <v>-1</v>
      </c>
      <c r="AQ79" s="173">
        <f>+M79-AO79</f>
        <v>2</v>
      </c>
      <c r="AR79" s="345" t="str">
        <f>+VLOOKUP(MIN(AP79,AP80,AP81,AP82,AP83,AP84),Listados!$J$18:$K$24,2,TRUE)</f>
        <v>Rara Vez</v>
      </c>
      <c r="AS79" s="345" t="str">
        <f>+VLOOKUP(MIN(AQ79,AQ80,AQ81,AQ82,AQ83,AQ84),Listados!$J$27:$K$32,2,TRUE)</f>
        <v>Insignificante</v>
      </c>
      <c r="AT79" s="345" t="str">
        <f>IF(AND(AR79&lt;&gt;"",AS79&lt;&gt;""),VLOOKUP(AR79&amp;AS79,Listados!$M$3:$N$27,2,FALSE),"")</f>
        <v>Bajo</v>
      </c>
      <c r="AU79" s="345" t="str">
        <f>+VLOOKUP(AT79,Listados!$P$3:$Q$6,2,FALSE)</f>
        <v>Asumir el riesgo</v>
      </c>
      <c r="AV79" s="311"/>
      <c r="AW79" s="312"/>
      <c r="AX79" s="313"/>
      <c r="AY79" s="311"/>
      <c r="AZ79" s="312"/>
      <c r="BA79" s="313"/>
      <c r="BB79" s="311"/>
      <c r="BC79" s="312"/>
      <c r="BD79" s="313"/>
    </row>
    <row r="80" spans="1:56" ht="171.75" thickBot="1">
      <c r="A80" s="329"/>
      <c r="B80" s="331"/>
      <c r="C80" s="332"/>
      <c r="D80" s="333"/>
      <c r="E80" s="203"/>
      <c r="F80" s="203"/>
      <c r="G80" s="204" t="s">
        <v>300</v>
      </c>
      <c r="H80" s="204" t="s">
        <v>30</v>
      </c>
      <c r="I80" s="204" t="s">
        <v>301</v>
      </c>
      <c r="J80" s="331"/>
      <c r="K80" s="349"/>
      <c r="L80" s="352"/>
      <c r="M80" s="349"/>
      <c r="N80" s="359"/>
      <c r="O80" s="223" t="s">
        <v>302</v>
      </c>
      <c r="P80" s="204" t="s">
        <v>300</v>
      </c>
      <c r="Q80" s="204" t="s">
        <v>20</v>
      </c>
      <c r="R80" s="215"/>
      <c r="S80" s="27" t="str">
        <f t="shared" si="12"/>
        <v/>
      </c>
      <c r="T80" s="215"/>
      <c r="U80" s="27" t="str">
        <f t="shared" si="13"/>
        <v/>
      </c>
      <c r="V80" s="208"/>
      <c r="W80" s="27" t="str">
        <f t="shared" si="14"/>
        <v/>
      </c>
      <c r="X80" s="208"/>
      <c r="Y80" s="27" t="str">
        <f t="shared" si="15"/>
        <v/>
      </c>
      <c r="Z80" s="208"/>
      <c r="AA80" s="27" t="str">
        <f t="shared" si="16"/>
        <v/>
      </c>
      <c r="AB80" s="208"/>
      <c r="AC80" s="27" t="str">
        <f t="shared" si="17"/>
        <v/>
      </c>
      <c r="AD80" s="208"/>
      <c r="AE80" s="27" t="str">
        <f t="shared" si="18"/>
        <v/>
      </c>
      <c r="AF80" s="48" t="str">
        <f t="shared" si="19"/>
        <v/>
      </c>
      <c r="AG80" s="48" t="str">
        <f t="shared" si="20"/>
        <v/>
      </c>
      <c r="AH80" s="209"/>
      <c r="AI80" s="210" t="str">
        <f t="shared" si="21"/>
        <v>Débil</v>
      </c>
      <c r="AJ80" s="21" t="str">
        <f>IFERROR(VLOOKUP((CONCATENATE(AG80,AI80)),Listados!$U$3:$V$11,2,FALSE),"")</f>
        <v/>
      </c>
      <c r="AK80" s="48">
        <f t="shared" si="22"/>
        <v>100</v>
      </c>
      <c r="AL80" s="355"/>
      <c r="AM80" s="357"/>
      <c r="AN80" s="173">
        <f>+IF(AND(Q80="Preventivo",AM79="Fuerte"),2,IF(AND(Q80="Preventivo",AM79="Moderado"),1,0))</f>
        <v>2</v>
      </c>
      <c r="AO80" s="173">
        <f t="shared" si="23"/>
        <v>1</v>
      </c>
      <c r="AP80" s="173">
        <f>+K79-AN80</f>
        <v>-1</v>
      </c>
      <c r="AQ80" s="173">
        <f>+M79-AO80</f>
        <v>2</v>
      </c>
      <c r="AR80" s="346"/>
      <c r="AS80" s="346"/>
      <c r="AT80" s="346"/>
      <c r="AU80" s="346"/>
      <c r="AV80" s="311"/>
      <c r="AW80" s="312"/>
      <c r="AX80" s="313"/>
      <c r="AY80" s="311"/>
      <c r="AZ80" s="312"/>
      <c r="BA80" s="313"/>
      <c r="BB80" s="311"/>
      <c r="BC80" s="312"/>
      <c r="BD80" s="313"/>
    </row>
    <row r="81" spans="1:56" ht="270.75" customHeight="1" thickBot="1">
      <c r="A81" s="329"/>
      <c r="B81" s="331"/>
      <c r="C81" s="332"/>
      <c r="D81" s="333"/>
      <c r="E81" s="203"/>
      <c r="F81" s="203" t="s">
        <v>178</v>
      </c>
      <c r="G81" s="204" t="s">
        <v>303</v>
      </c>
      <c r="H81" s="204" t="s">
        <v>16</v>
      </c>
      <c r="I81" s="204"/>
      <c r="J81" s="331"/>
      <c r="K81" s="349"/>
      <c r="L81" s="352"/>
      <c r="M81" s="349"/>
      <c r="N81" s="359"/>
      <c r="O81" s="205" t="s">
        <v>304</v>
      </c>
      <c r="P81" s="204" t="s">
        <v>303</v>
      </c>
      <c r="Q81" s="204" t="s">
        <v>123</v>
      </c>
      <c r="R81" s="215"/>
      <c r="S81" s="27" t="str">
        <f t="shared" si="12"/>
        <v/>
      </c>
      <c r="T81" s="215"/>
      <c r="U81" s="27" t="str">
        <f t="shared" si="13"/>
        <v/>
      </c>
      <c r="V81" s="208"/>
      <c r="W81" s="27" t="str">
        <f t="shared" si="14"/>
        <v/>
      </c>
      <c r="X81" s="208"/>
      <c r="Y81" s="27" t="str">
        <f t="shared" si="15"/>
        <v/>
      </c>
      <c r="Z81" s="208"/>
      <c r="AA81" s="27" t="str">
        <f t="shared" si="16"/>
        <v/>
      </c>
      <c r="AB81" s="208"/>
      <c r="AC81" s="27" t="str">
        <f t="shared" si="17"/>
        <v/>
      </c>
      <c r="AD81" s="208"/>
      <c r="AE81" s="27" t="str">
        <f t="shared" si="18"/>
        <v/>
      </c>
      <c r="AF81" s="48" t="str">
        <f t="shared" si="19"/>
        <v/>
      </c>
      <c r="AG81" s="48" t="str">
        <f t="shared" si="20"/>
        <v/>
      </c>
      <c r="AH81" s="209"/>
      <c r="AI81" s="210" t="str">
        <f t="shared" si="21"/>
        <v>Débil</v>
      </c>
      <c r="AJ81" s="21" t="str">
        <f>IFERROR(VLOOKUP((CONCATENATE(AG81,AI81)),Listados!$U$3:$V$11,2,FALSE),"")</f>
        <v/>
      </c>
      <c r="AK81" s="48">
        <f t="shared" si="22"/>
        <v>100</v>
      </c>
      <c r="AL81" s="355"/>
      <c r="AM81" s="357"/>
      <c r="AN81" s="173">
        <f>+IF(AND(Q81="Preventivo",AM79="Fuerte"),2,IF(AND(Q81="Preventivo",AM79="Moderado"),1,0))</f>
        <v>0</v>
      </c>
      <c r="AO81" s="173">
        <f t="shared" si="23"/>
        <v>2</v>
      </c>
      <c r="AP81" s="173">
        <f>+K79-AN81</f>
        <v>1</v>
      </c>
      <c r="AQ81" s="173">
        <f>+M79-AO81</f>
        <v>1</v>
      </c>
      <c r="AR81" s="346"/>
      <c r="AS81" s="346"/>
      <c r="AT81" s="346"/>
      <c r="AU81" s="346"/>
      <c r="AV81" s="311"/>
      <c r="AW81" s="312"/>
      <c r="AX81" s="313"/>
      <c r="AY81" s="311"/>
      <c r="AZ81" s="312"/>
      <c r="BA81" s="313"/>
      <c r="BB81" s="311"/>
      <c r="BC81" s="312"/>
      <c r="BD81" s="313"/>
    </row>
    <row r="82" spans="1:56" ht="15.75" thickBot="1">
      <c r="A82" s="329"/>
      <c r="B82" s="331"/>
      <c r="C82" s="332"/>
      <c r="D82" s="333"/>
      <c r="E82" s="203"/>
      <c r="F82" s="203"/>
      <c r="G82" s="204"/>
      <c r="H82" s="204"/>
      <c r="I82" s="204"/>
      <c r="J82" s="331"/>
      <c r="K82" s="349"/>
      <c r="L82" s="352"/>
      <c r="M82" s="349"/>
      <c r="N82" s="359"/>
      <c r="O82" s="203"/>
      <c r="P82" s="205"/>
      <c r="Q82" s="205"/>
      <c r="R82" s="215"/>
      <c r="S82" s="27" t="str">
        <f t="shared" si="12"/>
        <v/>
      </c>
      <c r="T82" s="215"/>
      <c r="U82" s="27" t="str">
        <f t="shared" si="13"/>
        <v/>
      </c>
      <c r="V82" s="208"/>
      <c r="W82" s="27" t="str">
        <f t="shared" si="14"/>
        <v/>
      </c>
      <c r="X82" s="208"/>
      <c r="Y82" s="27" t="str">
        <f t="shared" si="15"/>
        <v/>
      </c>
      <c r="Z82" s="208"/>
      <c r="AA82" s="27" t="str">
        <f t="shared" si="16"/>
        <v/>
      </c>
      <c r="AB82" s="208"/>
      <c r="AC82" s="27" t="str">
        <f t="shared" si="17"/>
        <v/>
      </c>
      <c r="AD82" s="208"/>
      <c r="AE82" s="27" t="str">
        <f t="shared" si="18"/>
        <v/>
      </c>
      <c r="AF82" s="48" t="str">
        <f t="shared" si="19"/>
        <v/>
      </c>
      <c r="AG82" s="48" t="str">
        <f t="shared" si="20"/>
        <v/>
      </c>
      <c r="AH82" s="209"/>
      <c r="AI82" s="210" t="str">
        <f t="shared" si="21"/>
        <v>Débil</v>
      </c>
      <c r="AJ82" s="21" t="str">
        <f>IFERROR(VLOOKUP((CONCATENATE(AG82,AI82)),Listados!$U$3:$V$11,2,FALSE),"")</f>
        <v/>
      </c>
      <c r="AK82" s="48">
        <f t="shared" si="22"/>
        <v>100</v>
      </c>
      <c r="AL82" s="355"/>
      <c r="AM82" s="357"/>
      <c r="AN82" s="173">
        <f>+IF(AND(Q82="Preventivo",AM79="Fuerte"),2,IF(AND(Q82="Preventivo",AM79="Moderado"),1,0))</f>
        <v>0</v>
      </c>
      <c r="AO82" s="173">
        <f t="shared" si="23"/>
        <v>0</v>
      </c>
      <c r="AP82" s="173">
        <f>+K79-AN82</f>
        <v>1</v>
      </c>
      <c r="AQ82" s="173">
        <f>+M79-AO82</f>
        <v>3</v>
      </c>
      <c r="AR82" s="346"/>
      <c r="AS82" s="346"/>
      <c r="AT82" s="346"/>
      <c r="AU82" s="346"/>
      <c r="AV82" s="311"/>
      <c r="AW82" s="312"/>
      <c r="AX82" s="313"/>
      <c r="AY82" s="311"/>
      <c r="AZ82" s="312"/>
      <c r="BA82" s="313"/>
      <c r="BB82" s="311"/>
      <c r="BC82" s="312"/>
      <c r="BD82" s="313"/>
    </row>
    <row r="83" spans="1:56" ht="15.75" thickBot="1">
      <c r="A83" s="329"/>
      <c r="B83" s="331"/>
      <c r="C83" s="332"/>
      <c r="D83" s="333"/>
      <c r="E83" s="203"/>
      <c r="F83" s="203"/>
      <c r="G83" s="204"/>
      <c r="H83" s="204"/>
      <c r="I83" s="204"/>
      <c r="J83" s="331"/>
      <c r="K83" s="349"/>
      <c r="L83" s="352"/>
      <c r="M83" s="349"/>
      <c r="N83" s="359"/>
      <c r="O83" s="203"/>
      <c r="P83" s="205"/>
      <c r="Q83" s="205"/>
      <c r="R83" s="215"/>
      <c r="S83" s="27" t="str">
        <f t="shared" si="12"/>
        <v/>
      </c>
      <c r="T83" s="215"/>
      <c r="U83" s="27" t="str">
        <f t="shared" si="13"/>
        <v/>
      </c>
      <c r="V83" s="208"/>
      <c r="W83" s="27" t="str">
        <f t="shared" si="14"/>
        <v/>
      </c>
      <c r="X83" s="208"/>
      <c r="Y83" s="27" t="str">
        <f t="shared" si="15"/>
        <v/>
      </c>
      <c r="Z83" s="208"/>
      <c r="AA83" s="27" t="str">
        <f t="shared" si="16"/>
        <v/>
      </c>
      <c r="AB83" s="208"/>
      <c r="AC83" s="27" t="str">
        <f t="shared" si="17"/>
        <v/>
      </c>
      <c r="AD83" s="208"/>
      <c r="AE83" s="27" t="str">
        <f t="shared" si="18"/>
        <v/>
      </c>
      <c r="AF83" s="48" t="str">
        <f t="shared" si="19"/>
        <v/>
      </c>
      <c r="AG83" s="48" t="str">
        <f t="shared" si="20"/>
        <v/>
      </c>
      <c r="AH83" s="209"/>
      <c r="AI83" s="210" t="str">
        <f t="shared" si="21"/>
        <v>Débil</v>
      </c>
      <c r="AJ83" s="21" t="str">
        <f>IFERROR(VLOOKUP((CONCATENATE(AG83,AI83)),Listados!$U$3:$V$11,2,FALSE),"")</f>
        <v/>
      </c>
      <c r="AK83" s="48">
        <f t="shared" si="22"/>
        <v>100</v>
      </c>
      <c r="AL83" s="355"/>
      <c r="AM83" s="357"/>
      <c r="AN83" s="173">
        <f>+IF(AND(Q83="Preventivo",AM79="Fuerte"),2,IF(AND(Q83="Preventivo",AM79="Moderado"),1,0))</f>
        <v>0</v>
      </c>
      <c r="AO83" s="173">
        <f t="shared" si="23"/>
        <v>0</v>
      </c>
      <c r="AP83" s="173">
        <f>+K79-AN83</f>
        <v>1</v>
      </c>
      <c r="AQ83" s="173">
        <f>+M79-AO83</f>
        <v>3</v>
      </c>
      <c r="AR83" s="346"/>
      <c r="AS83" s="346"/>
      <c r="AT83" s="346"/>
      <c r="AU83" s="346"/>
      <c r="AV83" s="311"/>
      <c r="AW83" s="312"/>
      <c r="AX83" s="313"/>
      <c r="AY83" s="311"/>
      <c r="AZ83" s="312"/>
      <c r="BA83" s="313"/>
      <c r="BB83" s="311"/>
      <c r="BC83" s="312"/>
      <c r="BD83" s="313"/>
    </row>
    <row r="84" spans="1:56" ht="15.75" thickBot="1">
      <c r="A84" s="330"/>
      <c r="B84" s="331"/>
      <c r="C84" s="332"/>
      <c r="D84" s="333"/>
      <c r="E84" s="203"/>
      <c r="F84" s="203"/>
      <c r="G84" s="204"/>
      <c r="H84" s="204"/>
      <c r="I84" s="204"/>
      <c r="J84" s="331"/>
      <c r="K84" s="350"/>
      <c r="L84" s="352"/>
      <c r="M84" s="350"/>
      <c r="N84" s="359"/>
      <c r="O84" s="203"/>
      <c r="P84" s="205"/>
      <c r="Q84" s="205"/>
      <c r="R84" s="215"/>
      <c r="S84" s="27" t="str">
        <f t="shared" si="12"/>
        <v/>
      </c>
      <c r="T84" s="215"/>
      <c r="U84" s="27" t="str">
        <f t="shared" si="13"/>
        <v/>
      </c>
      <c r="V84" s="208"/>
      <c r="W84" s="27" t="str">
        <f t="shared" si="14"/>
        <v/>
      </c>
      <c r="X84" s="208"/>
      <c r="Y84" s="27" t="str">
        <f t="shared" si="15"/>
        <v/>
      </c>
      <c r="Z84" s="208"/>
      <c r="AA84" s="27" t="str">
        <f t="shared" si="16"/>
        <v/>
      </c>
      <c r="AB84" s="208"/>
      <c r="AC84" s="27" t="str">
        <f t="shared" si="17"/>
        <v/>
      </c>
      <c r="AD84" s="208"/>
      <c r="AE84" s="27" t="str">
        <f t="shared" si="18"/>
        <v/>
      </c>
      <c r="AF84" s="48" t="str">
        <f t="shared" si="19"/>
        <v/>
      </c>
      <c r="AG84" s="48" t="str">
        <f t="shared" si="20"/>
        <v/>
      </c>
      <c r="AH84" s="209"/>
      <c r="AI84" s="210" t="str">
        <f t="shared" si="21"/>
        <v>Débil</v>
      </c>
      <c r="AJ84" s="21" t="str">
        <f>IFERROR(VLOOKUP((CONCATENATE(AG84,AI84)),Listados!$U$3:$V$11,2,FALSE),"")</f>
        <v/>
      </c>
      <c r="AK84" s="48">
        <f t="shared" si="22"/>
        <v>100</v>
      </c>
      <c r="AL84" s="356"/>
      <c r="AM84" s="357"/>
      <c r="AN84" s="173">
        <f>+IF(AND(Q84="Preventivo",AM79="Fuerte"),2,IF(AND(Q84="Preventivo",AM79="Moderado"),1,0))</f>
        <v>0</v>
      </c>
      <c r="AO84" s="173">
        <f t="shared" si="23"/>
        <v>0</v>
      </c>
      <c r="AP84" s="173">
        <f>+K79-AN84</f>
        <v>1</v>
      </c>
      <c r="AQ84" s="173">
        <f>+M79-AO84</f>
        <v>3</v>
      </c>
      <c r="AR84" s="347"/>
      <c r="AS84" s="347"/>
      <c r="AT84" s="347"/>
      <c r="AU84" s="347"/>
      <c r="AV84" s="311"/>
      <c r="AW84" s="312"/>
      <c r="AX84" s="313"/>
      <c r="AY84" s="311"/>
      <c r="AZ84" s="312"/>
      <c r="BA84" s="313"/>
      <c r="BB84" s="311"/>
      <c r="BC84" s="312"/>
      <c r="BD84" s="313"/>
    </row>
    <row r="85" spans="1:56" ht="186.75" thickBot="1">
      <c r="A85" s="328">
        <v>14</v>
      </c>
      <c r="B85" s="331" t="s">
        <v>79</v>
      </c>
      <c r="C85" s="332" t="str">
        <f>IFERROR(VLOOKUP(B85,Listados!B$3:C$20,2,FALSE),"")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85" s="333" t="s">
        <v>305</v>
      </c>
      <c r="E85" s="203" t="s">
        <v>15</v>
      </c>
      <c r="F85" s="203" t="s">
        <v>178</v>
      </c>
      <c r="G85" s="204" t="s">
        <v>306</v>
      </c>
      <c r="H85" s="204" t="s">
        <v>16</v>
      </c>
      <c r="I85" s="204" t="s">
        <v>301</v>
      </c>
      <c r="J85" s="331" t="s">
        <v>53</v>
      </c>
      <c r="K85" s="348">
        <f>+VLOOKUP(J85,Listados!$K$8:$L$12,2,0)</f>
        <v>4</v>
      </c>
      <c r="L85" s="351" t="s">
        <v>54</v>
      </c>
      <c r="M85" s="348">
        <f>+VLOOKUP(L85,Listados!$K$13:$L$17,2,0)</f>
        <v>4</v>
      </c>
      <c r="N85" s="358" t="str">
        <f>IF(AND(J85&lt;&gt;"",L85&lt;&gt;""),VLOOKUP(J85&amp;L85,Listados!$M$3:$N$27,2,FALSE),"")</f>
        <v>Extremo</v>
      </c>
      <c r="O85" s="205" t="s">
        <v>307</v>
      </c>
      <c r="P85" s="204" t="s">
        <v>306</v>
      </c>
      <c r="Q85" s="204" t="s">
        <v>20</v>
      </c>
      <c r="R85" s="215"/>
      <c r="S85" s="27" t="str">
        <f t="shared" si="12"/>
        <v/>
      </c>
      <c r="T85" s="215"/>
      <c r="U85" s="27" t="str">
        <f t="shared" si="13"/>
        <v/>
      </c>
      <c r="V85" s="208"/>
      <c r="W85" s="27" t="str">
        <f t="shared" si="14"/>
        <v/>
      </c>
      <c r="X85" s="208"/>
      <c r="Y85" s="27" t="str">
        <f t="shared" si="15"/>
        <v/>
      </c>
      <c r="Z85" s="208"/>
      <c r="AA85" s="27" t="str">
        <f t="shared" si="16"/>
        <v/>
      </c>
      <c r="AB85" s="208"/>
      <c r="AC85" s="27" t="str">
        <f t="shared" si="17"/>
        <v/>
      </c>
      <c r="AD85" s="208"/>
      <c r="AE85" s="27" t="str">
        <f t="shared" si="18"/>
        <v/>
      </c>
      <c r="AF85" s="48" t="str">
        <f t="shared" si="19"/>
        <v/>
      </c>
      <c r="AG85" s="48" t="str">
        <f t="shared" si="20"/>
        <v/>
      </c>
      <c r="AH85" s="209"/>
      <c r="AI85" s="210" t="str">
        <f t="shared" si="21"/>
        <v>Débil</v>
      </c>
      <c r="AJ85" s="21" t="str">
        <f>IFERROR(VLOOKUP((CONCATENATE(AG85,AI85)),Listados!$U$3:$V$11,2,FALSE),"")</f>
        <v/>
      </c>
      <c r="AK85" s="48">
        <f t="shared" si="22"/>
        <v>100</v>
      </c>
      <c r="AL85" s="354">
        <f>AVERAGE(AK85:AK90)</f>
        <v>100</v>
      </c>
      <c r="AM85" s="356" t="str">
        <f>IF(AL85&lt;=50, "Débil", IF(AL85&lt;=99,"Moderado","Fuerte"))</f>
        <v>Fuerte</v>
      </c>
      <c r="AN85" s="173">
        <f>+IF(AND(Q85="Preventivo",AM85="Fuerte"),2,IF(AND(Q85="Preventivo",AM85="Moderado"),1,0))</f>
        <v>2</v>
      </c>
      <c r="AO85" s="173">
        <f t="shared" si="23"/>
        <v>1</v>
      </c>
      <c r="AP85" s="173">
        <f>+K85-AN85</f>
        <v>2</v>
      </c>
      <c r="AQ85" s="173">
        <f>+M85-AO85</f>
        <v>3</v>
      </c>
      <c r="AR85" s="345" t="str">
        <f>+VLOOKUP(MIN(AP85,AP86,AP87,AP88,AP89,AP90),Listados!$J$18:$K$24,2,TRUE)</f>
        <v>Improbable</v>
      </c>
      <c r="AS85" s="345" t="str">
        <f>+VLOOKUP(MIN(AQ85,AQ86,AQ87,AQ88,AQ89,AQ90),Listados!$J$27:$K$32,2,TRUE)</f>
        <v>Menor</v>
      </c>
      <c r="AT85" s="345" t="str">
        <f>IF(AND(AR85&lt;&gt;"",AS85&lt;&gt;""),VLOOKUP(AR85&amp;AS85,Listados!$M$3:$N$27,2,FALSE),"")</f>
        <v>Bajo</v>
      </c>
      <c r="AU85" s="345" t="str">
        <f>+VLOOKUP(AT85,Listados!$P$3:$Q$6,2,FALSE)</f>
        <v>Asumir el riesgo</v>
      </c>
      <c r="AV85" s="311"/>
      <c r="AW85" s="312"/>
      <c r="AX85" s="313"/>
      <c r="AY85" s="311"/>
      <c r="AZ85" s="312"/>
      <c r="BA85" s="313"/>
      <c r="BB85" s="311"/>
      <c r="BC85" s="312"/>
      <c r="BD85" s="313"/>
    </row>
    <row r="86" spans="1:56" ht="172.5" thickBot="1">
      <c r="A86" s="329"/>
      <c r="B86" s="331"/>
      <c r="C86" s="332"/>
      <c r="D86" s="333"/>
      <c r="E86" s="203"/>
      <c r="F86" s="203"/>
      <c r="G86" s="204" t="s">
        <v>303</v>
      </c>
      <c r="H86" s="204" t="s">
        <v>16</v>
      </c>
      <c r="I86" s="204" t="s">
        <v>298</v>
      </c>
      <c r="J86" s="331"/>
      <c r="K86" s="349"/>
      <c r="L86" s="352"/>
      <c r="M86" s="349"/>
      <c r="N86" s="359"/>
      <c r="O86" s="205" t="s">
        <v>304</v>
      </c>
      <c r="P86" s="204" t="s">
        <v>303</v>
      </c>
      <c r="Q86" s="204" t="s">
        <v>123</v>
      </c>
      <c r="R86" s="215"/>
      <c r="S86" s="27" t="str">
        <f t="shared" si="12"/>
        <v/>
      </c>
      <c r="T86" s="215"/>
      <c r="U86" s="27" t="str">
        <f t="shared" si="13"/>
        <v/>
      </c>
      <c r="V86" s="208"/>
      <c r="W86" s="27" t="str">
        <f t="shared" si="14"/>
        <v/>
      </c>
      <c r="X86" s="208"/>
      <c r="Y86" s="27" t="str">
        <f t="shared" si="15"/>
        <v/>
      </c>
      <c r="Z86" s="208"/>
      <c r="AA86" s="27" t="str">
        <f t="shared" si="16"/>
        <v/>
      </c>
      <c r="AB86" s="208"/>
      <c r="AC86" s="27" t="str">
        <f t="shared" si="17"/>
        <v/>
      </c>
      <c r="AD86" s="208"/>
      <c r="AE86" s="27" t="str">
        <f t="shared" si="18"/>
        <v/>
      </c>
      <c r="AF86" s="48" t="str">
        <f t="shared" si="19"/>
        <v/>
      </c>
      <c r="AG86" s="48" t="str">
        <f t="shared" si="20"/>
        <v/>
      </c>
      <c r="AH86" s="209"/>
      <c r="AI86" s="210" t="str">
        <f t="shared" si="21"/>
        <v>Débil</v>
      </c>
      <c r="AJ86" s="21" t="str">
        <f>IFERROR(VLOOKUP((CONCATENATE(AG86,AI86)),Listados!$U$3:$V$11,2,FALSE),"")</f>
        <v/>
      </c>
      <c r="AK86" s="48">
        <f t="shared" si="22"/>
        <v>100</v>
      </c>
      <c r="AL86" s="355"/>
      <c r="AM86" s="357"/>
      <c r="AN86" s="173">
        <f>+IF(AND(Q86="Preventivo",AM85="Fuerte"),2,IF(AND(Q86="Preventivo",AM85="Moderado"),1,0))</f>
        <v>0</v>
      </c>
      <c r="AO86" s="173">
        <f t="shared" si="23"/>
        <v>2</v>
      </c>
      <c r="AP86" s="173">
        <f>+K85-AN86</f>
        <v>4</v>
      </c>
      <c r="AQ86" s="173">
        <f>+M85-AO86</f>
        <v>2</v>
      </c>
      <c r="AR86" s="346"/>
      <c r="AS86" s="346"/>
      <c r="AT86" s="346"/>
      <c r="AU86" s="346"/>
      <c r="AV86" s="311"/>
      <c r="AW86" s="312"/>
      <c r="AX86" s="313"/>
      <c r="AY86" s="311"/>
      <c r="AZ86" s="312"/>
      <c r="BA86" s="313"/>
      <c r="BB86" s="311"/>
      <c r="BC86" s="312"/>
      <c r="BD86" s="313"/>
    </row>
    <row r="87" spans="1:56" ht="15.75" thickBot="1">
      <c r="A87" s="329"/>
      <c r="B87" s="331"/>
      <c r="C87" s="332"/>
      <c r="D87" s="333"/>
      <c r="E87" s="203"/>
      <c r="F87" s="203"/>
      <c r="G87" s="204"/>
      <c r="H87" s="204"/>
      <c r="I87" s="204"/>
      <c r="J87" s="331"/>
      <c r="K87" s="349"/>
      <c r="L87" s="352"/>
      <c r="M87" s="349"/>
      <c r="N87" s="359"/>
      <c r="O87" s="203"/>
      <c r="P87" s="205"/>
      <c r="Q87" s="205"/>
      <c r="R87" s="215"/>
      <c r="S87" s="27" t="str">
        <f t="shared" si="12"/>
        <v/>
      </c>
      <c r="T87" s="215"/>
      <c r="U87" s="27" t="str">
        <f t="shared" si="13"/>
        <v/>
      </c>
      <c r="V87" s="208"/>
      <c r="W87" s="27" t="str">
        <f t="shared" si="14"/>
        <v/>
      </c>
      <c r="X87" s="208"/>
      <c r="Y87" s="27" t="str">
        <f t="shared" si="15"/>
        <v/>
      </c>
      <c r="Z87" s="208"/>
      <c r="AA87" s="27" t="str">
        <f t="shared" si="16"/>
        <v/>
      </c>
      <c r="AB87" s="208"/>
      <c r="AC87" s="27" t="str">
        <f t="shared" si="17"/>
        <v/>
      </c>
      <c r="AD87" s="208"/>
      <c r="AE87" s="27" t="str">
        <f t="shared" si="18"/>
        <v/>
      </c>
      <c r="AF87" s="48" t="str">
        <f t="shared" si="19"/>
        <v/>
      </c>
      <c r="AG87" s="48" t="str">
        <f t="shared" si="20"/>
        <v/>
      </c>
      <c r="AH87" s="209"/>
      <c r="AI87" s="210" t="str">
        <f t="shared" si="21"/>
        <v>Débil</v>
      </c>
      <c r="AJ87" s="21" t="str">
        <f>IFERROR(VLOOKUP((CONCATENATE(AG87,AI87)),Listados!$U$3:$V$11,2,FALSE),"")</f>
        <v/>
      </c>
      <c r="AK87" s="48">
        <f t="shared" si="22"/>
        <v>100</v>
      </c>
      <c r="AL87" s="355"/>
      <c r="AM87" s="357"/>
      <c r="AN87" s="173">
        <f>+IF(AND(Q87="Preventivo",AM85="Fuerte"),2,IF(AND(Q87="Preventivo",AM85="Moderado"),1,0))</f>
        <v>0</v>
      </c>
      <c r="AO87" s="173">
        <f t="shared" si="23"/>
        <v>0</v>
      </c>
      <c r="AP87" s="173">
        <f>+K85-AN87</f>
        <v>4</v>
      </c>
      <c r="AQ87" s="173">
        <f>+M85-AO87</f>
        <v>4</v>
      </c>
      <c r="AR87" s="346"/>
      <c r="AS87" s="346"/>
      <c r="AT87" s="346"/>
      <c r="AU87" s="346"/>
      <c r="AV87" s="311"/>
      <c r="AW87" s="312"/>
      <c r="AX87" s="313"/>
      <c r="AY87" s="311"/>
      <c r="AZ87" s="312"/>
      <c r="BA87" s="313"/>
      <c r="BB87" s="311"/>
      <c r="BC87" s="312"/>
      <c r="BD87" s="313"/>
    </row>
    <row r="88" spans="1:56" ht="15.75" thickBot="1">
      <c r="A88" s="329"/>
      <c r="B88" s="331"/>
      <c r="C88" s="332"/>
      <c r="D88" s="333"/>
      <c r="E88" s="203"/>
      <c r="F88" s="203"/>
      <c r="G88" s="204"/>
      <c r="H88" s="204"/>
      <c r="I88" s="204"/>
      <c r="J88" s="331"/>
      <c r="K88" s="349"/>
      <c r="L88" s="352"/>
      <c r="M88" s="349"/>
      <c r="N88" s="359"/>
      <c r="O88" s="203"/>
      <c r="P88" s="205"/>
      <c r="Q88" s="205"/>
      <c r="R88" s="215"/>
      <c r="S88" s="27" t="str">
        <f t="shared" si="12"/>
        <v/>
      </c>
      <c r="T88" s="215"/>
      <c r="U88" s="27" t="str">
        <f t="shared" si="13"/>
        <v/>
      </c>
      <c r="V88" s="208"/>
      <c r="W88" s="27" t="str">
        <f t="shared" si="14"/>
        <v/>
      </c>
      <c r="X88" s="208"/>
      <c r="Y88" s="27" t="str">
        <f t="shared" si="15"/>
        <v/>
      </c>
      <c r="Z88" s="208"/>
      <c r="AA88" s="27" t="str">
        <f t="shared" si="16"/>
        <v/>
      </c>
      <c r="AB88" s="208"/>
      <c r="AC88" s="27" t="str">
        <f t="shared" si="17"/>
        <v/>
      </c>
      <c r="AD88" s="208"/>
      <c r="AE88" s="27" t="str">
        <f t="shared" si="18"/>
        <v/>
      </c>
      <c r="AF88" s="48" t="str">
        <f t="shared" si="19"/>
        <v/>
      </c>
      <c r="AG88" s="48" t="str">
        <f t="shared" si="20"/>
        <v/>
      </c>
      <c r="AH88" s="209"/>
      <c r="AI88" s="210" t="str">
        <f t="shared" si="21"/>
        <v>Débil</v>
      </c>
      <c r="AJ88" s="21" t="str">
        <f>IFERROR(VLOOKUP((CONCATENATE(AG88,AI88)),Listados!$U$3:$V$11,2,FALSE),"")</f>
        <v/>
      </c>
      <c r="AK88" s="48">
        <f t="shared" si="22"/>
        <v>100</v>
      </c>
      <c r="AL88" s="355"/>
      <c r="AM88" s="357"/>
      <c r="AN88" s="173">
        <f>+IF(AND(Q88="Preventivo",AM85="Fuerte"),2,IF(AND(Q88="Preventivo",AM85="Moderado"),1,0))</f>
        <v>0</v>
      </c>
      <c r="AO88" s="173">
        <f t="shared" si="23"/>
        <v>0</v>
      </c>
      <c r="AP88" s="173">
        <f>+K85-AN88</f>
        <v>4</v>
      </c>
      <c r="AQ88" s="173">
        <f>+M85-AO88</f>
        <v>4</v>
      </c>
      <c r="AR88" s="346"/>
      <c r="AS88" s="346"/>
      <c r="AT88" s="346"/>
      <c r="AU88" s="346"/>
      <c r="AV88" s="311"/>
      <c r="AW88" s="312"/>
      <c r="AX88" s="313"/>
      <c r="AY88" s="311"/>
      <c r="AZ88" s="312"/>
      <c r="BA88" s="313"/>
      <c r="BB88" s="311"/>
      <c r="BC88" s="312"/>
      <c r="BD88" s="313"/>
    </row>
    <row r="89" spans="1:56" ht="15.75" thickBot="1">
      <c r="A89" s="329"/>
      <c r="B89" s="331"/>
      <c r="C89" s="332"/>
      <c r="D89" s="333"/>
      <c r="E89" s="203"/>
      <c r="F89" s="203"/>
      <c r="G89" s="204"/>
      <c r="H89" s="204"/>
      <c r="I89" s="204"/>
      <c r="J89" s="331"/>
      <c r="K89" s="349"/>
      <c r="L89" s="352"/>
      <c r="M89" s="349"/>
      <c r="N89" s="359"/>
      <c r="O89" s="203"/>
      <c r="P89" s="205"/>
      <c r="Q89" s="205"/>
      <c r="R89" s="215"/>
      <c r="S89" s="27" t="str">
        <f t="shared" si="12"/>
        <v/>
      </c>
      <c r="T89" s="215"/>
      <c r="U89" s="27" t="str">
        <f t="shared" si="13"/>
        <v/>
      </c>
      <c r="V89" s="208"/>
      <c r="W89" s="27" t="str">
        <f t="shared" si="14"/>
        <v/>
      </c>
      <c r="X89" s="208"/>
      <c r="Y89" s="27" t="str">
        <f t="shared" si="15"/>
        <v/>
      </c>
      <c r="Z89" s="208"/>
      <c r="AA89" s="27" t="str">
        <f t="shared" si="16"/>
        <v/>
      </c>
      <c r="AB89" s="208"/>
      <c r="AC89" s="27" t="str">
        <f t="shared" si="17"/>
        <v/>
      </c>
      <c r="AD89" s="208"/>
      <c r="AE89" s="27" t="str">
        <f t="shared" si="18"/>
        <v/>
      </c>
      <c r="AF89" s="48" t="str">
        <f t="shared" si="19"/>
        <v/>
      </c>
      <c r="AG89" s="48" t="str">
        <f t="shared" si="20"/>
        <v/>
      </c>
      <c r="AH89" s="209"/>
      <c r="AI89" s="210" t="str">
        <f t="shared" si="21"/>
        <v>Débil</v>
      </c>
      <c r="AJ89" s="21" t="str">
        <f>IFERROR(VLOOKUP((CONCATENATE(AG89,AI89)),Listados!$U$3:$V$11,2,FALSE),"")</f>
        <v/>
      </c>
      <c r="AK89" s="48">
        <f t="shared" si="22"/>
        <v>100</v>
      </c>
      <c r="AL89" s="355"/>
      <c r="AM89" s="357"/>
      <c r="AN89" s="173">
        <f>+IF(AND(Q89="Preventivo",AM85="Fuerte"),2,IF(AND(Q89="Preventivo",AM85="Moderado"),1,0))</f>
        <v>0</v>
      </c>
      <c r="AO89" s="173">
        <f t="shared" si="23"/>
        <v>0</v>
      </c>
      <c r="AP89" s="173">
        <f>+K85-AN89</f>
        <v>4</v>
      </c>
      <c r="AQ89" s="173">
        <f>+M85-AO89</f>
        <v>4</v>
      </c>
      <c r="AR89" s="346"/>
      <c r="AS89" s="346"/>
      <c r="AT89" s="346"/>
      <c r="AU89" s="346"/>
      <c r="AV89" s="311"/>
      <c r="AW89" s="312"/>
      <c r="AX89" s="313"/>
      <c r="AY89" s="311"/>
      <c r="AZ89" s="312"/>
      <c r="BA89" s="313"/>
      <c r="BB89" s="311"/>
      <c r="BC89" s="312"/>
      <c r="BD89" s="313"/>
    </row>
    <row r="90" spans="1:56" ht="15.75" thickBot="1">
      <c r="A90" s="330"/>
      <c r="B90" s="331"/>
      <c r="C90" s="332"/>
      <c r="D90" s="333"/>
      <c r="E90" s="203"/>
      <c r="F90" s="203"/>
      <c r="G90" s="204"/>
      <c r="H90" s="204"/>
      <c r="I90" s="204"/>
      <c r="J90" s="331"/>
      <c r="K90" s="350"/>
      <c r="L90" s="352"/>
      <c r="M90" s="350"/>
      <c r="N90" s="359"/>
      <c r="O90" s="203"/>
      <c r="P90" s="205"/>
      <c r="Q90" s="205"/>
      <c r="R90" s="215"/>
      <c r="S90" s="27" t="str">
        <f t="shared" si="12"/>
        <v/>
      </c>
      <c r="T90" s="215"/>
      <c r="U90" s="27" t="str">
        <f t="shared" si="13"/>
        <v/>
      </c>
      <c r="V90" s="208"/>
      <c r="W90" s="27" t="str">
        <f t="shared" si="14"/>
        <v/>
      </c>
      <c r="X90" s="208"/>
      <c r="Y90" s="27" t="str">
        <f t="shared" si="15"/>
        <v/>
      </c>
      <c r="Z90" s="208"/>
      <c r="AA90" s="27" t="str">
        <f t="shared" si="16"/>
        <v/>
      </c>
      <c r="AB90" s="208"/>
      <c r="AC90" s="27" t="str">
        <f t="shared" si="17"/>
        <v/>
      </c>
      <c r="AD90" s="208"/>
      <c r="AE90" s="27" t="str">
        <f t="shared" si="18"/>
        <v/>
      </c>
      <c r="AF90" s="48" t="str">
        <f t="shared" si="19"/>
        <v/>
      </c>
      <c r="AG90" s="48" t="str">
        <f t="shared" si="20"/>
        <v/>
      </c>
      <c r="AH90" s="209"/>
      <c r="AI90" s="210" t="str">
        <f t="shared" si="21"/>
        <v>Débil</v>
      </c>
      <c r="AJ90" s="21" t="str">
        <f>IFERROR(VLOOKUP((CONCATENATE(AG90,AI90)),Listados!$U$3:$V$11,2,FALSE),"")</f>
        <v/>
      </c>
      <c r="AK90" s="48">
        <f t="shared" si="22"/>
        <v>100</v>
      </c>
      <c r="AL90" s="356"/>
      <c r="AM90" s="357"/>
      <c r="AN90" s="173">
        <f>+IF(AND(Q90="Preventivo",AM85="Fuerte"),2,IF(AND(Q90="Preventivo",AM85="Moderado"),1,0))</f>
        <v>0</v>
      </c>
      <c r="AO90" s="173">
        <f t="shared" si="23"/>
        <v>0</v>
      </c>
      <c r="AP90" s="173">
        <f>+K85-AN90</f>
        <v>4</v>
      </c>
      <c r="AQ90" s="173">
        <f>+M85-AO90</f>
        <v>4</v>
      </c>
      <c r="AR90" s="347"/>
      <c r="AS90" s="347"/>
      <c r="AT90" s="347"/>
      <c r="AU90" s="347"/>
      <c r="AV90" s="311"/>
      <c r="AW90" s="312"/>
      <c r="AX90" s="313"/>
      <c r="AY90" s="311"/>
      <c r="AZ90" s="312"/>
      <c r="BA90" s="313"/>
      <c r="BB90" s="311"/>
      <c r="BC90" s="312"/>
      <c r="BD90" s="313"/>
    </row>
    <row r="91" spans="1:56" ht="85.5">
      <c r="A91" s="328">
        <v>15</v>
      </c>
      <c r="B91" s="331" t="s">
        <v>104</v>
      </c>
      <c r="C91" s="332" t="str">
        <f>IFERROR(VLOOKUP(B91,Listados!B$3:C$20,2,FALSE),"")</f>
        <v>Evaluar y/o hacer seguimiento a la planeación, ejecución y control en la gestión de los procesos (SIG), programas, planes y proyectos del Ministerio de Justicia y del Derecho para el mejoramiento continuo de la gestión de la Entidad.</v>
      </c>
      <c r="D91" s="333" t="s">
        <v>308</v>
      </c>
      <c r="E91" s="203" t="s">
        <v>29</v>
      </c>
      <c r="F91" s="203"/>
      <c r="G91" s="203" t="s">
        <v>309</v>
      </c>
      <c r="H91" s="204" t="s">
        <v>16</v>
      </c>
      <c r="I91" s="204" t="s">
        <v>310</v>
      </c>
      <c r="J91" s="331" t="s">
        <v>21</v>
      </c>
      <c r="K91" s="348">
        <f>+VLOOKUP(J91,Listados!$K$8:$L$12,2,0)</f>
        <v>1</v>
      </c>
      <c r="L91" s="360" t="s">
        <v>54</v>
      </c>
      <c r="M91" s="348">
        <f>+VLOOKUP(L91,Listados!$K$13:$L$17,2,0)</f>
        <v>4</v>
      </c>
      <c r="N91" s="358" t="str">
        <f>IF(AND(J91&lt;&gt;"",L91&lt;&gt;""),VLOOKUP(J91&amp;L91,Listados!$M$3:$N$27,2,FALSE),"")</f>
        <v>Alto</v>
      </c>
      <c r="O91" s="221" t="s">
        <v>311</v>
      </c>
      <c r="P91" s="203" t="s">
        <v>309</v>
      </c>
      <c r="Q91" s="225" t="s">
        <v>123</v>
      </c>
      <c r="R91" s="211" t="s">
        <v>116</v>
      </c>
      <c r="S91" s="27">
        <f>+IF(R91="si",15,"")</f>
        <v>15</v>
      </c>
      <c r="T91" s="211" t="s">
        <v>312</v>
      </c>
      <c r="U91" s="27">
        <f>+IF(T91="si",15,"")</f>
        <v>15</v>
      </c>
      <c r="V91" s="211" t="s">
        <v>312</v>
      </c>
      <c r="W91" s="27">
        <f>+IF(V91="si",15,"")</f>
        <v>15</v>
      </c>
      <c r="X91" s="211" t="s">
        <v>312</v>
      </c>
      <c r="Y91" s="27">
        <f>+IF(X91="si",15,"")</f>
        <v>15</v>
      </c>
      <c r="Z91" s="211" t="s">
        <v>312</v>
      </c>
      <c r="AA91" s="27">
        <f>+IF(Z91="si",15,"")</f>
        <v>15</v>
      </c>
      <c r="AB91" s="211" t="s">
        <v>312</v>
      </c>
      <c r="AC91" s="27">
        <f>+IF(AB91="si",15,"")</f>
        <v>15</v>
      </c>
      <c r="AD91" s="211" t="s">
        <v>117</v>
      </c>
      <c r="AE91" s="27">
        <f t="shared" si="18"/>
        <v>10</v>
      </c>
      <c r="AF91" s="48">
        <f t="shared" si="19"/>
        <v>100</v>
      </c>
      <c r="AG91" s="48" t="str">
        <f t="shared" si="20"/>
        <v>Fuerte</v>
      </c>
      <c r="AH91" s="210" t="s">
        <v>118</v>
      </c>
      <c r="AI91" s="210" t="str">
        <f t="shared" si="21"/>
        <v>Fuerte</v>
      </c>
      <c r="AJ91" s="21" t="str">
        <f>IFERROR(VLOOKUP((CONCATENATE(AG91,AI91)),Listados!$U$3:$V$11,2,FALSE),"")</f>
        <v>Fuerte</v>
      </c>
      <c r="AK91" s="48">
        <f t="shared" si="22"/>
        <v>100</v>
      </c>
      <c r="AL91" s="354">
        <f>AVERAGE(AK91:AK96)</f>
        <v>100</v>
      </c>
      <c r="AM91" s="356" t="str">
        <f>IF(AL91&lt;=50, "Débil", IF(AL91&lt;=99,"Moderado","Fuerte"))</f>
        <v>Fuerte</v>
      </c>
      <c r="AN91" s="173">
        <f>+IF(AND(Q91="Preventivo",AM91="Fuerte"),2,IF(AND(Q91="Preventivo",AM91="Moderado"),1,0))</f>
        <v>0</v>
      </c>
      <c r="AO91" s="173">
        <f t="shared" si="23"/>
        <v>2</v>
      </c>
      <c r="AP91" s="173">
        <f>+K91-AN91</f>
        <v>1</v>
      </c>
      <c r="AQ91" s="173">
        <f>+M91-AO91</f>
        <v>2</v>
      </c>
      <c r="AR91" s="345" t="str">
        <f>+VLOOKUP(MIN(AP91,AP92,AP93,AP94,AP95,AP96),Listados!$J$18:$K$24,2,TRUE)</f>
        <v>Rara Vez</v>
      </c>
      <c r="AS91" s="345" t="str">
        <f>+VLOOKUP(MIN(AQ91,AQ92,AQ93,AQ94,AQ95,AQ96),Listados!$J$27:$K$32,2,TRUE)</f>
        <v>Menor</v>
      </c>
      <c r="AT91" s="345" t="str">
        <f>IF(AND(AR91&lt;&gt;"",AS91&lt;&gt;""),VLOOKUP(AR91&amp;AS91,Listados!$M$3:$N$27,2,FALSE),"")</f>
        <v>Bajo</v>
      </c>
      <c r="AU91" s="345" t="str">
        <f>+VLOOKUP(AT91,Listados!$P$3:$Q$6,2,FALSE)</f>
        <v>Asumir el riesgo</v>
      </c>
      <c r="AV91" s="311"/>
      <c r="AW91" s="312"/>
      <c r="AX91" s="313"/>
      <c r="AY91" s="311"/>
      <c r="AZ91" s="312"/>
      <c r="BA91" s="313"/>
      <c r="BB91" s="311"/>
      <c r="BC91" s="312"/>
      <c r="BD91" s="313"/>
    </row>
    <row r="92" spans="1:56" ht="86.25" thickBot="1">
      <c r="A92" s="329"/>
      <c r="B92" s="331"/>
      <c r="C92" s="332"/>
      <c r="D92" s="333"/>
      <c r="E92" s="203"/>
      <c r="F92" s="203"/>
      <c r="G92" s="203" t="s">
        <v>313</v>
      </c>
      <c r="H92" s="204" t="s">
        <v>16</v>
      </c>
      <c r="I92" s="204" t="s">
        <v>314</v>
      </c>
      <c r="J92" s="331"/>
      <c r="K92" s="349"/>
      <c r="L92" s="361"/>
      <c r="M92" s="349"/>
      <c r="N92" s="359"/>
      <c r="O92" s="221" t="s">
        <v>315</v>
      </c>
      <c r="P92" s="221" t="s">
        <v>313</v>
      </c>
      <c r="Q92" s="225" t="s">
        <v>20</v>
      </c>
      <c r="R92" s="211" t="s">
        <v>312</v>
      </c>
      <c r="S92" s="27">
        <f t="shared" ref="S92:S93" si="24">+IF(R92="si",15,"")</f>
        <v>15</v>
      </c>
      <c r="T92" s="211" t="s">
        <v>312</v>
      </c>
      <c r="U92" s="27">
        <f t="shared" ref="U92:U93" si="25">+IF(T92="si",15,"")</f>
        <v>15</v>
      </c>
      <c r="V92" s="211" t="s">
        <v>312</v>
      </c>
      <c r="W92" s="27">
        <f t="shared" ref="W92:W93" si="26">+IF(V92="si",15,"")</f>
        <v>15</v>
      </c>
      <c r="X92" s="211" t="s">
        <v>312</v>
      </c>
      <c r="Y92" s="27">
        <f t="shared" ref="Y92:Y93" si="27">+IF(X92="si",15,"")</f>
        <v>15</v>
      </c>
      <c r="Z92" s="211" t="s">
        <v>312</v>
      </c>
      <c r="AA92" s="27">
        <f t="shared" ref="AA92:AA93" si="28">+IF(Z92="si",15,"")</f>
        <v>15</v>
      </c>
      <c r="AB92" s="211" t="s">
        <v>312</v>
      </c>
      <c r="AC92" s="27">
        <f t="shared" ref="AC92:AC93" si="29">+IF(AB92="si",15,"")</f>
        <v>15</v>
      </c>
      <c r="AD92" s="211" t="s">
        <v>117</v>
      </c>
      <c r="AE92" s="27">
        <f t="shared" si="18"/>
        <v>10</v>
      </c>
      <c r="AF92" s="48">
        <f t="shared" si="19"/>
        <v>100</v>
      </c>
      <c r="AG92" s="48" t="str">
        <f t="shared" si="20"/>
        <v>Fuerte</v>
      </c>
      <c r="AH92" s="210" t="s">
        <v>118</v>
      </c>
      <c r="AI92" s="210" t="str">
        <f t="shared" si="21"/>
        <v>Fuerte</v>
      </c>
      <c r="AJ92" s="21" t="str">
        <f>IFERROR(VLOOKUP((CONCATENATE(AG92,AI92)),Listados!$U$3:$V$11,2,FALSE),"")</f>
        <v>Fuerte</v>
      </c>
      <c r="AK92" s="48">
        <f t="shared" si="22"/>
        <v>100</v>
      </c>
      <c r="AL92" s="355"/>
      <c r="AM92" s="357"/>
      <c r="AN92" s="173">
        <f>+IF(AND(Q92="Preventivo",AM91="Fuerte"),2,IF(AND(Q92="Preventivo",AM91="Moderado"),1,0))</f>
        <v>2</v>
      </c>
      <c r="AO92" s="173">
        <f t="shared" si="23"/>
        <v>1</v>
      </c>
      <c r="AP92" s="173">
        <f>+K91-AN92</f>
        <v>-1</v>
      </c>
      <c r="AQ92" s="173">
        <f>+M91-AO92</f>
        <v>3</v>
      </c>
      <c r="AR92" s="346"/>
      <c r="AS92" s="346"/>
      <c r="AT92" s="346"/>
      <c r="AU92" s="346"/>
      <c r="AV92" s="311"/>
      <c r="AW92" s="312"/>
      <c r="AX92" s="313"/>
      <c r="AY92" s="311"/>
      <c r="AZ92" s="312"/>
      <c r="BA92" s="313"/>
      <c r="BB92" s="311"/>
      <c r="BC92" s="312"/>
      <c r="BD92" s="313"/>
    </row>
    <row r="93" spans="1:56" ht="100.5" thickBot="1">
      <c r="A93" s="329"/>
      <c r="B93" s="331"/>
      <c r="C93" s="332"/>
      <c r="D93" s="333"/>
      <c r="E93" s="203"/>
      <c r="F93" s="203"/>
      <c r="G93" s="203" t="s">
        <v>316</v>
      </c>
      <c r="H93" s="204" t="s">
        <v>16</v>
      </c>
      <c r="I93" s="204" t="s">
        <v>317</v>
      </c>
      <c r="J93" s="331"/>
      <c r="K93" s="349"/>
      <c r="L93" s="361"/>
      <c r="M93" s="349"/>
      <c r="N93" s="359"/>
      <c r="O93" s="221" t="s">
        <v>318</v>
      </c>
      <c r="P93" s="221" t="s">
        <v>319</v>
      </c>
      <c r="Q93" s="225" t="s">
        <v>20</v>
      </c>
      <c r="R93" s="211" t="s">
        <v>312</v>
      </c>
      <c r="S93" s="27">
        <f t="shared" si="24"/>
        <v>15</v>
      </c>
      <c r="T93" s="211" t="s">
        <v>312</v>
      </c>
      <c r="U93" s="27">
        <f t="shared" si="25"/>
        <v>15</v>
      </c>
      <c r="V93" s="211" t="s">
        <v>312</v>
      </c>
      <c r="W93" s="27">
        <f t="shared" si="26"/>
        <v>15</v>
      </c>
      <c r="X93" s="211" t="s">
        <v>312</v>
      </c>
      <c r="Y93" s="27">
        <f t="shared" si="27"/>
        <v>15</v>
      </c>
      <c r="Z93" s="211" t="s">
        <v>312</v>
      </c>
      <c r="AA93" s="27">
        <f t="shared" si="28"/>
        <v>15</v>
      </c>
      <c r="AB93" s="211" t="s">
        <v>312</v>
      </c>
      <c r="AC93" s="27">
        <f t="shared" si="29"/>
        <v>15</v>
      </c>
      <c r="AD93" s="211" t="s">
        <v>117</v>
      </c>
      <c r="AE93" s="27">
        <f t="shared" si="18"/>
        <v>10</v>
      </c>
      <c r="AF93" s="48">
        <f t="shared" si="19"/>
        <v>100</v>
      </c>
      <c r="AG93" s="48" t="str">
        <f t="shared" si="20"/>
        <v>Fuerte</v>
      </c>
      <c r="AH93" s="210" t="s">
        <v>118</v>
      </c>
      <c r="AI93" s="210" t="str">
        <f t="shared" si="21"/>
        <v>Fuerte</v>
      </c>
      <c r="AJ93" s="21" t="str">
        <f>IFERROR(VLOOKUP((CONCATENATE(AG93,AI93)),Listados!$U$3:$V$11,2,FALSE),"")</f>
        <v>Fuerte</v>
      </c>
      <c r="AK93" s="48">
        <f t="shared" si="22"/>
        <v>100</v>
      </c>
      <c r="AL93" s="355"/>
      <c r="AM93" s="357"/>
      <c r="AN93" s="173">
        <f>+IF(AND(Q93="Preventivo",AM91="Fuerte"),2,IF(AND(Q93="Preventivo",AM91="Moderado"),1,0))</f>
        <v>2</v>
      </c>
      <c r="AO93" s="173">
        <f t="shared" si="23"/>
        <v>1</v>
      </c>
      <c r="AP93" s="173">
        <f>+K91-AN93</f>
        <v>-1</v>
      </c>
      <c r="AQ93" s="173">
        <f>+M91-AO93</f>
        <v>3</v>
      </c>
      <c r="AR93" s="346"/>
      <c r="AS93" s="346"/>
      <c r="AT93" s="346"/>
      <c r="AU93" s="346"/>
      <c r="AV93" s="311"/>
      <c r="AW93" s="312"/>
      <c r="AX93" s="313"/>
      <c r="AY93" s="311"/>
      <c r="AZ93" s="312"/>
      <c r="BA93" s="313"/>
      <c r="BB93" s="311"/>
      <c r="BC93" s="312"/>
      <c r="BD93" s="313"/>
    </row>
    <row r="94" spans="1:56" ht="15.75" thickBot="1">
      <c r="A94" s="329"/>
      <c r="B94" s="331"/>
      <c r="C94" s="332"/>
      <c r="D94" s="333"/>
      <c r="E94" s="203"/>
      <c r="F94" s="203"/>
      <c r="G94" s="204"/>
      <c r="H94" s="204"/>
      <c r="I94" s="204"/>
      <c r="J94" s="331"/>
      <c r="K94" s="349"/>
      <c r="L94" s="361"/>
      <c r="M94" s="349"/>
      <c r="N94" s="359"/>
      <c r="O94" s="203"/>
      <c r="P94" s="205"/>
      <c r="Q94" s="205"/>
      <c r="R94" s="215"/>
      <c r="S94" s="27" t="str">
        <f t="shared" si="12"/>
        <v/>
      </c>
      <c r="T94" s="215"/>
      <c r="U94" s="27" t="str">
        <f t="shared" si="13"/>
        <v/>
      </c>
      <c r="V94" s="208"/>
      <c r="W94" s="27" t="str">
        <f t="shared" si="14"/>
        <v/>
      </c>
      <c r="X94" s="208"/>
      <c r="Y94" s="27" t="str">
        <f t="shared" si="15"/>
        <v/>
      </c>
      <c r="Z94" s="208"/>
      <c r="AA94" s="27" t="str">
        <f t="shared" si="16"/>
        <v/>
      </c>
      <c r="AB94" s="208"/>
      <c r="AC94" s="27" t="str">
        <f t="shared" si="17"/>
        <v/>
      </c>
      <c r="AD94" s="208"/>
      <c r="AE94" s="27" t="str">
        <f t="shared" si="18"/>
        <v/>
      </c>
      <c r="AF94" s="48" t="str">
        <f t="shared" si="19"/>
        <v/>
      </c>
      <c r="AG94" s="48" t="str">
        <f t="shared" si="20"/>
        <v/>
      </c>
      <c r="AH94" s="209"/>
      <c r="AI94" s="210" t="str">
        <f t="shared" si="21"/>
        <v>Débil</v>
      </c>
      <c r="AJ94" s="21" t="str">
        <f>IFERROR(VLOOKUP((CONCATENATE(AG94,AI94)),Listados!$U$3:$V$11,2,FALSE),"")</f>
        <v/>
      </c>
      <c r="AK94" s="48">
        <f t="shared" si="22"/>
        <v>100</v>
      </c>
      <c r="AL94" s="355"/>
      <c r="AM94" s="357"/>
      <c r="AN94" s="173">
        <f>+IF(AND(Q94="Preventivo",AM91="Fuerte"),2,IF(AND(Q94="Preventivo",AM91="Moderado"),1,0))</f>
        <v>0</v>
      </c>
      <c r="AO94" s="173">
        <f t="shared" si="23"/>
        <v>0</v>
      </c>
      <c r="AP94" s="173">
        <f>+K91-AN94</f>
        <v>1</v>
      </c>
      <c r="AQ94" s="173">
        <f>+M91-AO94</f>
        <v>4</v>
      </c>
      <c r="AR94" s="346"/>
      <c r="AS94" s="346"/>
      <c r="AT94" s="346"/>
      <c r="AU94" s="346"/>
      <c r="AV94" s="311"/>
      <c r="AW94" s="312"/>
      <c r="AX94" s="313"/>
      <c r="AY94" s="311"/>
      <c r="AZ94" s="312"/>
      <c r="BA94" s="313"/>
      <c r="BB94" s="311"/>
      <c r="BC94" s="312"/>
      <c r="BD94" s="313"/>
    </row>
    <row r="95" spans="1:56" ht="15.75" thickBot="1">
      <c r="A95" s="329"/>
      <c r="B95" s="331"/>
      <c r="C95" s="332"/>
      <c r="D95" s="333"/>
      <c r="E95" s="203"/>
      <c r="F95" s="203"/>
      <c r="G95" s="204"/>
      <c r="H95" s="204"/>
      <c r="I95" s="204"/>
      <c r="J95" s="331"/>
      <c r="K95" s="349"/>
      <c r="L95" s="361"/>
      <c r="M95" s="349"/>
      <c r="N95" s="359"/>
      <c r="O95" s="203"/>
      <c r="P95" s="205"/>
      <c r="Q95" s="205"/>
      <c r="R95" s="215"/>
      <c r="S95" s="27" t="str">
        <f t="shared" si="12"/>
        <v/>
      </c>
      <c r="T95" s="215"/>
      <c r="U95" s="27" t="str">
        <f t="shared" si="13"/>
        <v/>
      </c>
      <c r="V95" s="208"/>
      <c r="W95" s="27" t="str">
        <f t="shared" si="14"/>
        <v/>
      </c>
      <c r="X95" s="208"/>
      <c r="Y95" s="27" t="str">
        <f t="shared" si="15"/>
        <v/>
      </c>
      <c r="Z95" s="208"/>
      <c r="AA95" s="27" t="str">
        <f t="shared" si="16"/>
        <v/>
      </c>
      <c r="AB95" s="208"/>
      <c r="AC95" s="27" t="str">
        <f t="shared" si="17"/>
        <v/>
      </c>
      <c r="AD95" s="208"/>
      <c r="AE95" s="27" t="str">
        <f t="shared" si="18"/>
        <v/>
      </c>
      <c r="AF95" s="48" t="str">
        <f t="shared" si="19"/>
        <v/>
      </c>
      <c r="AG95" s="48" t="str">
        <f t="shared" si="20"/>
        <v/>
      </c>
      <c r="AH95" s="209"/>
      <c r="AI95" s="210" t="str">
        <f t="shared" si="21"/>
        <v>Débil</v>
      </c>
      <c r="AJ95" s="21" t="str">
        <f>IFERROR(VLOOKUP((CONCATENATE(AG95,AI95)),Listados!$U$3:$V$11,2,FALSE),"")</f>
        <v/>
      </c>
      <c r="AK95" s="48">
        <f t="shared" si="22"/>
        <v>100</v>
      </c>
      <c r="AL95" s="355"/>
      <c r="AM95" s="357"/>
      <c r="AN95" s="173">
        <f>+IF(AND(Q95="Preventivo",AM91="Fuerte"),2,IF(AND(Q95="Preventivo",AM91="Moderado"),1,0))</f>
        <v>0</v>
      </c>
      <c r="AO95" s="173">
        <f t="shared" si="23"/>
        <v>0</v>
      </c>
      <c r="AP95" s="173">
        <f>+K91-AN95</f>
        <v>1</v>
      </c>
      <c r="AQ95" s="173">
        <f>+M91-AO95</f>
        <v>4</v>
      </c>
      <c r="AR95" s="346"/>
      <c r="AS95" s="346"/>
      <c r="AT95" s="346"/>
      <c r="AU95" s="346"/>
      <c r="AV95" s="311"/>
      <c r="AW95" s="312"/>
      <c r="AX95" s="313"/>
      <c r="AY95" s="311"/>
      <c r="AZ95" s="312"/>
      <c r="BA95" s="313"/>
      <c r="BB95" s="311"/>
      <c r="BC95" s="312"/>
      <c r="BD95" s="313"/>
    </row>
    <row r="96" spans="1:56" ht="15.75" thickBot="1">
      <c r="A96" s="330"/>
      <c r="B96" s="331"/>
      <c r="C96" s="332"/>
      <c r="D96" s="333"/>
      <c r="E96" s="203"/>
      <c r="F96" s="203"/>
      <c r="G96" s="204"/>
      <c r="H96" s="204"/>
      <c r="I96" s="204"/>
      <c r="J96" s="331"/>
      <c r="K96" s="350"/>
      <c r="L96" s="351"/>
      <c r="M96" s="350"/>
      <c r="N96" s="359"/>
      <c r="O96" s="203"/>
      <c r="P96" s="205"/>
      <c r="Q96" s="205"/>
      <c r="R96" s="215"/>
      <c r="S96" s="27" t="str">
        <f t="shared" si="12"/>
        <v/>
      </c>
      <c r="T96" s="215"/>
      <c r="U96" s="27" t="str">
        <f t="shared" si="13"/>
        <v/>
      </c>
      <c r="V96" s="208"/>
      <c r="W96" s="27" t="str">
        <f t="shared" si="14"/>
        <v/>
      </c>
      <c r="X96" s="208"/>
      <c r="Y96" s="27" t="str">
        <f t="shared" si="15"/>
        <v/>
      </c>
      <c r="Z96" s="208"/>
      <c r="AA96" s="27" t="str">
        <f t="shared" si="16"/>
        <v/>
      </c>
      <c r="AB96" s="208"/>
      <c r="AC96" s="27" t="str">
        <f t="shared" si="17"/>
        <v/>
      </c>
      <c r="AD96" s="208"/>
      <c r="AE96" s="27" t="str">
        <f t="shared" si="18"/>
        <v/>
      </c>
      <c r="AF96" s="48" t="str">
        <f t="shared" si="19"/>
        <v/>
      </c>
      <c r="AG96" s="48" t="str">
        <f t="shared" si="20"/>
        <v/>
      </c>
      <c r="AH96" s="209"/>
      <c r="AI96" s="210" t="str">
        <f t="shared" si="21"/>
        <v>Débil</v>
      </c>
      <c r="AJ96" s="21" t="str">
        <f>IFERROR(VLOOKUP((CONCATENATE(AG96,AI96)),Listados!$U$3:$V$11,2,FALSE),"")</f>
        <v/>
      </c>
      <c r="AK96" s="48">
        <f t="shared" si="22"/>
        <v>100</v>
      </c>
      <c r="AL96" s="356"/>
      <c r="AM96" s="357"/>
      <c r="AN96" s="173">
        <f>+IF(AND(Q96="Preventivo",AM91="Fuerte"),2,IF(AND(Q96="Preventivo",AM91="Moderado"),1,0))</f>
        <v>0</v>
      </c>
      <c r="AO96" s="173">
        <f t="shared" si="23"/>
        <v>0</v>
      </c>
      <c r="AP96" s="173">
        <f>+K91-AN96</f>
        <v>1</v>
      </c>
      <c r="AQ96" s="173">
        <f>+M91-AO96</f>
        <v>4</v>
      </c>
      <c r="AR96" s="347"/>
      <c r="AS96" s="347"/>
      <c r="AT96" s="347"/>
      <c r="AU96" s="347"/>
      <c r="AV96" s="311"/>
      <c r="AW96" s="312"/>
      <c r="AX96" s="313"/>
      <c r="AY96" s="311"/>
      <c r="AZ96" s="312"/>
      <c r="BA96" s="313"/>
      <c r="BB96" s="311"/>
      <c r="BC96" s="312"/>
      <c r="BD96" s="313"/>
    </row>
    <row r="97" spans="1:56" ht="85.5">
      <c r="A97" s="328">
        <v>16</v>
      </c>
      <c r="B97" s="331" t="s">
        <v>104</v>
      </c>
      <c r="C97" s="332" t="str">
        <f>IFERROR(VLOOKUP(B97,Listados!B$3:C$20,2,FALSE),"")</f>
        <v>Evaluar y/o hacer seguimiento a la planeación, ejecución y control en la gestión de los procesos (SIG), programas, planes y proyectos del Ministerio de Justicia y del Derecho para el mejoramiento continuo de la gestión de la Entidad.</v>
      </c>
      <c r="D97" s="333" t="s">
        <v>320</v>
      </c>
      <c r="E97" s="203" t="s">
        <v>52</v>
      </c>
      <c r="F97" s="203"/>
      <c r="G97" s="203" t="s">
        <v>321</v>
      </c>
      <c r="H97" s="204" t="s">
        <v>16</v>
      </c>
      <c r="I97" s="204" t="s">
        <v>322</v>
      </c>
      <c r="J97" s="331" t="s">
        <v>31</v>
      </c>
      <c r="K97" s="348">
        <f>+VLOOKUP(J97,Listados!$K$8:$L$12,2,0)</f>
        <v>2</v>
      </c>
      <c r="L97" s="351" t="s">
        <v>54</v>
      </c>
      <c r="M97" s="348">
        <f>+VLOOKUP(L97,Listados!$K$13:$L$17,2,0)</f>
        <v>4</v>
      </c>
      <c r="N97" s="358" t="str">
        <f>IF(AND(J97&lt;&gt;"",L97&lt;&gt;""),VLOOKUP(J97&amp;L97,Listados!$M$3:$N$27,2,FALSE),"")</f>
        <v>Alto</v>
      </c>
      <c r="O97" s="221" t="s">
        <v>323</v>
      </c>
      <c r="P97" s="226" t="s">
        <v>321</v>
      </c>
      <c r="Q97" s="226" t="s">
        <v>20</v>
      </c>
      <c r="R97" s="227" t="s">
        <v>116</v>
      </c>
      <c r="S97" s="27">
        <f t="shared" si="12"/>
        <v>15</v>
      </c>
      <c r="T97" s="227" t="s">
        <v>312</v>
      </c>
      <c r="U97" s="27">
        <f t="shared" si="13"/>
        <v>15</v>
      </c>
      <c r="V97" s="211" t="s">
        <v>312</v>
      </c>
      <c r="W97" s="27">
        <f t="shared" si="14"/>
        <v>15</v>
      </c>
      <c r="X97" s="211" t="s">
        <v>312</v>
      </c>
      <c r="Y97" s="27">
        <f t="shared" ref="Y97:Y98" si="30">+IF(X97="si",15,"")</f>
        <v>15</v>
      </c>
      <c r="Z97" s="211" t="s">
        <v>312</v>
      </c>
      <c r="AA97" s="27">
        <f t="shared" si="16"/>
        <v>15</v>
      </c>
      <c r="AB97" s="211" t="s">
        <v>312</v>
      </c>
      <c r="AC97" s="27">
        <f t="shared" si="17"/>
        <v>15</v>
      </c>
      <c r="AD97" s="208" t="s">
        <v>117</v>
      </c>
      <c r="AE97" s="27">
        <f t="shared" si="18"/>
        <v>10</v>
      </c>
      <c r="AF97" s="48">
        <f t="shared" si="19"/>
        <v>100</v>
      </c>
      <c r="AG97" s="48" t="str">
        <f t="shared" si="20"/>
        <v>Fuerte</v>
      </c>
      <c r="AH97" s="209" t="s">
        <v>118</v>
      </c>
      <c r="AI97" s="210" t="str">
        <f t="shared" si="21"/>
        <v>Fuerte</v>
      </c>
      <c r="AJ97" s="21" t="str">
        <f>IFERROR(VLOOKUP((CONCATENATE(AG97,AI97)),Listados!$U$3:$V$11,2,FALSE),"")</f>
        <v>Fuerte</v>
      </c>
      <c r="AK97" s="48">
        <f t="shared" si="22"/>
        <v>100</v>
      </c>
      <c r="AL97" s="354">
        <f>AVERAGE(AK97:AK102)</f>
        <v>100</v>
      </c>
      <c r="AM97" s="356" t="str">
        <f>IF(AL97&lt;=50, "Débil", IF(AL97&lt;=99,"Moderado","Fuerte"))</f>
        <v>Fuerte</v>
      </c>
      <c r="AN97" s="173">
        <f>+IF(AND(Q97="Preventivo",AM97="Fuerte"),2,IF(AND(Q97="Preventivo",AM97="Moderado"),1,0))</f>
        <v>2</v>
      </c>
      <c r="AO97" s="173">
        <f t="shared" si="23"/>
        <v>1</v>
      </c>
      <c r="AP97" s="173">
        <f>+K97-AN97</f>
        <v>0</v>
      </c>
      <c r="AQ97" s="173">
        <f>+M97-AO97</f>
        <v>3</v>
      </c>
      <c r="AR97" s="345" t="str">
        <f>+VLOOKUP(MIN(AP97,AP98,AP99,AP100,AP101,AP102),Listados!$J$18:$K$24,2,TRUE)</f>
        <v>Rara Vez</v>
      </c>
      <c r="AS97" s="345" t="str">
        <f>+VLOOKUP(MIN(AQ97,AQ98,AQ99,AQ100,AQ101,AQ102),Listados!$J$27:$K$32,2,TRUE)</f>
        <v>Menor</v>
      </c>
      <c r="AT97" s="345" t="str">
        <f>IF(AND(AR97&lt;&gt;"",AS97&lt;&gt;""),VLOOKUP(AR97&amp;AS97,Listados!$M$3:$N$27,2,FALSE),"")</f>
        <v>Bajo</v>
      </c>
      <c r="AU97" s="345" t="str">
        <f>+VLOOKUP(AT97,Listados!$P$3:$Q$6,2,FALSE)</f>
        <v>Asumir el riesgo</v>
      </c>
      <c r="AV97" s="311"/>
      <c r="AW97" s="312"/>
      <c r="AX97" s="313"/>
      <c r="AY97" s="311"/>
      <c r="AZ97" s="312"/>
      <c r="BA97" s="313"/>
      <c r="BB97" s="311"/>
      <c r="BC97" s="312"/>
      <c r="BD97" s="313"/>
    </row>
    <row r="98" spans="1:56" ht="129" thickBot="1">
      <c r="A98" s="329"/>
      <c r="B98" s="331"/>
      <c r="C98" s="332"/>
      <c r="D98" s="333"/>
      <c r="E98" s="203"/>
      <c r="F98" s="203"/>
      <c r="G98" s="203" t="s">
        <v>324</v>
      </c>
      <c r="H98" s="204" t="s">
        <v>30</v>
      </c>
      <c r="I98" s="204" t="s">
        <v>325</v>
      </c>
      <c r="J98" s="331"/>
      <c r="K98" s="349"/>
      <c r="L98" s="352"/>
      <c r="M98" s="349"/>
      <c r="N98" s="359"/>
      <c r="O98" s="221" t="s">
        <v>326</v>
      </c>
      <c r="P98" s="226" t="s">
        <v>324</v>
      </c>
      <c r="Q98" s="226" t="s">
        <v>20</v>
      </c>
      <c r="R98" s="227" t="s">
        <v>116</v>
      </c>
      <c r="S98" s="27">
        <f t="shared" si="12"/>
        <v>15</v>
      </c>
      <c r="T98" s="227" t="s">
        <v>312</v>
      </c>
      <c r="U98" s="27">
        <f t="shared" si="13"/>
        <v>15</v>
      </c>
      <c r="V98" s="211" t="s">
        <v>312</v>
      </c>
      <c r="W98" s="27">
        <f t="shared" si="14"/>
        <v>15</v>
      </c>
      <c r="X98" s="211" t="s">
        <v>312</v>
      </c>
      <c r="Y98" s="27">
        <f t="shared" si="30"/>
        <v>15</v>
      </c>
      <c r="Z98" s="211" t="s">
        <v>312</v>
      </c>
      <c r="AA98" s="27">
        <f t="shared" si="16"/>
        <v>15</v>
      </c>
      <c r="AB98" s="211" t="s">
        <v>312</v>
      </c>
      <c r="AC98" s="27">
        <f t="shared" si="17"/>
        <v>15</v>
      </c>
      <c r="AD98" s="208" t="s">
        <v>117</v>
      </c>
      <c r="AE98" s="27">
        <f t="shared" si="18"/>
        <v>10</v>
      </c>
      <c r="AF98" s="48">
        <f t="shared" si="19"/>
        <v>100</v>
      </c>
      <c r="AG98" s="48" t="str">
        <f t="shared" si="20"/>
        <v>Fuerte</v>
      </c>
      <c r="AH98" s="209" t="s">
        <v>118</v>
      </c>
      <c r="AI98" s="210" t="str">
        <f t="shared" si="21"/>
        <v>Fuerte</v>
      </c>
      <c r="AJ98" s="21" t="str">
        <f>IFERROR(VLOOKUP((CONCATENATE(AG98,AI98)),Listados!$U$3:$V$11,2,FALSE),"")</f>
        <v>Fuerte</v>
      </c>
      <c r="AK98" s="48">
        <f t="shared" si="22"/>
        <v>100</v>
      </c>
      <c r="AL98" s="355"/>
      <c r="AM98" s="357"/>
      <c r="AN98" s="173">
        <f>+IF(AND(Q98="Preventivo",AM97="Fuerte"),2,IF(AND(Q98="Preventivo",AM97="Moderado"),1,0))</f>
        <v>2</v>
      </c>
      <c r="AO98" s="173">
        <f t="shared" si="23"/>
        <v>1</v>
      </c>
      <c r="AP98" s="173">
        <f>+K97-AN98</f>
        <v>0</v>
      </c>
      <c r="AQ98" s="173">
        <f>+M97-AO98</f>
        <v>3</v>
      </c>
      <c r="AR98" s="346"/>
      <c r="AS98" s="346"/>
      <c r="AT98" s="346"/>
      <c r="AU98" s="346"/>
      <c r="AV98" s="311"/>
      <c r="AW98" s="312"/>
      <c r="AX98" s="313"/>
      <c r="AY98" s="311"/>
      <c r="AZ98" s="312"/>
      <c r="BA98" s="313"/>
      <c r="BB98" s="311"/>
      <c r="BC98" s="312"/>
      <c r="BD98" s="313"/>
    </row>
    <row r="99" spans="1:56" ht="129" thickBot="1">
      <c r="A99" s="329"/>
      <c r="B99" s="331"/>
      <c r="C99" s="332"/>
      <c r="D99" s="333"/>
      <c r="E99" s="203"/>
      <c r="F99" s="203"/>
      <c r="G99" s="203" t="s">
        <v>327</v>
      </c>
      <c r="H99" s="204" t="s">
        <v>16</v>
      </c>
      <c r="I99" s="204"/>
      <c r="J99" s="331"/>
      <c r="K99" s="349"/>
      <c r="L99" s="352"/>
      <c r="M99" s="349"/>
      <c r="N99" s="359"/>
      <c r="O99" s="225" t="s">
        <v>326</v>
      </c>
      <c r="P99" s="226" t="s">
        <v>327</v>
      </c>
      <c r="Q99" s="226" t="s">
        <v>20</v>
      </c>
      <c r="R99" s="215"/>
      <c r="S99" s="27" t="str">
        <f t="shared" si="12"/>
        <v/>
      </c>
      <c r="T99" s="215"/>
      <c r="U99" s="27" t="str">
        <f t="shared" si="13"/>
        <v/>
      </c>
      <c r="V99" s="208"/>
      <c r="W99" s="27" t="str">
        <f t="shared" si="14"/>
        <v/>
      </c>
      <c r="X99" s="208"/>
      <c r="Y99" s="27" t="str">
        <f t="shared" si="15"/>
        <v/>
      </c>
      <c r="Z99" s="208"/>
      <c r="AA99" s="27" t="str">
        <f t="shared" si="16"/>
        <v/>
      </c>
      <c r="AB99" s="208"/>
      <c r="AC99" s="27" t="str">
        <f t="shared" si="17"/>
        <v/>
      </c>
      <c r="AD99" s="208"/>
      <c r="AE99" s="27" t="str">
        <f t="shared" si="18"/>
        <v/>
      </c>
      <c r="AF99" s="48" t="str">
        <f t="shared" si="19"/>
        <v/>
      </c>
      <c r="AG99" s="48" t="str">
        <f t="shared" si="20"/>
        <v/>
      </c>
      <c r="AH99" s="209"/>
      <c r="AI99" s="210" t="str">
        <f t="shared" si="21"/>
        <v>Débil</v>
      </c>
      <c r="AJ99" s="21" t="str">
        <f>IFERROR(VLOOKUP((CONCATENATE(AG99,AI99)),Listados!$U$3:$V$11,2,FALSE),"")</f>
        <v/>
      </c>
      <c r="AK99" s="48">
        <f t="shared" si="22"/>
        <v>100</v>
      </c>
      <c r="AL99" s="355"/>
      <c r="AM99" s="357"/>
      <c r="AN99" s="173">
        <f>+IF(AND(Q99="Preventivo",AM97="Fuerte"),2,IF(AND(Q99="Preventivo",AM97="Moderado"),1,0))</f>
        <v>2</v>
      </c>
      <c r="AO99" s="173">
        <f t="shared" si="23"/>
        <v>1</v>
      </c>
      <c r="AP99" s="173">
        <f>+K97-AN99</f>
        <v>0</v>
      </c>
      <c r="AQ99" s="173">
        <f>+M97-AO99</f>
        <v>3</v>
      </c>
      <c r="AR99" s="346"/>
      <c r="AS99" s="346"/>
      <c r="AT99" s="346"/>
      <c r="AU99" s="346"/>
      <c r="AV99" s="311"/>
      <c r="AW99" s="312"/>
      <c r="AX99" s="313"/>
      <c r="AY99" s="311"/>
      <c r="AZ99" s="312"/>
      <c r="BA99" s="313"/>
      <c r="BB99" s="311"/>
      <c r="BC99" s="312"/>
      <c r="BD99" s="313"/>
    </row>
    <row r="100" spans="1:56" ht="114.75" thickBot="1">
      <c r="A100" s="329"/>
      <c r="B100" s="331"/>
      <c r="C100" s="332"/>
      <c r="D100" s="333"/>
      <c r="E100" s="203"/>
      <c r="F100" s="203"/>
      <c r="G100" s="203" t="s">
        <v>328</v>
      </c>
      <c r="H100" s="204" t="s">
        <v>16</v>
      </c>
      <c r="I100" s="204"/>
      <c r="J100" s="331"/>
      <c r="K100" s="349"/>
      <c r="L100" s="352"/>
      <c r="M100" s="349"/>
      <c r="N100" s="359"/>
      <c r="O100" s="225" t="s">
        <v>329</v>
      </c>
      <c r="P100" s="205" t="s">
        <v>328</v>
      </c>
      <c r="Q100" s="205" t="s">
        <v>123</v>
      </c>
      <c r="R100" s="227" t="s">
        <v>116</v>
      </c>
      <c r="S100" s="27">
        <f t="shared" si="12"/>
        <v>15</v>
      </c>
      <c r="T100" s="227" t="s">
        <v>116</v>
      </c>
      <c r="U100" s="27">
        <f t="shared" si="13"/>
        <v>15</v>
      </c>
      <c r="V100" s="211" t="s">
        <v>116</v>
      </c>
      <c r="W100" s="27">
        <f t="shared" si="14"/>
        <v>15</v>
      </c>
      <c r="X100" s="211" t="s">
        <v>116</v>
      </c>
      <c r="Y100" s="27">
        <f t="shared" ref="Y100" si="31">+IF(X100="si",15,"")</f>
        <v>15</v>
      </c>
      <c r="Z100" s="211" t="s">
        <v>116</v>
      </c>
      <c r="AA100" s="27">
        <f t="shared" si="16"/>
        <v>15</v>
      </c>
      <c r="AB100" s="211" t="s">
        <v>116</v>
      </c>
      <c r="AC100" s="27">
        <f t="shared" si="17"/>
        <v>15</v>
      </c>
      <c r="AD100" s="208" t="s">
        <v>117</v>
      </c>
      <c r="AE100" s="27">
        <f t="shared" si="18"/>
        <v>10</v>
      </c>
      <c r="AF100" s="48">
        <f t="shared" si="19"/>
        <v>100</v>
      </c>
      <c r="AG100" s="48" t="str">
        <f t="shared" si="20"/>
        <v>Fuerte</v>
      </c>
      <c r="AH100" s="209" t="s">
        <v>118</v>
      </c>
      <c r="AI100" s="210" t="str">
        <f t="shared" si="21"/>
        <v>Fuerte</v>
      </c>
      <c r="AJ100" s="21" t="str">
        <f>IFERROR(VLOOKUP((CONCATENATE(AG100,AI100)),Listados!$U$3:$V$11,2,FALSE),"")</f>
        <v>Fuerte</v>
      </c>
      <c r="AK100" s="48">
        <f t="shared" si="22"/>
        <v>100</v>
      </c>
      <c r="AL100" s="355"/>
      <c r="AM100" s="357"/>
      <c r="AN100" s="173">
        <f>+IF(AND(Q100="Preventivo",AM97="Fuerte"),2,IF(AND(Q100="Preventivo",AM97="Moderado"),1,0))</f>
        <v>0</v>
      </c>
      <c r="AO100" s="173">
        <f t="shared" si="23"/>
        <v>2</v>
      </c>
      <c r="AP100" s="173">
        <f>+K97-AN100</f>
        <v>2</v>
      </c>
      <c r="AQ100" s="173">
        <f>+M97-AO100</f>
        <v>2</v>
      </c>
      <c r="AR100" s="346"/>
      <c r="AS100" s="346"/>
      <c r="AT100" s="346"/>
      <c r="AU100" s="346"/>
      <c r="AV100" s="311"/>
      <c r="AW100" s="312"/>
      <c r="AX100" s="313"/>
      <c r="AY100" s="311"/>
      <c r="AZ100" s="312"/>
      <c r="BA100" s="313"/>
      <c r="BB100" s="311"/>
      <c r="BC100" s="312"/>
      <c r="BD100" s="313"/>
    </row>
    <row r="101" spans="1:56" ht="15.75" thickBot="1">
      <c r="A101" s="329"/>
      <c r="B101" s="331"/>
      <c r="C101" s="332"/>
      <c r="D101" s="333"/>
      <c r="E101" s="203"/>
      <c r="F101" s="203"/>
      <c r="G101" s="204"/>
      <c r="H101" s="204"/>
      <c r="I101" s="204"/>
      <c r="J101" s="331"/>
      <c r="K101" s="349"/>
      <c r="L101" s="352"/>
      <c r="M101" s="349"/>
      <c r="N101" s="359"/>
      <c r="O101" s="203"/>
      <c r="P101" s="205"/>
      <c r="Q101" s="205"/>
      <c r="R101" s="215"/>
      <c r="S101" s="27" t="str">
        <f t="shared" si="12"/>
        <v/>
      </c>
      <c r="T101" s="215"/>
      <c r="U101" s="27" t="str">
        <f t="shared" si="13"/>
        <v/>
      </c>
      <c r="V101" s="208"/>
      <c r="W101" s="27" t="str">
        <f t="shared" si="14"/>
        <v/>
      </c>
      <c r="X101" s="208"/>
      <c r="Y101" s="27" t="str">
        <f t="shared" si="15"/>
        <v/>
      </c>
      <c r="Z101" s="208"/>
      <c r="AA101" s="27" t="str">
        <f t="shared" si="16"/>
        <v/>
      </c>
      <c r="AB101" s="208"/>
      <c r="AC101" s="27" t="str">
        <f t="shared" si="17"/>
        <v/>
      </c>
      <c r="AD101" s="208"/>
      <c r="AE101" s="27" t="str">
        <f t="shared" si="18"/>
        <v/>
      </c>
      <c r="AF101" s="48" t="str">
        <f t="shared" si="19"/>
        <v/>
      </c>
      <c r="AG101" s="48" t="str">
        <f t="shared" si="20"/>
        <v/>
      </c>
      <c r="AH101" s="209"/>
      <c r="AI101" s="210" t="str">
        <f t="shared" si="21"/>
        <v>Débil</v>
      </c>
      <c r="AJ101" s="21" t="str">
        <f>IFERROR(VLOOKUP((CONCATENATE(AG101,AI101)),Listados!$U$3:$V$11,2,FALSE),"")</f>
        <v/>
      </c>
      <c r="AK101" s="48">
        <f t="shared" si="22"/>
        <v>100</v>
      </c>
      <c r="AL101" s="355"/>
      <c r="AM101" s="357"/>
      <c r="AN101" s="173">
        <f>+IF(AND(Q101="Preventivo",AM97="Fuerte"),2,IF(AND(Q101="Preventivo",AM97="Moderado"),1,0))</f>
        <v>0</v>
      </c>
      <c r="AO101" s="173">
        <f t="shared" si="23"/>
        <v>0</v>
      </c>
      <c r="AP101" s="173">
        <f>+K97-AN101</f>
        <v>2</v>
      </c>
      <c r="AQ101" s="173">
        <f>+M97-AO101</f>
        <v>4</v>
      </c>
      <c r="AR101" s="346"/>
      <c r="AS101" s="346"/>
      <c r="AT101" s="346"/>
      <c r="AU101" s="346"/>
      <c r="AV101" s="311"/>
      <c r="AW101" s="312"/>
      <c r="AX101" s="313"/>
      <c r="AY101" s="311"/>
      <c r="AZ101" s="312"/>
      <c r="BA101" s="313"/>
      <c r="BB101" s="311"/>
      <c r="BC101" s="312"/>
      <c r="BD101" s="313"/>
    </row>
    <row r="102" spans="1:56" ht="15.75" thickBot="1">
      <c r="A102" s="330"/>
      <c r="B102" s="331"/>
      <c r="C102" s="332"/>
      <c r="D102" s="333"/>
      <c r="E102" s="203"/>
      <c r="F102" s="203"/>
      <c r="G102" s="204"/>
      <c r="H102" s="204"/>
      <c r="I102" s="204"/>
      <c r="J102" s="331"/>
      <c r="K102" s="350"/>
      <c r="L102" s="352"/>
      <c r="M102" s="350"/>
      <c r="N102" s="359"/>
      <c r="O102" s="203"/>
      <c r="P102" s="205"/>
      <c r="Q102" s="205"/>
      <c r="R102" s="215"/>
      <c r="S102" s="27" t="str">
        <f t="shared" si="12"/>
        <v/>
      </c>
      <c r="T102" s="215"/>
      <c r="U102" s="27" t="str">
        <f t="shared" si="13"/>
        <v/>
      </c>
      <c r="V102" s="208"/>
      <c r="W102" s="27" t="str">
        <f t="shared" si="14"/>
        <v/>
      </c>
      <c r="X102" s="208"/>
      <c r="Y102" s="27" t="str">
        <f t="shared" si="15"/>
        <v/>
      </c>
      <c r="Z102" s="208"/>
      <c r="AA102" s="27" t="str">
        <f t="shared" si="16"/>
        <v/>
      </c>
      <c r="AB102" s="208"/>
      <c r="AC102" s="27" t="str">
        <f t="shared" si="17"/>
        <v/>
      </c>
      <c r="AD102" s="208"/>
      <c r="AE102" s="27" t="str">
        <f t="shared" si="18"/>
        <v/>
      </c>
      <c r="AF102" s="48" t="str">
        <f t="shared" si="19"/>
        <v/>
      </c>
      <c r="AG102" s="48" t="str">
        <f t="shared" si="20"/>
        <v/>
      </c>
      <c r="AH102" s="209"/>
      <c r="AI102" s="210" t="str">
        <f t="shared" si="21"/>
        <v>Débil</v>
      </c>
      <c r="AJ102" s="21" t="str">
        <f>IFERROR(VLOOKUP((CONCATENATE(AG102,AI102)),Listados!$U$3:$V$11,2,FALSE),"")</f>
        <v/>
      </c>
      <c r="AK102" s="48">
        <f t="shared" si="22"/>
        <v>100</v>
      </c>
      <c r="AL102" s="356"/>
      <c r="AM102" s="357"/>
      <c r="AN102" s="173">
        <f>+IF(AND(Q102="Preventivo",AM97="Fuerte"),2,IF(AND(Q102="Preventivo",AM97="Moderado"),1,0))</f>
        <v>0</v>
      </c>
      <c r="AO102" s="173">
        <f t="shared" si="23"/>
        <v>0</v>
      </c>
      <c r="AP102" s="173">
        <f>+K97-AN102</f>
        <v>2</v>
      </c>
      <c r="AQ102" s="173">
        <f>+M97-AO102</f>
        <v>4</v>
      </c>
      <c r="AR102" s="347"/>
      <c r="AS102" s="347"/>
      <c r="AT102" s="347"/>
      <c r="AU102" s="347"/>
      <c r="AV102" s="311"/>
      <c r="AW102" s="312"/>
      <c r="AX102" s="313"/>
      <c r="AY102" s="311"/>
      <c r="AZ102" s="312"/>
      <c r="BA102" s="313"/>
      <c r="BB102" s="311"/>
      <c r="BC102" s="312"/>
      <c r="BD102" s="313"/>
    </row>
    <row r="103" spans="1:56" ht="172.5" thickBot="1">
      <c r="A103" s="328">
        <v>17</v>
      </c>
      <c r="B103" s="331" t="s">
        <v>71</v>
      </c>
      <c r="C103" s="332" t="str">
        <f>IFERROR(VLOOKUP(B103,Listados!B$3:C$20,2,FALSE),"")</f>
        <v>Formularlos criterios,parámetros o lineamientos generales elegidos para abordar las prioridades de la agenda pública en materia de justicia y del derecho y orientar las decisiones respecto a una necesidad o situación de interés público en las materias de competencia del sector de Justicia y del Derecho;hacer seguimiento a las acciones definidas para su implementación o desarrollo y efectuar los ajustes que se requieran.</v>
      </c>
      <c r="D103" s="333" t="s">
        <v>330</v>
      </c>
      <c r="E103" s="203" t="s">
        <v>15</v>
      </c>
      <c r="F103" s="203" t="s">
        <v>178</v>
      </c>
      <c r="G103" s="204" t="s">
        <v>331</v>
      </c>
      <c r="H103" s="204" t="s">
        <v>16</v>
      </c>
      <c r="I103" s="204" t="s">
        <v>332</v>
      </c>
      <c r="J103" s="331" t="s">
        <v>44</v>
      </c>
      <c r="K103" s="348">
        <f>+VLOOKUP(J103,Listados!$K$8:$L$12,2,0)</f>
        <v>3</v>
      </c>
      <c r="L103" s="351" t="s">
        <v>64</v>
      </c>
      <c r="M103" s="348">
        <f>+VLOOKUP(L103,Listados!$K$13:$L$17,2,0)</f>
        <v>5</v>
      </c>
      <c r="N103" s="358" t="str">
        <f>IF(AND(J103&lt;&gt;"",L103&lt;&gt;""),VLOOKUP(J103&amp;L103,Listados!$M$3:$N$27,2,FALSE),"")</f>
        <v>Extremo</v>
      </c>
      <c r="O103" s="205" t="s">
        <v>333</v>
      </c>
      <c r="P103" s="203" t="s">
        <v>334</v>
      </c>
      <c r="Q103" s="204" t="s">
        <v>20</v>
      </c>
      <c r="R103" s="215"/>
      <c r="S103" s="27" t="str">
        <f t="shared" si="12"/>
        <v/>
      </c>
      <c r="T103" s="215"/>
      <c r="U103" s="27" t="str">
        <f t="shared" si="13"/>
        <v/>
      </c>
      <c r="V103" s="208"/>
      <c r="W103" s="27" t="str">
        <f t="shared" si="14"/>
        <v/>
      </c>
      <c r="X103" s="208"/>
      <c r="Y103" s="27" t="str">
        <f t="shared" si="15"/>
        <v/>
      </c>
      <c r="Z103" s="208"/>
      <c r="AA103" s="27" t="str">
        <f t="shared" si="16"/>
        <v/>
      </c>
      <c r="AB103" s="208"/>
      <c r="AC103" s="27" t="str">
        <f t="shared" si="17"/>
        <v/>
      </c>
      <c r="AD103" s="208"/>
      <c r="AE103" s="27" t="str">
        <f t="shared" si="18"/>
        <v/>
      </c>
      <c r="AF103" s="48" t="str">
        <f t="shared" si="19"/>
        <v/>
      </c>
      <c r="AG103" s="48" t="str">
        <f t="shared" si="20"/>
        <v/>
      </c>
      <c r="AH103" s="209"/>
      <c r="AI103" s="210" t="str">
        <f t="shared" si="21"/>
        <v>Débil</v>
      </c>
      <c r="AJ103" s="21" t="str">
        <f>IFERROR(VLOOKUP((CONCATENATE(AG103,AI103)),Listados!$U$3:$V$11,2,FALSE),"")</f>
        <v/>
      </c>
      <c r="AK103" s="48">
        <f t="shared" si="22"/>
        <v>100</v>
      </c>
      <c r="AL103" s="354">
        <f>AVERAGE(AK103:AK108)</f>
        <v>100</v>
      </c>
      <c r="AM103" s="356" t="str">
        <f>IF(AL103&lt;=50, "Débil", IF(AL103&lt;=99,"Moderado","Fuerte"))</f>
        <v>Fuerte</v>
      </c>
      <c r="AN103" s="173">
        <f>+IF(AND(Q103="Preventivo",AM103="Fuerte"),2,IF(AND(Q103="Preventivo",AM103="Moderado"),1,0))</f>
        <v>2</v>
      </c>
      <c r="AO103" s="173">
        <f t="shared" si="23"/>
        <v>1</v>
      </c>
      <c r="AP103" s="173">
        <f>+K103-AN103</f>
        <v>1</v>
      </c>
      <c r="AQ103" s="173">
        <f>+M103-AO103</f>
        <v>4</v>
      </c>
      <c r="AR103" s="345" t="str">
        <f>+VLOOKUP(MIN(AP103,AP104,AP105,AP106,AP107,AP108),Listados!$J$18:$K$24,2,TRUE)</f>
        <v>Rara Vez</v>
      </c>
      <c r="AS103" s="345" t="str">
        <f>+VLOOKUP(MIN(AQ103,AQ104,AQ105,AQ106,AQ107,AQ108),Listados!$J$27:$K$32,2,TRUE)</f>
        <v>Mayor</v>
      </c>
      <c r="AT103" s="345" t="str">
        <f>IF(AND(AR103&lt;&gt;"",AS103&lt;&gt;""),VLOOKUP(AR103&amp;AS103,Listados!$M$3:$N$27,2,FALSE),"")</f>
        <v>Alto</v>
      </c>
      <c r="AU103" s="345" t="str">
        <f>+VLOOKUP(AT103,Listados!$P$3:$Q$6,2,FALSE)</f>
        <v>Reducir el riesgo</v>
      </c>
      <c r="AV103" s="311"/>
      <c r="AW103" s="312"/>
      <c r="AX103" s="313"/>
      <c r="AY103" s="311"/>
      <c r="AZ103" s="312"/>
      <c r="BA103" s="313"/>
      <c r="BB103" s="311"/>
      <c r="BC103" s="312"/>
      <c r="BD103" s="313"/>
    </row>
    <row r="104" spans="1:56" ht="172.5" thickBot="1">
      <c r="A104" s="329"/>
      <c r="B104" s="331"/>
      <c r="C104" s="332"/>
      <c r="D104" s="333"/>
      <c r="E104" s="203"/>
      <c r="F104" s="203" t="s">
        <v>335</v>
      </c>
      <c r="G104" s="204" t="s">
        <v>336</v>
      </c>
      <c r="H104" s="204" t="s">
        <v>30</v>
      </c>
      <c r="I104" s="204" t="s">
        <v>337</v>
      </c>
      <c r="J104" s="331"/>
      <c r="K104" s="349"/>
      <c r="L104" s="352"/>
      <c r="M104" s="349"/>
      <c r="N104" s="359"/>
      <c r="O104" s="205" t="s">
        <v>338</v>
      </c>
      <c r="P104" s="203" t="s">
        <v>336</v>
      </c>
      <c r="Q104" s="204" t="s">
        <v>20</v>
      </c>
      <c r="R104" s="215"/>
      <c r="S104" s="27" t="str">
        <f t="shared" si="12"/>
        <v/>
      </c>
      <c r="T104" s="215"/>
      <c r="U104" s="27" t="str">
        <f t="shared" si="13"/>
        <v/>
      </c>
      <c r="V104" s="208"/>
      <c r="W104" s="27" t="str">
        <f t="shared" si="14"/>
        <v/>
      </c>
      <c r="X104" s="208"/>
      <c r="Y104" s="27" t="str">
        <f t="shared" si="15"/>
        <v/>
      </c>
      <c r="Z104" s="208"/>
      <c r="AA104" s="27" t="str">
        <f t="shared" si="16"/>
        <v/>
      </c>
      <c r="AB104" s="208"/>
      <c r="AC104" s="27" t="str">
        <f t="shared" si="17"/>
        <v/>
      </c>
      <c r="AD104" s="208"/>
      <c r="AE104" s="27" t="str">
        <f t="shared" si="18"/>
        <v/>
      </c>
      <c r="AF104" s="48" t="str">
        <f t="shared" si="19"/>
        <v/>
      </c>
      <c r="AG104" s="48" t="str">
        <f t="shared" si="20"/>
        <v/>
      </c>
      <c r="AH104" s="209"/>
      <c r="AI104" s="210" t="str">
        <f t="shared" si="21"/>
        <v>Débil</v>
      </c>
      <c r="AJ104" s="21" t="str">
        <f>IFERROR(VLOOKUP((CONCATENATE(AG104,AI104)),Listados!$U$3:$V$11,2,FALSE),"")</f>
        <v/>
      </c>
      <c r="AK104" s="48">
        <f t="shared" si="22"/>
        <v>100</v>
      </c>
      <c r="AL104" s="355"/>
      <c r="AM104" s="357"/>
      <c r="AN104" s="173">
        <f>+IF(AND(Q104="Preventivo",AM103="Fuerte"),2,IF(AND(Q104="Preventivo",AM103="Moderado"),1,0))</f>
        <v>2</v>
      </c>
      <c r="AO104" s="173">
        <f t="shared" si="23"/>
        <v>1</v>
      </c>
      <c r="AP104" s="173">
        <f>+K103-AN104</f>
        <v>1</v>
      </c>
      <c r="AQ104" s="173">
        <f>+M103-AO104</f>
        <v>4</v>
      </c>
      <c r="AR104" s="346"/>
      <c r="AS104" s="346"/>
      <c r="AT104" s="346"/>
      <c r="AU104" s="346"/>
      <c r="AV104" s="311"/>
      <c r="AW104" s="312"/>
      <c r="AX104" s="313"/>
      <c r="AY104" s="311"/>
      <c r="AZ104" s="312"/>
      <c r="BA104" s="313"/>
      <c r="BB104" s="311"/>
      <c r="BC104" s="312"/>
      <c r="BD104" s="313"/>
    </row>
    <row r="105" spans="1:56" ht="172.5" thickBot="1">
      <c r="A105" s="329"/>
      <c r="B105" s="331"/>
      <c r="C105" s="332"/>
      <c r="D105" s="333"/>
      <c r="E105" s="203"/>
      <c r="F105" s="203" t="s">
        <v>339</v>
      </c>
      <c r="G105" s="204" t="s">
        <v>340</v>
      </c>
      <c r="H105" s="204" t="s">
        <v>16</v>
      </c>
      <c r="I105" s="204" t="s">
        <v>341</v>
      </c>
      <c r="J105" s="331"/>
      <c r="K105" s="349"/>
      <c r="L105" s="352"/>
      <c r="M105" s="349"/>
      <c r="N105" s="359"/>
      <c r="O105" s="205" t="s">
        <v>342</v>
      </c>
      <c r="P105" s="203" t="s">
        <v>340</v>
      </c>
      <c r="Q105" s="204" t="s">
        <v>20</v>
      </c>
      <c r="R105" s="215"/>
      <c r="S105" s="27" t="str">
        <f t="shared" si="12"/>
        <v/>
      </c>
      <c r="T105" s="215"/>
      <c r="U105" s="27" t="str">
        <f t="shared" si="13"/>
        <v/>
      </c>
      <c r="V105" s="208"/>
      <c r="W105" s="27" t="str">
        <f t="shared" si="14"/>
        <v/>
      </c>
      <c r="X105" s="208"/>
      <c r="Y105" s="27" t="str">
        <f t="shared" si="15"/>
        <v/>
      </c>
      <c r="Z105" s="208"/>
      <c r="AA105" s="27" t="str">
        <f t="shared" si="16"/>
        <v/>
      </c>
      <c r="AB105" s="208"/>
      <c r="AC105" s="27" t="str">
        <f t="shared" si="17"/>
        <v/>
      </c>
      <c r="AD105" s="208"/>
      <c r="AE105" s="27" t="str">
        <f t="shared" si="18"/>
        <v/>
      </c>
      <c r="AF105" s="48" t="str">
        <f t="shared" si="19"/>
        <v/>
      </c>
      <c r="AG105" s="48" t="str">
        <f t="shared" si="20"/>
        <v/>
      </c>
      <c r="AH105" s="209"/>
      <c r="AI105" s="210" t="str">
        <f t="shared" si="21"/>
        <v>Débil</v>
      </c>
      <c r="AJ105" s="21" t="str">
        <f>IFERROR(VLOOKUP((CONCATENATE(AG105,AI105)),Listados!$U$3:$V$11,2,FALSE),"")</f>
        <v/>
      </c>
      <c r="AK105" s="48">
        <f t="shared" si="22"/>
        <v>100</v>
      </c>
      <c r="AL105" s="355"/>
      <c r="AM105" s="357"/>
      <c r="AN105" s="173">
        <f>+IF(AND(Q105="Preventivo",AM103="Fuerte"),2,IF(AND(Q105="Preventivo",AM103="Moderado"),1,0))</f>
        <v>2</v>
      </c>
      <c r="AO105" s="173">
        <f t="shared" si="23"/>
        <v>1</v>
      </c>
      <c r="AP105" s="173">
        <f>+K103-AN105</f>
        <v>1</v>
      </c>
      <c r="AQ105" s="173">
        <f>+M103-AO105</f>
        <v>4</v>
      </c>
      <c r="AR105" s="346"/>
      <c r="AS105" s="346"/>
      <c r="AT105" s="346"/>
      <c r="AU105" s="346"/>
      <c r="AV105" s="311"/>
      <c r="AW105" s="312"/>
      <c r="AX105" s="313"/>
      <c r="AY105" s="311"/>
      <c r="AZ105" s="312"/>
      <c r="BA105" s="313"/>
      <c r="BB105" s="311"/>
      <c r="BC105" s="312"/>
      <c r="BD105" s="313"/>
    </row>
    <row r="106" spans="1:56" ht="43.5" thickBot="1">
      <c r="A106" s="329"/>
      <c r="B106" s="331"/>
      <c r="C106" s="332"/>
      <c r="D106" s="333"/>
      <c r="E106" s="203"/>
      <c r="F106" s="203" t="s">
        <v>343</v>
      </c>
      <c r="G106" s="204"/>
      <c r="H106" s="204"/>
      <c r="I106" s="204"/>
      <c r="J106" s="331"/>
      <c r="K106" s="349"/>
      <c r="L106" s="352"/>
      <c r="M106" s="349"/>
      <c r="N106" s="359"/>
      <c r="O106" s="203"/>
      <c r="P106" s="205"/>
      <c r="Q106" s="205"/>
      <c r="R106" s="215"/>
      <c r="S106" s="27" t="str">
        <f t="shared" si="12"/>
        <v/>
      </c>
      <c r="T106" s="215"/>
      <c r="U106" s="27" t="str">
        <f t="shared" si="13"/>
        <v/>
      </c>
      <c r="V106" s="208"/>
      <c r="W106" s="27" t="str">
        <f t="shared" si="14"/>
        <v/>
      </c>
      <c r="X106" s="208"/>
      <c r="Y106" s="27" t="str">
        <f t="shared" si="15"/>
        <v/>
      </c>
      <c r="Z106" s="208"/>
      <c r="AA106" s="27" t="str">
        <f t="shared" si="16"/>
        <v/>
      </c>
      <c r="AB106" s="208"/>
      <c r="AC106" s="27" t="str">
        <f t="shared" si="17"/>
        <v/>
      </c>
      <c r="AD106" s="208"/>
      <c r="AE106" s="27" t="str">
        <f t="shared" si="18"/>
        <v/>
      </c>
      <c r="AF106" s="48" t="str">
        <f t="shared" si="19"/>
        <v/>
      </c>
      <c r="AG106" s="48" t="str">
        <f t="shared" si="20"/>
        <v/>
      </c>
      <c r="AH106" s="209"/>
      <c r="AI106" s="210" t="str">
        <f t="shared" si="21"/>
        <v>Débil</v>
      </c>
      <c r="AJ106" s="21" t="str">
        <f>IFERROR(VLOOKUP((CONCATENATE(AG106,AI106)),Listados!$U$3:$V$11,2,FALSE),"")</f>
        <v/>
      </c>
      <c r="AK106" s="48">
        <f t="shared" si="22"/>
        <v>100</v>
      </c>
      <c r="AL106" s="355"/>
      <c r="AM106" s="357"/>
      <c r="AN106" s="173">
        <f>+IF(AND(Q106="Preventivo",AM103="Fuerte"),2,IF(AND(Q106="Preventivo",AM103="Moderado"),1,0))</f>
        <v>0</v>
      </c>
      <c r="AO106" s="173">
        <f t="shared" si="23"/>
        <v>0</v>
      </c>
      <c r="AP106" s="173">
        <f>+K103-AN106</f>
        <v>3</v>
      </c>
      <c r="AQ106" s="173">
        <f>+M103-AO106</f>
        <v>5</v>
      </c>
      <c r="AR106" s="346"/>
      <c r="AS106" s="346"/>
      <c r="AT106" s="346"/>
      <c r="AU106" s="346"/>
      <c r="AV106" s="311"/>
      <c r="AW106" s="312"/>
      <c r="AX106" s="313"/>
      <c r="AY106" s="311"/>
      <c r="AZ106" s="312"/>
      <c r="BA106" s="313"/>
      <c r="BB106" s="311"/>
      <c r="BC106" s="312"/>
      <c r="BD106" s="313"/>
    </row>
    <row r="107" spans="1:56" ht="15.75" thickBot="1">
      <c r="A107" s="329"/>
      <c r="B107" s="331"/>
      <c r="C107" s="332"/>
      <c r="D107" s="333"/>
      <c r="E107" s="203"/>
      <c r="F107" s="203"/>
      <c r="G107" s="204"/>
      <c r="H107" s="204"/>
      <c r="I107" s="204"/>
      <c r="J107" s="331"/>
      <c r="K107" s="349"/>
      <c r="L107" s="352"/>
      <c r="M107" s="349"/>
      <c r="N107" s="359"/>
      <c r="O107" s="203"/>
      <c r="P107" s="205"/>
      <c r="Q107" s="205"/>
      <c r="R107" s="215"/>
      <c r="S107" s="27" t="str">
        <f t="shared" si="12"/>
        <v/>
      </c>
      <c r="T107" s="215"/>
      <c r="U107" s="27" t="str">
        <f t="shared" si="13"/>
        <v/>
      </c>
      <c r="V107" s="208"/>
      <c r="W107" s="27" t="str">
        <f t="shared" si="14"/>
        <v/>
      </c>
      <c r="X107" s="208"/>
      <c r="Y107" s="27" t="str">
        <f t="shared" si="15"/>
        <v/>
      </c>
      <c r="Z107" s="208"/>
      <c r="AA107" s="27" t="str">
        <f t="shared" si="16"/>
        <v/>
      </c>
      <c r="AB107" s="208"/>
      <c r="AC107" s="27" t="str">
        <f t="shared" si="17"/>
        <v/>
      </c>
      <c r="AD107" s="208"/>
      <c r="AE107" s="27" t="str">
        <f t="shared" si="18"/>
        <v/>
      </c>
      <c r="AF107" s="48" t="str">
        <f t="shared" si="19"/>
        <v/>
      </c>
      <c r="AG107" s="48" t="str">
        <f t="shared" si="20"/>
        <v/>
      </c>
      <c r="AH107" s="209"/>
      <c r="AI107" s="210" t="str">
        <f t="shared" si="21"/>
        <v>Débil</v>
      </c>
      <c r="AJ107" s="21" t="str">
        <f>IFERROR(VLOOKUP((CONCATENATE(AG107,AI107)),Listados!$U$3:$V$11,2,FALSE),"")</f>
        <v/>
      </c>
      <c r="AK107" s="48">
        <f t="shared" si="22"/>
        <v>100</v>
      </c>
      <c r="AL107" s="355"/>
      <c r="AM107" s="357"/>
      <c r="AN107" s="173">
        <f>+IF(AND(Q107="Preventivo",AM103="Fuerte"),2,IF(AND(Q107="Preventivo",AM103="Moderado"),1,0))</f>
        <v>0</v>
      </c>
      <c r="AO107" s="173">
        <f t="shared" si="23"/>
        <v>0</v>
      </c>
      <c r="AP107" s="173">
        <f>+K103-AN107</f>
        <v>3</v>
      </c>
      <c r="AQ107" s="173">
        <f>+M103-AO107</f>
        <v>5</v>
      </c>
      <c r="AR107" s="346"/>
      <c r="AS107" s="346"/>
      <c r="AT107" s="346"/>
      <c r="AU107" s="346"/>
      <c r="AV107" s="311"/>
      <c r="AW107" s="312"/>
      <c r="AX107" s="313"/>
      <c r="AY107" s="311"/>
      <c r="AZ107" s="312"/>
      <c r="BA107" s="313"/>
      <c r="BB107" s="311"/>
      <c r="BC107" s="312"/>
      <c r="BD107" s="313"/>
    </row>
    <row r="108" spans="1:56" ht="15.75" thickBot="1">
      <c r="A108" s="330"/>
      <c r="B108" s="331"/>
      <c r="C108" s="332"/>
      <c r="D108" s="333"/>
      <c r="E108" s="203"/>
      <c r="F108" s="203"/>
      <c r="G108" s="204"/>
      <c r="H108" s="204"/>
      <c r="I108" s="204"/>
      <c r="J108" s="331"/>
      <c r="K108" s="350"/>
      <c r="L108" s="352"/>
      <c r="M108" s="350"/>
      <c r="N108" s="359"/>
      <c r="O108" s="203"/>
      <c r="P108" s="205"/>
      <c r="Q108" s="205"/>
      <c r="R108" s="215"/>
      <c r="S108" s="27" t="str">
        <f t="shared" si="12"/>
        <v/>
      </c>
      <c r="T108" s="215"/>
      <c r="U108" s="27" t="str">
        <f t="shared" si="13"/>
        <v/>
      </c>
      <c r="V108" s="208"/>
      <c r="W108" s="27" t="str">
        <f t="shared" si="14"/>
        <v/>
      </c>
      <c r="X108" s="208"/>
      <c r="Y108" s="27" t="str">
        <f t="shared" si="15"/>
        <v/>
      </c>
      <c r="Z108" s="208"/>
      <c r="AA108" s="27" t="str">
        <f t="shared" si="16"/>
        <v/>
      </c>
      <c r="AB108" s="208"/>
      <c r="AC108" s="27" t="str">
        <f t="shared" si="17"/>
        <v/>
      </c>
      <c r="AD108" s="208"/>
      <c r="AE108" s="27" t="str">
        <f t="shared" si="18"/>
        <v/>
      </c>
      <c r="AF108" s="48" t="str">
        <f t="shared" si="19"/>
        <v/>
      </c>
      <c r="AG108" s="48" t="str">
        <f t="shared" si="20"/>
        <v/>
      </c>
      <c r="AH108" s="209"/>
      <c r="AI108" s="210" t="str">
        <f t="shared" si="21"/>
        <v>Débil</v>
      </c>
      <c r="AJ108" s="21" t="str">
        <f>IFERROR(VLOOKUP((CONCATENATE(AG108,AI108)),Listados!$U$3:$V$11,2,FALSE),"")</f>
        <v/>
      </c>
      <c r="AK108" s="48">
        <f t="shared" si="22"/>
        <v>100</v>
      </c>
      <c r="AL108" s="356"/>
      <c r="AM108" s="357"/>
      <c r="AN108" s="173">
        <f>+IF(AND(Q108="Preventivo",AM103="Fuerte"),2,IF(AND(Q108="Preventivo",AM103="Moderado"),1,0))</f>
        <v>0</v>
      </c>
      <c r="AO108" s="173">
        <f t="shared" si="23"/>
        <v>0</v>
      </c>
      <c r="AP108" s="173">
        <f>+K103-AN108</f>
        <v>3</v>
      </c>
      <c r="AQ108" s="173">
        <f>+M103-AO108</f>
        <v>5</v>
      </c>
      <c r="AR108" s="347"/>
      <c r="AS108" s="347"/>
      <c r="AT108" s="347"/>
      <c r="AU108" s="347"/>
      <c r="AV108" s="311"/>
      <c r="AW108" s="312"/>
      <c r="AX108" s="313"/>
      <c r="AY108" s="311"/>
      <c r="AZ108" s="312"/>
      <c r="BA108" s="313"/>
      <c r="BB108" s="311"/>
      <c r="BC108" s="312"/>
      <c r="BD108" s="313"/>
    </row>
    <row r="109" spans="1:56" ht="186.75" thickBot="1">
      <c r="A109" s="328">
        <v>18</v>
      </c>
      <c r="B109" s="331" t="s">
        <v>92</v>
      </c>
      <c r="C109" s="332" t="str">
        <f>IFERROR(VLOOKUP(B109,Listados!B$3:C$20,2,FALSE),"")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109" s="333" t="s">
        <v>344</v>
      </c>
      <c r="E109" s="203" t="s">
        <v>52</v>
      </c>
      <c r="F109" s="203"/>
      <c r="G109" s="204" t="s">
        <v>345</v>
      </c>
      <c r="H109" s="204" t="s">
        <v>30</v>
      </c>
      <c r="I109" s="204" t="s">
        <v>346</v>
      </c>
      <c r="J109" s="331" t="s">
        <v>21</v>
      </c>
      <c r="K109" s="351" t="s">
        <v>36</v>
      </c>
      <c r="L109" s="351" t="s">
        <v>36</v>
      </c>
      <c r="M109" s="348">
        <f>+VLOOKUP(L109,Listados!$K$13:$L$17,2,0)</f>
        <v>3</v>
      </c>
      <c r="N109" s="358" t="str">
        <f>IF(AND(J109&lt;&gt;"",L109&lt;&gt;""),VLOOKUP(J109&amp;L109,Listados!$M$3:$N$27,2,FALSE),"")</f>
        <v>Moderado</v>
      </c>
      <c r="O109" s="205" t="s">
        <v>347</v>
      </c>
      <c r="P109" s="203" t="s">
        <v>345</v>
      </c>
      <c r="Q109" s="205" t="s">
        <v>123</v>
      </c>
      <c r="R109" s="215"/>
      <c r="S109" s="27" t="str">
        <f t="shared" si="12"/>
        <v/>
      </c>
      <c r="T109" s="215"/>
      <c r="U109" s="27" t="str">
        <f t="shared" si="13"/>
        <v/>
      </c>
      <c r="V109" s="208"/>
      <c r="W109" s="27" t="str">
        <f t="shared" si="14"/>
        <v/>
      </c>
      <c r="X109" s="208"/>
      <c r="Y109" s="27" t="str">
        <f t="shared" si="15"/>
        <v/>
      </c>
      <c r="Z109" s="208"/>
      <c r="AA109" s="27" t="str">
        <f t="shared" si="16"/>
        <v/>
      </c>
      <c r="AB109" s="208"/>
      <c r="AC109" s="27" t="str">
        <f t="shared" si="17"/>
        <v/>
      </c>
      <c r="AD109" s="208"/>
      <c r="AE109" s="27" t="str">
        <f t="shared" si="18"/>
        <v/>
      </c>
      <c r="AF109" s="48" t="str">
        <f t="shared" si="19"/>
        <v/>
      </c>
      <c r="AG109" s="48" t="str">
        <f t="shared" si="20"/>
        <v/>
      </c>
      <c r="AH109" s="209"/>
      <c r="AI109" s="210" t="str">
        <f t="shared" si="21"/>
        <v>Débil</v>
      </c>
      <c r="AJ109" s="21" t="str">
        <f>IFERROR(VLOOKUP((CONCATENATE(AG109,AI109)),Listados!$U$3:$V$11,2,FALSE),"")</f>
        <v/>
      </c>
      <c r="AK109" s="48">
        <f t="shared" si="22"/>
        <v>100</v>
      </c>
      <c r="AL109" s="354">
        <f>AVERAGE(AK109:AK114)</f>
        <v>100</v>
      </c>
      <c r="AM109" s="356" t="str">
        <f>IF(AL109&lt;=50, "Débil", IF(AL109&lt;=99,"Moderado","Fuerte"))</f>
        <v>Fuerte</v>
      </c>
      <c r="AN109" s="173">
        <f>+IF(AND(Q109="Preventivo",AM109="Fuerte"),2,IF(AND(Q109="Preventivo",AM109="Moderado"),1,0))</f>
        <v>0</v>
      </c>
      <c r="AO109" s="173">
        <f t="shared" si="23"/>
        <v>2</v>
      </c>
      <c r="AP109" s="173" t="e">
        <f>+K109-AN109</f>
        <v>#VALUE!</v>
      </c>
      <c r="AQ109" s="173">
        <f>+M109-AO109</f>
        <v>1</v>
      </c>
      <c r="AR109" s="345" t="e">
        <f>+VLOOKUP(MIN(AP109,AP110,AP111,AP112,AP113,AP114),Listados!$J$18:$K$24,2,TRUE)</f>
        <v>#VALUE!</v>
      </c>
      <c r="AS109" s="345" t="str">
        <f>+VLOOKUP(MIN(AQ109,AQ110,AQ111,AQ112,AQ113,AQ114),Listados!$J$27:$K$32,2,TRUE)</f>
        <v>Insignificante</v>
      </c>
      <c r="AT109" s="345" t="e">
        <f>IF(AND(AR109&lt;&gt;"",AS109&lt;&gt;""),VLOOKUP(AR109&amp;AS109,Listados!$M$3:$N$27,2,FALSE),"")</f>
        <v>#VALUE!</v>
      </c>
      <c r="AU109" s="345" t="e">
        <f>+VLOOKUP(AT109,Listados!$P$3:$Q$6,2,FALSE)</f>
        <v>#VALUE!</v>
      </c>
      <c r="AV109" s="311"/>
      <c r="AW109" s="312"/>
      <c r="AX109" s="313"/>
      <c r="AY109" s="311"/>
      <c r="AZ109" s="312"/>
      <c r="BA109" s="313"/>
      <c r="BB109" s="311"/>
      <c r="BC109" s="312"/>
      <c r="BD109" s="313"/>
    </row>
    <row r="110" spans="1:56" ht="172.5" thickBot="1">
      <c r="A110" s="329"/>
      <c r="B110" s="331"/>
      <c r="C110" s="332"/>
      <c r="D110" s="333"/>
      <c r="E110" s="203"/>
      <c r="F110" s="203"/>
      <c r="G110" s="204" t="s">
        <v>348</v>
      </c>
      <c r="H110" s="204" t="s">
        <v>16</v>
      </c>
      <c r="I110" s="204" t="s">
        <v>349</v>
      </c>
      <c r="J110" s="331"/>
      <c r="K110" s="352"/>
      <c r="L110" s="352"/>
      <c r="M110" s="349"/>
      <c r="N110" s="359"/>
      <c r="O110" s="205" t="s">
        <v>350</v>
      </c>
      <c r="P110" s="203" t="s">
        <v>345</v>
      </c>
      <c r="Q110" s="205" t="s">
        <v>123</v>
      </c>
      <c r="R110" s="215"/>
      <c r="S110" s="27" t="str">
        <f t="shared" si="12"/>
        <v/>
      </c>
      <c r="T110" s="215"/>
      <c r="U110" s="27" t="str">
        <f t="shared" si="13"/>
        <v/>
      </c>
      <c r="V110" s="208"/>
      <c r="W110" s="27" t="str">
        <f t="shared" si="14"/>
        <v/>
      </c>
      <c r="X110" s="208"/>
      <c r="Y110" s="27" t="str">
        <f t="shared" si="15"/>
        <v/>
      </c>
      <c r="Z110" s="208"/>
      <c r="AA110" s="27" t="str">
        <f t="shared" si="16"/>
        <v/>
      </c>
      <c r="AB110" s="208"/>
      <c r="AC110" s="27" t="str">
        <f t="shared" si="17"/>
        <v/>
      </c>
      <c r="AD110" s="208"/>
      <c r="AE110" s="27" t="str">
        <f t="shared" si="18"/>
        <v/>
      </c>
      <c r="AF110" s="48" t="str">
        <f t="shared" si="19"/>
        <v/>
      </c>
      <c r="AG110" s="48" t="str">
        <f t="shared" si="20"/>
        <v/>
      </c>
      <c r="AH110" s="209"/>
      <c r="AI110" s="210" t="str">
        <f t="shared" si="21"/>
        <v>Débil</v>
      </c>
      <c r="AJ110" s="21" t="str">
        <f>IFERROR(VLOOKUP((CONCATENATE(AG110,AI110)),Listados!$U$3:$V$11,2,FALSE),"")</f>
        <v/>
      </c>
      <c r="AK110" s="48">
        <f t="shared" si="22"/>
        <v>100</v>
      </c>
      <c r="AL110" s="355"/>
      <c r="AM110" s="357"/>
      <c r="AN110" s="173">
        <f>+IF(AND(Q110="Preventivo",AM109="Fuerte"),2,IF(AND(Q110="Preventivo",AM109="Moderado"),1,0))</f>
        <v>0</v>
      </c>
      <c r="AO110" s="173">
        <f t="shared" si="23"/>
        <v>2</v>
      </c>
      <c r="AP110" s="173" t="e">
        <f>+K109-AN110</f>
        <v>#VALUE!</v>
      </c>
      <c r="AQ110" s="173">
        <f>+M109-AO110</f>
        <v>1</v>
      </c>
      <c r="AR110" s="346"/>
      <c r="AS110" s="346"/>
      <c r="AT110" s="346"/>
      <c r="AU110" s="346"/>
      <c r="AV110" s="311"/>
      <c r="AW110" s="312"/>
      <c r="AX110" s="313"/>
      <c r="AY110" s="311"/>
      <c r="AZ110" s="312"/>
      <c r="BA110" s="313"/>
      <c r="BB110" s="311"/>
      <c r="BC110" s="312"/>
      <c r="BD110" s="313"/>
    </row>
    <row r="111" spans="1:56" ht="215.25" thickBot="1">
      <c r="A111" s="329"/>
      <c r="B111" s="331"/>
      <c r="C111" s="332"/>
      <c r="D111" s="333"/>
      <c r="E111" s="203"/>
      <c r="F111" s="203"/>
      <c r="G111" s="204" t="s">
        <v>351</v>
      </c>
      <c r="H111" s="204" t="s">
        <v>16</v>
      </c>
      <c r="I111" s="204" t="s">
        <v>352</v>
      </c>
      <c r="J111" s="331"/>
      <c r="K111" s="352"/>
      <c r="L111" s="352"/>
      <c r="M111" s="349"/>
      <c r="N111" s="359"/>
      <c r="O111" s="205" t="s">
        <v>353</v>
      </c>
      <c r="P111" s="203" t="s">
        <v>348</v>
      </c>
      <c r="Q111" s="205" t="s">
        <v>20</v>
      </c>
      <c r="R111" s="215"/>
      <c r="S111" s="27" t="str">
        <f t="shared" si="12"/>
        <v/>
      </c>
      <c r="T111" s="215"/>
      <c r="U111" s="27" t="str">
        <f t="shared" si="13"/>
        <v/>
      </c>
      <c r="V111" s="208"/>
      <c r="W111" s="27" t="str">
        <f t="shared" si="14"/>
        <v/>
      </c>
      <c r="X111" s="208"/>
      <c r="Y111" s="27" t="str">
        <f t="shared" si="15"/>
        <v/>
      </c>
      <c r="Z111" s="208"/>
      <c r="AA111" s="27" t="str">
        <f t="shared" si="16"/>
        <v/>
      </c>
      <c r="AB111" s="208"/>
      <c r="AC111" s="27" t="str">
        <f t="shared" si="17"/>
        <v/>
      </c>
      <c r="AD111" s="208"/>
      <c r="AE111" s="27" t="str">
        <f t="shared" si="18"/>
        <v/>
      </c>
      <c r="AF111" s="48" t="str">
        <f t="shared" si="19"/>
        <v/>
      </c>
      <c r="AG111" s="48" t="str">
        <f t="shared" si="20"/>
        <v/>
      </c>
      <c r="AH111" s="209"/>
      <c r="AI111" s="210" t="str">
        <f t="shared" si="21"/>
        <v>Débil</v>
      </c>
      <c r="AJ111" s="21" t="str">
        <f>IFERROR(VLOOKUP((CONCATENATE(AG111,AI111)),Listados!$U$3:$V$11,2,FALSE),"")</f>
        <v/>
      </c>
      <c r="AK111" s="48">
        <f t="shared" si="22"/>
        <v>100</v>
      </c>
      <c r="AL111" s="355"/>
      <c r="AM111" s="357"/>
      <c r="AN111" s="173">
        <f>+IF(AND(Q111="Preventivo",AM109="Fuerte"),2,IF(AND(Q111="Preventivo",AM109="Moderado"),1,0))</f>
        <v>2</v>
      </c>
      <c r="AO111" s="173">
        <f t="shared" si="23"/>
        <v>1</v>
      </c>
      <c r="AP111" s="173" t="e">
        <f>+K109-AN111</f>
        <v>#VALUE!</v>
      </c>
      <c r="AQ111" s="173">
        <f>+M109-AO111</f>
        <v>2</v>
      </c>
      <c r="AR111" s="346"/>
      <c r="AS111" s="346"/>
      <c r="AT111" s="346"/>
      <c r="AU111" s="346"/>
      <c r="AV111" s="311"/>
      <c r="AW111" s="312"/>
      <c r="AX111" s="313"/>
      <c r="AY111" s="311"/>
      <c r="AZ111" s="312"/>
      <c r="BA111" s="313"/>
      <c r="BB111" s="311"/>
      <c r="BC111" s="312"/>
      <c r="BD111" s="313"/>
    </row>
    <row r="112" spans="1:56" ht="43.5" thickBot="1">
      <c r="A112" s="329"/>
      <c r="B112" s="331"/>
      <c r="C112" s="332"/>
      <c r="D112" s="333"/>
      <c r="E112" s="203"/>
      <c r="F112" s="203"/>
      <c r="G112" s="204"/>
      <c r="H112" s="204"/>
      <c r="I112" s="204" t="s">
        <v>354</v>
      </c>
      <c r="J112" s="331"/>
      <c r="K112" s="352"/>
      <c r="L112" s="352"/>
      <c r="M112" s="349"/>
      <c r="N112" s="359"/>
      <c r="O112" s="203"/>
      <c r="P112" s="205"/>
      <c r="Q112" s="205"/>
      <c r="R112" s="215"/>
      <c r="S112" s="27" t="str">
        <f t="shared" si="12"/>
        <v/>
      </c>
      <c r="T112" s="215"/>
      <c r="U112" s="27" t="str">
        <f t="shared" si="13"/>
        <v/>
      </c>
      <c r="V112" s="208"/>
      <c r="W112" s="27" t="str">
        <f t="shared" si="14"/>
        <v/>
      </c>
      <c r="X112" s="208"/>
      <c r="Y112" s="27" t="str">
        <f t="shared" si="15"/>
        <v/>
      </c>
      <c r="Z112" s="208"/>
      <c r="AA112" s="27" t="str">
        <f t="shared" si="16"/>
        <v/>
      </c>
      <c r="AB112" s="208"/>
      <c r="AC112" s="27" t="str">
        <f t="shared" si="17"/>
        <v/>
      </c>
      <c r="AD112" s="208"/>
      <c r="AE112" s="27" t="str">
        <f t="shared" si="18"/>
        <v/>
      </c>
      <c r="AF112" s="48" t="str">
        <f t="shared" si="19"/>
        <v/>
      </c>
      <c r="AG112" s="48" t="str">
        <f t="shared" si="20"/>
        <v/>
      </c>
      <c r="AH112" s="209"/>
      <c r="AI112" s="210" t="str">
        <f t="shared" si="21"/>
        <v>Débil</v>
      </c>
      <c r="AJ112" s="21" t="str">
        <f>IFERROR(VLOOKUP((CONCATENATE(AG112,AI112)),Listados!$U$3:$V$11,2,FALSE),"")</f>
        <v/>
      </c>
      <c r="AK112" s="48">
        <f t="shared" si="22"/>
        <v>100</v>
      </c>
      <c r="AL112" s="355"/>
      <c r="AM112" s="357"/>
      <c r="AN112" s="173">
        <f>+IF(AND(Q112="Preventivo",AM109="Fuerte"),2,IF(AND(Q112="Preventivo",AM109="Moderado"),1,0))</f>
        <v>0</v>
      </c>
      <c r="AO112" s="173">
        <f t="shared" si="23"/>
        <v>0</v>
      </c>
      <c r="AP112" s="173" t="e">
        <f>+K109-AN112</f>
        <v>#VALUE!</v>
      </c>
      <c r="AQ112" s="173">
        <f>+M109-AO112</f>
        <v>3</v>
      </c>
      <c r="AR112" s="346"/>
      <c r="AS112" s="346"/>
      <c r="AT112" s="346"/>
      <c r="AU112" s="346"/>
      <c r="AV112" s="311"/>
      <c r="AW112" s="312"/>
      <c r="AX112" s="313"/>
      <c r="AY112" s="311"/>
      <c r="AZ112" s="312"/>
      <c r="BA112" s="313"/>
      <c r="BB112" s="311"/>
      <c r="BC112" s="312"/>
      <c r="BD112" s="313"/>
    </row>
    <row r="113" spans="1:56" ht="15.75" thickBot="1">
      <c r="A113" s="329"/>
      <c r="B113" s="331"/>
      <c r="C113" s="332"/>
      <c r="D113" s="333"/>
      <c r="E113" s="203"/>
      <c r="F113" s="203"/>
      <c r="G113" s="204"/>
      <c r="H113" s="204"/>
      <c r="I113" s="204"/>
      <c r="J113" s="331"/>
      <c r="K113" s="352"/>
      <c r="L113" s="352"/>
      <c r="M113" s="349"/>
      <c r="N113" s="359"/>
      <c r="O113" s="203"/>
      <c r="P113" s="205"/>
      <c r="Q113" s="205"/>
      <c r="R113" s="215"/>
      <c r="S113" s="27" t="str">
        <f t="shared" si="12"/>
        <v/>
      </c>
      <c r="T113" s="215"/>
      <c r="U113" s="27" t="str">
        <f t="shared" si="13"/>
        <v/>
      </c>
      <c r="V113" s="208"/>
      <c r="W113" s="27" t="str">
        <f t="shared" si="14"/>
        <v/>
      </c>
      <c r="X113" s="208"/>
      <c r="Y113" s="27" t="str">
        <f t="shared" si="15"/>
        <v/>
      </c>
      <c r="Z113" s="208"/>
      <c r="AA113" s="27" t="str">
        <f t="shared" si="16"/>
        <v/>
      </c>
      <c r="AB113" s="208"/>
      <c r="AC113" s="27" t="str">
        <f t="shared" si="17"/>
        <v/>
      </c>
      <c r="AD113" s="208"/>
      <c r="AE113" s="27" t="str">
        <f t="shared" si="18"/>
        <v/>
      </c>
      <c r="AF113" s="48" t="str">
        <f t="shared" si="19"/>
        <v/>
      </c>
      <c r="AG113" s="48" t="str">
        <f t="shared" si="20"/>
        <v/>
      </c>
      <c r="AH113" s="209"/>
      <c r="AI113" s="210" t="str">
        <f t="shared" si="21"/>
        <v>Débil</v>
      </c>
      <c r="AJ113" s="21" t="str">
        <f>IFERROR(VLOOKUP((CONCATENATE(AG113,AI113)),Listados!$U$3:$V$11,2,FALSE),"")</f>
        <v/>
      </c>
      <c r="AK113" s="48">
        <f t="shared" si="22"/>
        <v>100</v>
      </c>
      <c r="AL113" s="355"/>
      <c r="AM113" s="357"/>
      <c r="AN113" s="173">
        <f>+IF(AND(Q113="Preventivo",AM109="Fuerte"),2,IF(AND(Q113="Preventivo",AM109="Moderado"),1,0))</f>
        <v>0</v>
      </c>
      <c r="AO113" s="173">
        <f t="shared" si="23"/>
        <v>0</v>
      </c>
      <c r="AP113" s="173" t="e">
        <f>+K109-AN113</f>
        <v>#VALUE!</v>
      </c>
      <c r="AQ113" s="173">
        <f>+M109-AO113</f>
        <v>3</v>
      </c>
      <c r="AR113" s="346"/>
      <c r="AS113" s="346"/>
      <c r="AT113" s="346"/>
      <c r="AU113" s="346"/>
      <c r="AV113" s="311"/>
      <c r="AW113" s="312"/>
      <c r="AX113" s="313"/>
      <c r="AY113" s="311"/>
      <c r="AZ113" s="312"/>
      <c r="BA113" s="313"/>
      <c r="BB113" s="311"/>
      <c r="BC113" s="312"/>
      <c r="BD113" s="313"/>
    </row>
    <row r="114" spans="1:56" ht="15.75" thickBot="1">
      <c r="A114" s="330"/>
      <c r="B114" s="331"/>
      <c r="C114" s="332"/>
      <c r="D114" s="333"/>
      <c r="E114" s="203"/>
      <c r="F114" s="203"/>
      <c r="G114" s="204"/>
      <c r="H114" s="204"/>
      <c r="I114" s="204"/>
      <c r="J114" s="331"/>
      <c r="K114" s="352"/>
      <c r="L114" s="352"/>
      <c r="M114" s="350"/>
      <c r="N114" s="359"/>
      <c r="O114" s="203"/>
      <c r="P114" s="205"/>
      <c r="Q114" s="205"/>
      <c r="R114" s="215"/>
      <c r="S114" s="27" t="str">
        <f t="shared" si="12"/>
        <v/>
      </c>
      <c r="T114" s="215"/>
      <c r="U114" s="27" t="str">
        <f t="shared" si="13"/>
        <v/>
      </c>
      <c r="V114" s="208"/>
      <c r="W114" s="27" t="str">
        <f t="shared" si="14"/>
        <v/>
      </c>
      <c r="X114" s="208"/>
      <c r="Y114" s="27" t="str">
        <f t="shared" si="15"/>
        <v/>
      </c>
      <c r="Z114" s="208"/>
      <c r="AA114" s="27" t="str">
        <f t="shared" si="16"/>
        <v/>
      </c>
      <c r="AB114" s="208"/>
      <c r="AC114" s="27" t="str">
        <f t="shared" si="17"/>
        <v/>
      </c>
      <c r="AD114" s="208"/>
      <c r="AE114" s="27" t="str">
        <f t="shared" si="18"/>
        <v/>
      </c>
      <c r="AF114" s="48" t="str">
        <f t="shared" si="19"/>
        <v/>
      </c>
      <c r="AG114" s="48" t="str">
        <f t="shared" si="20"/>
        <v/>
      </c>
      <c r="AH114" s="209"/>
      <c r="AI114" s="210" t="str">
        <f t="shared" si="21"/>
        <v>Débil</v>
      </c>
      <c r="AJ114" s="21" t="str">
        <f>IFERROR(VLOOKUP((CONCATENATE(AG114,AI114)),Listados!$U$3:$V$11,2,FALSE),"")</f>
        <v/>
      </c>
      <c r="AK114" s="48">
        <f t="shared" si="22"/>
        <v>100</v>
      </c>
      <c r="AL114" s="356"/>
      <c r="AM114" s="357"/>
      <c r="AN114" s="173">
        <f>+IF(AND(Q114="Preventivo",AM109="Fuerte"),2,IF(AND(Q114="Preventivo",AM109="Moderado"),1,0))</f>
        <v>0</v>
      </c>
      <c r="AO114" s="173">
        <f t="shared" si="23"/>
        <v>0</v>
      </c>
      <c r="AP114" s="173" t="e">
        <f>+K109-AN114</f>
        <v>#VALUE!</v>
      </c>
      <c r="AQ114" s="173">
        <f>+M109-AO114</f>
        <v>3</v>
      </c>
      <c r="AR114" s="347"/>
      <c r="AS114" s="347"/>
      <c r="AT114" s="347"/>
      <c r="AU114" s="347"/>
      <c r="AV114" s="311"/>
      <c r="AW114" s="312"/>
      <c r="AX114" s="313"/>
      <c r="AY114" s="311"/>
      <c r="AZ114" s="312"/>
      <c r="BA114" s="313"/>
      <c r="BB114" s="311"/>
      <c r="BC114" s="312"/>
      <c r="BD114" s="313"/>
    </row>
    <row r="115" spans="1:56" ht="158.25" thickBot="1">
      <c r="A115" s="328">
        <v>19</v>
      </c>
      <c r="B115" s="331" t="s">
        <v>27</v>
      </c>
      <c r="C115" s="332" t="str">
        <f>IFERROR(VLOOKUP(B115,Listados!B$3:C$20,2,FALSE),"")</f>
        <v>Proveer información oportuna, confiable, veraz y accesible a clientes internos y externos del Ministerio de Justicia y del Derecho.</v>
      </c>
      <c r="D115" s="333" t="s">
        <v>355</v>
      </c>
      <c r="E115" s="203" t="s">
        <v>69</v>
      </c>
      <c r="F115" s="203"/>
      <c r="G115" s="204" t="s">
        <v>356</v>
      </c>
      <c r="H115" s="204" t="s">
        <v>16</v>
      </c>
      <c r="I115" s="204" t="s">
        <v>357</v>
      </c>
      <c r="J115" s="331" t="s">
        <v>21</v>
      </c>
      <c r="K115" s="348">
        <f>+VLOOKUP(J115,Listados!$K$8:$L$12,2,0)</f>
        <v>1</v>
      </c>
      <c r="L115" s="351" t="s">
        <v>64</v>
      </c>
      <c r="M115" s="348">
        <f>+VLOOKUP(L115,Listados!$K$13:$L$17,2,0)</f>
        <v>5</v>
      </c>
      <c r="N115" s="358" t="str">
        <f>IF(AND(J115&lt;&gt;"",L115&lt;&gt;""),VLOOKUP(J115&amp;L115,Listados!$M$3:$N$27,2,FALSE),"")</f>
        <v>Extremo</v>
      </c>
      <c r="O115" s="205" t="s">
        <v>358</v>
      </c>
      <c r="P115" s="203" t="s">
        <v>356</v>
      </c>
      <c r="Q115" s="204" t="s">
        <v>20</v>
      </c>
      <c r="R115" s="215"/>
      <c r="S115" s="27" t="str">
        <f t="shared" si="12"/>
        <v/>
      </c>
      <c r="T115" s="215"/>
      <c r="U115" s="27" t="str">
        <f t="shared" si="13"/>
        <v/>
      </c>
      <c r="V115" s="208"/>
      <c r="W115" s="27" t="str">
        <f t="shared" si="14"/>
        <v/>
      </c>
      <c r="X115" s="208"/>
      <c r="Y115" s="27" t="str">
        <f t="shared" si="15"/>
        <v/>
      </c>
      <c r="Z115" s="208"/>
      <c r="AA115" s="27" t="str">
        <f t="shared" si="16"/>
        <v/>
      </c>
      <c r="AB115" s="208"/>
      <c r="AC115" s="27" t="str">
        <f t="shared" si="17"/>
        <v/>
      </c>
      <c r="AD115" s="208"/>
      <c r="AE115" s="27" t="str">
        <f t="shared" si="18"/>
        <v/>
      </c>
      <c r="AF115" s="48" t="str">
        <f t="shared" si="19"/>
        <v/>
      </c>
      <c r="AG115" s="48" t="str">
        <f t="shared" si="20"/>
        <v/>
      </c>
      <c r="AH115" s="209"/>
      <c r="AI115" s="210" t="str">
        <f t="shared" si="21"/>
        <v>Débil</v>
      </c>
      <c r="AJ115" s="21" t="str">
        <f>IFERROR(VLOOKUP((CONCATENATE(AG115,AI115)),Listados!$U$3:$V$11,2,FALSE),"")</f>
        <v/>
      </c>
      <c r="AK115" s="48">
        <f t="shared" si="22"/>
        <v>100</v>
      </c>
      <c r="AL115" s="354">
        <f>AVERAGE(AK115:AK120)</f>
        <v>100</v>
      </c>
      <c r="AM115" s="356" t="str">
        <f>IF(AL115&lt;=50, "Débil", IF(AL115&lt;=99,"Moderado","Fuerte"))</f>
        <v>Fuerte</v>
      </c>
      <c r="AN115" s="173">
        <f>+IF(AND(Q115="Preventivo",AM115="Fuerte"),2,IF(AND(Q115="Preventivo",AM115="Moderado"),1,0))</f>
        <v>2</v>
      </c>
      <c r="AO115" s="173">
        <f t="shared" si="23"/>
        <v>1</v>
      </c>
      <c r="AP115" s="173">
        <f>+K115-AN115</f>
        <v>-1</v>
      </c>
      <c r="AQ115" s="173">
        <f>+M115-AO115</f>
        <v>4</v>
      </c>
      <c r="AR115" s="345" t="str">
        <f>+VLOOKUP(MIN(AP115,AP116,AP117,AP118,AP119,AP120),Listados!$J$18:$K$24,2,TRUE)</f>
        <v>Rara Vez</v>
      </c>
      <c r="AS115" s="345" t="str">
        <f>+VLOOKUP(MIN(AQ115,AQ116,AQ117,AQ118,AQ119,AQ120),Listados!$J$27:$K$32,2,TRUE)</f>
        <v>Mayor</v>
      </c>
      <c r="AT115" s="345" t="str">
        <f>IF(AND(AR115&lt;&gt;"",AS115&lt;&gt;""),VLOOKUP(AR115&amp;AS115,Listados!$M$3:$N$27,2,FALSE),"")</f>
        <v>Alto</v>
      </c>
      <c r="AU115" s="345" t="str">
        <f>+VLOOKUP(AT115,Listados!$P$3:$Q$6,2,FALSE)</f>
        <v>Reducir el riesgo</v>
      </c>
      <c r="AV115" s="311"/>
      <c r="AW115" s="312"/>
      <c r="AX115" s="313"/>
      <c r="AY115" s="311"/>
      <c r="AZ115" s="312"/>
      <c r="BA115" s="313"/>
      <c r="BB115" s="311"/>
      <c r="BC115" s="312"/>
      <c r="BD115" s="313"/>
    </row>
    <row r="116" spans="1:56" ht="129.75" thickBot="1">
      <c r="A116" s="329"/>
      <c r="B116" s="331"/>
      <c r="C116" s="332"/>
      <c r="D116" s="333"/>
      <c r="E116" s="203"/>
      <c r="F116" s="203"/>
      <c r="G116" s="204" t="s">
        <v>359</v>
      </c>
      <c r="H116" s="204" t="s">
        <v>16</v>
      </c>
      <c r="I116" s="204" t="s">
        <v>360</v>
      </c>
      <c r="J116" s="331"/>
      <c r="K116" s="349"/>
      <c r="L116" s="352"/>
      <c r="M116" s="349"/>
      <c r="N116" s="359"/>
      <c r="O116" s="205" t="s">
        <v>361</v>
      </c>
      <c r="P116" s="203" t="s">
        <v>359</v>
      </c>
      <c r="Q116" s="204" t="s">
        <v>20</v>
      </c>
      <c r="R116" s="215"/>
      <c r="S116" s="27" t="str">
        <f t="shared" si="12"/>
        <v/>
      </c>
      <c r="T116" s="215"/>
      <c r="U116" s="27" t="str">
        <f t="shared" si="13"/>
        <v/>
      </c>
      <c r="V116" s="208"/>
      <c r="W116" s="27" t="str">
        <f t="shared" si="14"/>
        <v/>
      </c>
      <c r="X116" s="208"/>
      <c r="Y116" s="27" t="str">
        <f t="shared" si="15"/>
        <v/>
      </c>
      <c r="Z116" s="208"/>
      <c r="AA116" s="27" t="str">
        <f t="shared" si="16"/>
        <v/>
      </c>
      <c r="AB116" s="208"/>
      <c r="AC116" s="27" t="str">
        <f t="shared" si="17"/>
        <v/>
      </c>
      <c r="AD116" s="208"/>
      <c r="AE116" s="27" t="str">
        <f t="shared" si="18"/>
        <v/>
      </c>
      <c r="AF116" s="48" t="str">
        <f t="shared" si="19"/>
        <v/>
      </c>
      <c r="AG116" s="48" t="str">
        <f t="shared" si="20"/>
        <v/>
      </c>
      <c r="AH116" s="209"/>
      <c r="AI116" s="210" t="str">
        <f t="shared" si="21"/>
        <v>Débil</v>
      </c>
      <c r="AJ116" s="21" t="str">
        <f>IFERROR(VLOOKUP((CONCATENATE(AG116,AI116)),Listados!$U$3:$V$11,2,FALSE),"")</f>
        <v/>
      </c>
      <c r="AK116" s="48">
        <f t="shared" si="22"/>
        <v>100</v>
      </c>
      <c r="AL116" s="355"/>
      <c r="AM116" s="357"/>
      <c r="AN116" s="173">
        <f>+IF(AND(Q116="Preventivo",AM115="Fuerte"),2,IF(AND(Q116="Preventivo",AM115="Moderado"),1,0))</f>
        <v>2</v>
      </c>
      <c r="AO116" s="173">
        <f t="shared" si="23"/>
        <v>1</v>
      </c>
      <c r="AP116" s="173">
        <f>+K115-AN116</f>
        <v>-1</v>
      </c>
      <c r="AQ116" s="173">
        <f>+M115-AO116</f>
        <v>4</v>
      </c>
      <c r="AR116" s="346"/>
      <c r="AS116" s="346"/>
      <c r="AT116" s="346"/>
      <c r="AU116" s="346"/>
      <c r="AV116" s="311"/>
      <c r="AW116" s="312"/>
      <c r="AX116" s="313"/>
      <c r="AY116" s="311"/>
      <c r="AZ116" s="312"/>
      <c r="BA116" s="313"/>
      <c r="BB116" s="311"/>
      <c r="BC116" s="312"/>
      <c r="BD116" s="313"/>
    </row>
    <row r="117" spans="1:56" ht="115.5" thickBot="1">
      <c r="A117" s="329"/>
      <c r="B117" s="331"/>
      <c r="C117" s="332"/>
      <c r="D117" s="333"/>
      <c r="E117" s="203"/>
      <c r="F117" s="203"/>
      <c r="G117" s="204" t="s">
        <v>362</v>
      </c>
      <c r="H117" s="204" t="s">
        <v>16</v>
      </c>
      <c r="I117" s="204" t="s">
        <v>363</v>
      </c>
      <c r="J117" s="331"/>
      <c r="K117" s="349"/>
      <c r="L117" s="352"/>
      <c r="M117" s="349"/>
      <c r="N117" s="359"/>
      <c r="O117" s="205" t="s">
        <v>364</v>
      </c>
      <c r="P117" s="203" t="s">
        <v>362</v>
      </c>
      <c r="Q117" s="204" t="s">
        <v>20</v>
      </c>
      <c r="R117" s="215"/>
      <c r="S117" s="27" t="str">
        <f t="shared" si="12"/>
        <v/>
      </c>
      <c r="T117" s="215"/>
      <c r="U117" s="27" t="str">
        <f t="shared" si="13"/>
        <v/>
      </c>
      <c r="V117" s="208"/>
      <c r="W117" s="27" t="str">
        <f t="shared" si="14"/>
        <v/>
      </c>
      <c r="X117" s="208"/>
      <c r="Y117" s="27" t="str">
        <f t="shared" si="15"/>
        <v/>
      </c>
      <c r="Z117" s="208"/>
      <c r="AA117" s="27" t="str">
        <f t="shared" si="16"/>
        <v/>
      </c>
      <c r="AB117" s="208"/>
      <c r="AC117" s="27" t="str">
        <f t="shared" si="17"/>
        <v/>
      </c>
      <c r="AD117" s="208"/>
      <c r="AE117" s="27" t="str">
        <f t="shared" si="18"/>
        <v/>
      </c>
      <c r="AF117" s="48" t="str">
        <f t="shared" si="19"/>
        <v/>
      </c>
      <c r="AG117" s="48" t="str">
        <f t="shared" si="20"/>
        <v/>
      </c>
      <c r="AH117" s="209"/>
      <c r="AI117" s="210" t="str">
        <f t="shared" si="21"/>
        <v>Débil</v>
      </c>
      <c r="AJ117" s="21" t="str">
        <f>IFERROR(VLOOKUP((CONCATENATE(AG117,AI117)),Listados!$U$3:$V$11,2,FALSE),"")</f>
        <v/>
      </c>
      <c r="AK117" s="48">
        <f t="shared" si="22"/>
        <v>100</v>
      </c>
      <c r="AL117" s="355"/>
      <c r="AM117" s="357"/>
      <c r="AN117" s="173">
        <f>+IF(AND(Q117="Preventivo",AM115="Fuerte"),2,IF(AND(Q117="Preventivo",AM115="Moderado"),1,0))</f>
        <v>2</v>
      </c>
      <c r="AO117" s="173">
        <f t="shared" si="23"/>
        <v>1</v>
      </c>
      <c r="AP117" s="173">
        <f>+K115-AN117</f>
        <v>-1</v>
      </c>
      <c r="AQ117" s="173">
        <f>+M115-AO117</f>
        <v>4</v>
      </c>
      <c r="AR117" s="346"/>
      <c r="AS117" s="346"/>
      <c r="AT117" s="346"/>
      <c r="AU117" s="346"/>
      <c r="AV117" s="311"/>
      <c r="AW117" s="312"/>
      <c r="AX117" s="313"/>
      <c r="AY117" s="311"/>
      <c r="AZ117" s="312"/>
      <c r="BA117" s="313"/>
      <c r="BB117" s="311"/>
      <c r="BC117" s="312"/>
      <c r="BD117" s="313"/>
    </row>
    <row r="118" spans="1:56" ht="15.75" thickBot="1">
      <c r="A118" s="329"/>
      <c r="B118" s="331"/>
      <c r="C118" s="332"/>
      <c r="D118" s="333"/>
      <c r="E118" s="203"/>
      <c r="F118" s="203"/>
      <c r="G118" s="204"/>
      <c r="H118" s="204"/>
      <c r="I118" s="204"/>
      <c r="J118" s="331"/>
      <c r="K118" s="349"/>
      <c r="L118" s="352"/>
      <c r="M118" s="349"/>
      <c r="N118" s="359"/>
      <c r="O118" s="203"/>
      <c r="P118" s="205"/>
      <c r="Q118" s="205"/>
      <c r="R118" s="215"/>
      <c r="S118" s="27" t="str">
        <f t="shared" si="12"/>
        <v/>
      </c>
      <c r="T118" s="215"/>
      <c r="U118" s="27" t="str">
        <f t="shared" si="13"/>
        <v/>
      </c>
      <c r="V118" s="208"/>
      <c r="W118" s="27" t="str">
        <f t="shared" si="14"/>
        <v/>
      </c>
      <c r="X118" s="208"/>
      <c r="Y118" s="27" t="str">
        <f t="shared" si="15"/>
        <v/>
      </c>
      <c r="Z118" s="208"/>
      <c r="AA118" s="27" t="str">
        <f t="shared" si="16"/>
        <v/>
      </c>
      <c r="AB118" s="208"/>
      <c r="AC118" s="27" t="str">
        <f t="shared" si="17"/>
        <v/>
      </c>
      <c r="AD118" s="208"/>
      <c r="AE118" s="27" t="str">
        <f t="shared" si="18"/>
        <v/>
      </c>
      <c r="AF118" s="48" t="str">
        <f t="shared" si="19"/>
        <v/>
      </c>
      <c r="AG118" s="48" t="str">
        <f t="shared" si="20"/>
        <v/>
      </c>
      <c r="AH118" s="209"/>
      <c r="AI118" s="210" t="str">
        <f t="shared" si="21"/>
        <v>Débil</v>
      </c>
      <c r="AJ118" s="21" t="str">
        <f>IFERROR(VLOOKUP((CONCATENATE(AG118,AI118)),Listados!$U$3:$V$11,2,FALSE),"")</f>
        <v/>
      </c>
      <c r="AK118" s="48">
        <f t="shared" si="22"/>
        <v>100</v>
      </c>
      <c r="AL118" s="355"/>
      <c r="AM118" s="357"/>
      <c r="AN118" s="173">
        <f>+IF(AND(Q118="Preventivo",AM115="Fuerte"),2,IF(AND(Q118="Preventivo",AM115="Moderado"),1,0))</f>
        <v>0</v>
      </c>
      <c r="AO118" s="173">
        <f t="shared" si="23"/>
        <v>0</v>
      </c>
      <c r="AP118" s="173">
        <f>+K115-AN118</f>
        <v>1</v>
      </c>
      <c r="AQ118" s="173">
        <f>+M115-AO118</f>
        <v>5</v>
      </c>
      <c r="AR118" s="346"/>
      <c r="AS118" s="346"/>
      <c r="AT118" s="346"/>
      <c r="AU118" s="346"/>
      <c r="AV118" s="311"/>
      <c r="AW118" s="312"/>
      <c r="AX118" s="313"/>
      <c r="AY118" s="311"/>
      <c r="AZ118" s="312"/>
      <c r="BA118" s="313"/>
      <c r="BB118" s="311"/>
      <c r="BC118" s="312"/>
      <c r="BD118" s="313"/>
    </row>
    <row r="119" spans="1:56" ht="15.75" thickBot="1">
      <c r="A119" s="329"/>
      <c r="B119" s="331"/>
      <c r="C119" s="332"/>
      <c r="D119" s="333"/>
      <c r="E119" s="203"/>
      <c r="F119" s="203"/>
      <c r="G119" s="204"/>
      <c r="H119" s="204"/>
      <c r="I119" s="204"/>
      <c r="J119" s="331"/>
      <c r="K119" s="349"/>
      <c r="L119" s="352"/>
      <c r="M119" s="349"/>
      <c r="N119" s="359"/>
      <c r="O119" s="203"/>
      <c r="P119" s="205"/>
      <c r="Q119" s="205"/>
      <c r="R119" s="215"/>
      <c r="S119" s="27" t="str">
        <f t="shared" si="12"/>
        <v/>
      </c>
      <c r="T119" s="215"/>
      <c r="U119" s="27" t="str">
        <f t="shared" si="13"/>
        <v/>
      </c>
      <c r="V119" s="208"/>
      <c r="W119" s="27" t="str">
        <f t="shared" si="14"/>
        <v/>
      </c>
      <c r="X119" s="208"/>
      <c r="Y119" s="27" t="str">
        <f t="shared" si="15"/>
        <v/>
      </c>
      <c r="Z119" s="208"/>
      <c r="AA119" s="27" t="str">
        <f t="shared" si="16"/>
        <v/>
      </c>
      <c r="AB119" s="208"/>
      <c r="AC119" s="27" t="str">
        <f t="shared" si="17"/>
        <v/>
      </c>
      <c r="AD119" s="208"/>
      <c r="AE119" s="27" t="str">
        <f t="shared" si="18"/>
        <v/>
      </c>
      <c r="AF119" s="48" t="str">
        <f t="shared" si="19"/>
        <v/>
      </c>
      <c r="AG119" s="48" t="str">
        <f t="shared" si="20"/>
        <v/>
      </c>
      <c r="AH119" s="209"/>
      <c r="AI119" s="210" t="str">
        <f t="shared" si="21"/>
        <v>Débil</v>
      </c>
      <c r="AJ119" s="21" t="str">
        <f>IFERROR(VLOOKUP((CONCATENATE(AG119,AI119)),Listados!$U$3:$V$11,2,FALSE),"")</f>
        <v/>
      </c>
      <c r="AK119" s="48">
        <f t="shared" si="22"/>
        <v>100</v>
      </c>
      <c r="AL119" s="355"/>
      <c r="AM119" s="357"/>
      <c r="AN119" s="173">
        <f>+IF(AND(Q119="Preventivo",AM115="Fuerte"),2,IF(AND(Q119="Preventivo",AM115="Moderado"),1,0))</f>
        <v>0</v>
      </c>
      <c r="AO119" s="173">
        <f t="shared" si="23"/>
        <v>0</v>
      </c>
      <c r="AP119" s="173">
        <f>+K115-AN119</f>
        <v>1</v>
      </c>
      <c r="AQ119" s="173">
        <f>+M115-AO119</f>
        <v>5</v>
      </c>
      <c r="AR119" s="346"/>
      <c r="AS119" s="346"/>
      <c r="AT119" s="346"/>
      <c r="AU119" s="346"/>
      <c r="AV119" s="311"/>
      <c r="AW119" s="312"/>
      <c r="AX119" s="313"/>
      <c r="AY119" s="311"/>
      <c r="AZ119" s="312"/>
      <c r="BA119" s="313"/>
      <c r="BB119" s="311"/>
      <c r="BC119" s="312"/>
      <c r="BD119" s="313"/>
    </row>
    <row r="120" spans="1:56" ht="15.75" thickBot="1">
      <c r="A120" s="330"/>
      <c r="B120" s="331"/>
      <c r="C120" s="332"/>
      <c r="D120" s="333"/>
      <c r="E120" s="203"/>
      <c r="F120" s="203"/>
      <c r="G120" s="204"/>
      <c r="H120" s="204"/>
      <c r="I120" s="204"/>
      <c r="J120" s="331"/>
      <c r="K120" s="350"/>
      <c r="L120" s="352"/>
      <c r="M120" s="350"/>
      <c r="N120" s="359"/>
      <c r="O120" s="203"/>
      <c r="P120" s="205"/>
      <c r="Q120" s="205"/>
      <c r="R120" s="215"/>
      <c r="S120" s="27" t="str">
        <f t="shared" si="12"/>
        <v/>
      </c>
      <c r="T120" s="215"/>
      <c r="U120" s="27" t="str">
        <f t="shared" si="13"/>
        <v/>
      </c>
      <c r="V120" s="208"/>
      <c r="W120" s="27" t="str">
        <f t="shared" si="14"/>
        <v/>
      </c>
      <c r="X120" s="208"/>
      <c r="Y120" s="27" t="str">
        <f t="shared" si="15"/>
        <v/>
      </c>
      <c r="Z120" s="208"/>
      <c r="AA120" s="27" t="str">
        <f t="shared" si="16"/>
        <v/>
      </c>
      <c r="AB120" s="208"/>
      <c r="AC120" s="27" t="str">
        <f t="shared" si="17"/>
        <v/>
      </c>
      <c r="AD120" s="208"/>
      <c r="AE120" s="27" t="str">
        <f t="shared" si="18"/>
        <v/>
      </c>
      <c r="AF120" s="48" t="str">
        <f t="shared" si="19"/>
        <v/>
      </c>
      <c r="AG120" s="48" t="str">
        <f t="shared" si="20"/>
        <v/>
      </c>
      <c r="AH120" s="209"/>
      <c r="AI120" s="210" t="str">
        <f t="shared" si="21"/>
        <v>Débil</v>
      </c>
      <c r="AJ120" s="21" t="str">
        <f>IFERROR(VLOOKUP((CONCATENATE(AG120,AI120)),Listados!$U$3:$V$11,2,FALSE),"")</f>
        <v/>
      </c>
      <c r="AK120" s="48">
        <f t="shared" si="22"/>
        <v>100</v>
      </c>
      <c r="AL120" s="356"/>
      <c r="AM120" s="357"/>
      <c r="AN120" s="173">
        <f>+IF(AND(Q120="Preventivo",AM115="Fuerte"),2,IF(AND(Q120="Preventivo",AM115="Moderado"),1,0))</f>
        <v>0</v>
      </c>
      <c r="AO120" s="173">
        <f t="shared" si="23"/>
        <v>0</v>
      </c>
      <c r="AP120" s="173">
        <f>+K115-AN120</f>
        <v>1</v>
      </c>
      <c r="AQ120" s="173">
        <f>+M115-AO120</f>
        <v>5</v>
      </c>
      <c r="AR120" s="347"/>
      <c r="AS120" s="347"/>
      <c r="AT120" s="347"/>
      <c r="AU120" s="347"/>
      <c r="AV120" s="311"/>
      <c r="AW120" s="312"/>
      <c r="AX120" s="313"/>
      <c r="AY120" s="311"/>
      <c r="AZ120" s="312"/>
      <c r="BA120" s="313"/>
      <c r="BB120" s="311"/>
      <c r="BC120" s="312"/>
      <c r="BD120" s="313"/>
    </row>
    <row r="121" spans="1:56" ht="172.5" thickBot="1">
      <c r="A121" s="328">
        <v>20</v>
      </c>
      <c r="B121" s="331" t="s">
        <v>74</v>
      </c>
      <c r="C121" s="332" t="str">
        <f>IFERROR(VLOOKUP(B121,Listados!B$3:C$20,2,FALSE),"")</f>
        <v>Formular proyectos de actos normativos de acuerdo con las políticas que orientan el sector Justicia y del Derecho,que sirven de herramienta para cumplir con los objetivos del Ministerio en beneficio de la comunidad y partes interesadas de acuerdo con el ordenamiento jurídico vigente.</v>
      </c>
      <c r="D121" s="333" t="s">
        <v>365</v>
      </c>
      <c r="E121" s="203" t="s">
        <v>15</v>
      </c>
      <c r="F121" s="203" t="s">
        <v>178</v>
      </c>
      <c r="G121" s="204" t="s">
        <v>366</v>
      </c>
      <c r="H121" s="204" t="s">
        <v>16</v>
      </c>
      <c r="I121" s="204" t="s">
        <v>367</v>
      </c>
      <c r="J121" s="331" t="s">
        <v>53</v>
      </c>
      <c r="K121" s="348">
        <f>+VLOOKUP(J121,Listados!$K$8:$L$12,2,0)</f>
        <v>4</v>
      </c>
      <c r="L121" s="351" t="s">
        <v>54</v>
      </c>
      <c r="M121" s="348">
        <f>+VLOOKUP(L121,Listados!$K$13:$L$17,2,0)</f>
        <v>4</v>
      </c>
      <c r="N121" s="358" t="str">
        <f>IF(AND(J121&lt;&gt;"",L121&lt;&gt;""),VLOOKUP(J121&amp;L121,Listados!$M$3:$N$27,2,FALSE),"")</f>
        <v>Extremo</v>
      </c>
      <c r="O121" s="205" t="s">
        <v>368</v>
      </c>
      <c r="P121" s="203" t="s">
        <v>366</v>
      </c>
      <c r="Q121" s="204" t="s">
        <v>20</v>
      </c>
      <c r="R121" s="215"/>
      <c r="S121" s="27" t="str">
        <f t="shared" si="12"/>
        <v/>
      </c>
      <c r="T121" s="215"/>
      <c r="U121" s="27" t="str">
        <f t="shared" si="13"/>
        <v/>
      </c>
      <c r="V121" s="208"/>
      <c r="W121" s="27" t="str">
        <f t="shared" si="14"/>
        <v/>
      </c>
      <c r="X121" s="208"/>
      <c r="Y121" s="27" t="str">
        <f t="shared" si="15"/>
        <v/>
      </c>
      <c r="Z121" s="208"/>
      <c r="AA121" s="27" t="str">
        <f t="shared" si="16"/>
        <v/>
      </c>
      <c r="AB121" s="208"/>
      <c r="AC121" s="27" t="str">
        <f t="shared" si="17"/>
        <v/>
      </c>
      <c r="AD121" s="208"/>
      <c r="AE121" s="27" t="str">
        <f t="shared" si="18"/>
        <v/>
      </c>
      <c r="AF121" s="48" t="str">
        <f t="shared" si="19"/>
        <v/>
      </c>
      <c r="AG121" s="48" t="str">
        <f t="shared" si="20"/>
        <v/>
      </c>
      <c r="AH121" s="209"/>
      <c r="AI121" s="210" t="str">
        <f t="shared" si="21"/>
        <v>Débil</v>
      </c>
      <c r="AJ121" s="21" t="str">
        <f>IFERROR(VLOOKUP((CONCATENATE(AG121,AI121)),Listados!$U$3:$V$11,2,FALSE),"")</f>
        <v/>
      </c>
      <c r="AK121" s="48">
        <f t="shared" si="22"/>
        <v>100</v>
      </c>
      <c r="AL121" s="354">
        <f>AVERAGE(AK121:AK126)</f>
        <v>100</v>
      </c>
      <c r="AM121" s="356" t="str">
        <f>IF(AL121&lt;=50, "Débil", IF(AL121&lt;=99,"Moderado","Fuerte"))</f>
        <v>Fuerte</v>
      </c>
      <c r="AN121" s="173">
        <f>+IF(AND(Q121="Preventivo",AM121="Fuerte"),2,IF(AND(Q121="Preventivo",AM121="Moderado"),1,0))</f>
        <v>2</v>
      </c>
      <c r="AO121" s="173">
        <f t="shared" si="23"/>
        <v>1</v>
      </c>
      <c r="AP121" s="173">
        <f>+K121-AN121</f>
        <v>2</v>
      </c>
      <c r="AQ121" s="173">
        <f>+M121-AO121</f>
        <v>3</v>
      </c>
      <c r="AR121" s="345" t="str">
        <f>+VLOOKUP(MIN(AP121,AP122,AP123,AP124,AP125,AP126),Listados!$J$18:$K$24,2,TRUE)</f>
        <v>Improbable</v>
      </c>
      <c r="AS121" s="345" t="str">
        <f>+VLOOKUP(MIN(AQ121,AQ122,AQ123,AQ124,AQ125,AQ126),Listados!$J$27:$K$32,2,TRUE)</f>
        <v>Moderado</v>
      </c>
      <c r="AT121" s="345" t="str">
        <f>IF(AND(AR121&lt;&gt;"",AS121&lt;&gt;""),VLOOKUP(AR121&amp;AS121,Listados!$M$3:$N$27,2,FALSE),"")</f>
        <v>Moderado</v>
      </c>
      <c r="AU121" s="345" t="str">
        <f>+VLOOKUP(AT121,Listados!$P$3:$Q$6,2,FALSE)</f>
        <v xml:space="preserve"> Reducir el riesgo</v>
      </c>
      <c r="AV121" s="311"/>
      <c r="AW121" s="312"/>
      <c r="AX121" s="313"/>
      <c r="AY121" s="311"/>
      <c r="AZ121" s="312"/>
      <c r="BA121" s="313"/>
      <c r="BB121" s="311"/>
      <c r="BC121" s="312"/>
      <c r="BD121" s="313"/>
    </row>
    <row r="122" spans="1:56" ht="172.5" thickBot="1">
      <c r="A122" s="329"/>
      <c r="B122" s="331"/>
      <c r="C122" s="332"/>
      <c r="D122" s="333"/>
      <c r="E122" s="203"/>
      <c r="F122" s="203" t="s">
        <v>335</v>
      </c>
      <c r="G122" s="204" t="s">
        <v>369</v>
      </c>
      <c r="H122" s="204" t="s">
        <v>16</v>
      </c>
      <c r="I122" s="204" t="s">
        <v>370</v>
      </c>
      <c r="J122" s="331"/>
      <c r="K122" s="349"/>
      <c r="L122" s="352"/>
      <c r="M122" s="349"/>
      <c r="N122" s="359"/>
      <c r="O122" s="205" t="s">
        <v>371</v>
      </c>
      <c r="P122" s="203" t="s">
        <v>369</v>
      </c>
      <c r="Q122" s="204" t="s">
        <v>20</v>
      </c>
      <c r="R122" s="215"/>
      <c r="S122" s="27" t="str">
        <f t="shared" si="12"/>
        <v/>
      </c>
      <c r="T122" s="215"/>
      <c r="U122" s="27" t="str">
        <f t="shared" si="13"/>
        <v/>
      </c>
      <c r="V122" s="208"/>
      <c r="W122" s="27" t="str">
        <f t="shared" si="14"/>
        <v/>
      </c>
      <c r="X122" s="208"/>
      <c r="Y122" s="27" t="str">
        <f t="shared" si="15"/>
        <v/>
      </c>
      <c r="Z122" s="208"/>
      <c r="AA122" s="27" t="str">
        <f t="shared" si="16"/>
        <v/>
      </c>
      <c r="AB122" s="208"/>
      <c r="AC122" s="27" t="str">
        <f t="shared" si="17"/>
        <v/>
      </c>
      <c r="AD122" s="208"/>
      <c r="AE122" s="27" t="str">
        <f t="shared" si="18"/>
        <v/>
      </c>
      <c r="AF122" s="48" t="str">
        <f t="shared" si="19"/>
        <v/>
      </c>
      <c r="AG122" s="48" t="str">
        <f t="shared" si="20"/>
        <v/>
      </c>
      <c r="AH122" s="209"/>
      <c r="AI122" s="210" t="str">
        <f t="shared" si="21"/>
        <v>Débil</v>
      </c>
      <c r="AJ122" s="21" t="str">
        <f>IFERROR(VLOOKUP((CONCATENATE(AG122,AI122)),Listados!$U$3:$V$11,2,FALSE),"")</f>
        <v/>
      </c>
      <c r="AK122" s="48">
        <f t="shared" si="22"/>
        <v>100</v>
      </c>
      <c r="AL122" s="355"/>
      <c r="AM122" s="357"/>
      <c r="AN122" s="173">
        <f>+IF(AND(Q122="Preventivo",AM121="Fuerte"),2,IF(AND(Q122="Preventivo",AM121="Moderado"),1,0))</f>
        <v>2</v>
      </c>
      <c r="AO122" s="173">
        <f t="shared" si="23"/>
        <v>1</v>
      </c>
      <c r="AP122" s="173">
        <f>+K121-AN122</f>
        <v>2</v>
      </c>
      <c r="AQ122" s="173">
        <f>+M121-AO122</f>
        <v>3</v>
      </c>
      <c r="AR122" s="346"/>
      <c r="AS122" s="346"/>
      <c r="AT122" s="346"/>
      <c r="AU122" s="346"/>
      <c r="AV122" s="311"/>
      <c r="AW122" s="312"/>
      <c r="AX122" s="313"/>
      <c r="AY122" s="311"/>
      <c r="AZ122" s="312"/>
      <c r="BA122" s="313"/>
      <c r="BB122" s="311"/>
      <c r="BC122" s="312"/>
      <c r="BD122" s="313"/>
    </row>
    <row r="123" spans="1:56" ht="129.75" thickBot="1">
      <c r="A123" s="329"/>
      <c r="B123" s="331"/>
      <c r="C123" s="332"/>
      <c r="D123" s="333"/>
      <c r="E123" s="203"/>
      <c r="F123" s="203"/>
      <c r="G123" s="204"/>
      <c r="H123" s="204"/>
      <c r="I123" s="204" t="s">
        <v>372</v>
      </c>
      <c r="J123" s="331"/>
      <c r="K123" s="349"/>
      <c r="L123" s="352"/>
      <c r="M123" s="349"/>
      <c r="N123" s="359"/>
      <c r="O123" s="205" t="s">
        <v>373</v>
      </c>
      <c r="P123" s="203" t="s">
        <v>369</v>
      </c>
      <c r="Q123" s="204" t="s">
        <v>20</v>
      </c>
      <c r="R123" s="215"/>
      <c r="S123" s="27" t="str">
        <f t="shared" si="12"/>
        <v/>
      </c>
      <c r="T123" s="215"/>
      <c r="U123" s="27" t="str">
        <f t="shared" si="13"/>
        <v/>
      </c>
      <c r="V123" s="208"/>
      <c r="W123" s="27" t="str">
        <f t="shared" si="14"/>
        <v/>
      </c>
      <c r="X123" s="208"/>
      <c r="Y123" s="27" t="str">
        <f t="shared" si="15"/>
        <v/>
      </c>
      <c r="Z123" s="208"/>
      <c r="AA123" s="27" t="str">
        <f t="shared" si="16"/>
        <v/>
      </c>
      <c r="AB123" s="208"/>
      <c r="AC123" s="27" t="str">
        <f t="shared" si="17"/>
        <v/>
      </c>
      <c r="AD123" s="208"/>
      <c r="AE123" s="27" t="str">
        <f t="shared" si="18"/>
        <v/>
      </c>
      <c r="AF123" s="48" t="str">
        <f t="shared" si="19"/>
        <v/>
      </c>
      <c r="AG123" s="48" t="str">
        <f t="shared" si="20"/>
        <v/>
      </c>
      <c r="AH123" s="209"/>
      <c r="AI123" s="210" t="str">
        <f t="shared" si="21"/>
        <v>Débil</v>
      </c>
      <c r="AJ123" s="21" t="str">
        <f>IFERROR(VLOOKUP((CONCATENATE(AG123,AI123)),Listados!$U$3:$V$11,2,FALSE),"")</f>
        <v/>
      </c>
      <c r="AK123" s="48">
        <f t="shared" si="22"/>
        <v>100</v>
      </c>
      <c r="AL123" s="355"/>
      <c r="AM123" s="357"/>
      <c r="AN123" s="173">
        <f>+IF(AND(Q123="Preventivo",AM121="Fuerte"),2,IF(AND(Q123="Preventivo",AM121="Moderado"),1,0))</f>
        <v>2</v>
      </c>
      <c r="AO123" s="173">
        <f t="shared" si="23"/>
        <v>1</v>
      </c>
      <c r="AP123" s="173">
        <f>+K121-AN123</f>
        <v>2</v>
      </c>
      <c r="AQ123" s="173">
        <f>+M121-AO123</f>
        <v>3</v>
      </c>
      <c r="AR123" s="346"/>
      <c r="AS123" s="346"/>
      <c r="AT123" s="346"/>
      <c r="AU123" s="346"/>
      <c r="AV123" s="311"/>
      <c r="AW123" s="312"/>
      <c r="AX123" s="313"/>
      <c r="AY123" s="311"/>
      <c r="AZ123" s="312"/>
      <c r="BA123" s="313"/>
      <c r="BB123" s="311"/>
      <c r="BC123" s="312"/>
      <c r="BD123" s="313"/>
    </row>
    <row r="124" spans="1:56" ht="15.75" thickBot="1">
      <c r="A124" s="329"/>
      <c r="B124" s="331"/>
      <c r="C124" s="332"/>
      <c r="D124" s="333"/>
      <c r="E124" s="203"/>
      <c r="F124" s="203"/>
      <c r="G124" s="204"/>
      <c r="H124" s="204"/>
      <c r="I124" s="204"/>
      <c r="J124" s="331"/>
      <c r="K124" s="349"/>
      <c r="L124" s="352"/>
      <c r="M124" s="349"/>
      <c r="N124" s="359"/>
      <c r="O124" s="203"/>
      <c r="P124" s="205"/>
      <c r="Q124" s="205"/>
      <c r="R124" s="215"/>
      <c r="S124" s="27" t="str">
        <f t="shared" si="12"/>
        <v/>
      </c>
      <c r="T124" s="215"/>
      <c r="U124" s="27" t="str">
        <f t="shared" si="13"/>
        <v/>
      </c>
      <c r="V124" s="208"/>
      <c r="W124" s="27" t="str">
        <f t="shared" si="14"/>
        <v/>
      </c>
      <c r="X124" s="208"/>
      <c r="Y124" s="27" t="str">
        <f t="shared" si="15"/>
        <v/>
      </c>
      <c r="Z124" s="208"/>
      <c r="AA124" s="27" t="str">
        <f t="shared" si="16"/>
        <v/>
      </c>
      <c r="AB124" s="208"/>
      <c r="AC124" s="27" t="str">
        <f t="shared" si="17"/>
        <v/>
      </c>
      <c r="AD124" s="208"/>
      <c r="AE124" s="27" t="str">
        <f t="shared" si="18"/>
        <v/>
      </c>
      <c r="AF124" s="48" t="str">
        <f t="shared" si="19"/>
        <v/>
      </c>
      <c r="AG124" s="48" t="str">
        <f t="shared" si="20"/>
        <v/>
      </c>
      <c r="AH124" s="209"/>
      <c r="AI124" s="210" t="str">
        <f t="shared" si="21"/>
        <v>Débil</v>
      </c>
      <c r="AJ124" s="21" t="str">
        <f>IFERROR(VLOOKUP((CONCATENATE(AG124,AI124)),Listados!$U$3:$V$11,2,FALSE),"")</f>
        <v/>
      </c>
      <c r="AK124" s="48">
        <f t="shared" si="22"/>
        <v>100</v>
      </c>
      <c r="AL124" s="355"/>
      <c r="AM124" s="357"/>
      <c r="AN124" s="173">
        <f>+IF(AND(Q124="Preventivo",AM121="Fuerte"),2,IF(AND(Q124="Preventivo",AM121="Moderado"),1,0))</f>
        <v>0</v>
      </c>
      <c r="AO124" s="173">
        <f t="shared" si="23"/>
        <v>0</v>
      </c>
      <c r="AP124" s="173">
        <f>+K121-AN124</f>
        <v>4</v>
      </c>
      <c r="AQ124" s="173">
        <f>+M121-AO124</f>
        <v>4</v>
      </c>
      <c r="AR124" s="346"/>
      <c r="AS124" s="346"/>
      <c r="AT124" s="346"/>
      <c r="AU124" s="346"/>
      <c r="AV124" s="311"/>
      <c r="AW124" s="312"/>
      <c r="AX124" s="313"/>
      <c r="AY124" s="311"/>
      <c r="AZ124" s="312"/>
      <c r="BA124" s="313"/>
      <c r="BB124" s="311"/>
      <c r="BC124" s="312"/>
      <c r="BD124" s="313"/>
    </row>
    <row r="125" spans="1:56" ht="15.75" thickBot="1">
      <c r="A125" s="329"/>
      <c r="B125" s="331"/>
      <c r="C125" s="332"/>
      <c r="D125" s="333"/>
      <c r="E125" s="203"/>
      <c r="F125" s="203"/>
      <c r="G125" s="204"/>
      <c r="H125" s="204"/>
      <c r="I125" s="204"/>
      <c r="J125" s="331"/>
      <c r="K125" s="349"/>
      <c r="L125" s="352"/>
      <c r="M125" s="349"/>
      <c r="N125" s="359"/>
      <c r="O125" s="203"/>
      <c r="P125" s="205"/>
      <c r="Q125" s="205"/>
      <c r="R125" s="215"/>
      <c r="S125" s="27" t="str">
        <f t="shared" si="12"/>
        <v/>
      </c>
      <c r="T125" s="215"/>
      <c r="U125" s="27" t="str">
        <f t="shared" si="13"/>
        <v/>
      </c>
      <c r="V125" s="208"/>
      <c r="W125" s="27" t="str">
        <f t="shared" si="14"/>
        <v/>
      </c>
      <c r="X125" s="208"/>
      <c r="Y125" s="27" t="str">
        <f t="shared" si="15"/>
        <v/>
      </c>
      <c r="Z125" s="208"/>
      <c r="AA125" s="27" t="str">
        <f t="shared" si="16"/>
        <v/>
      </c>
      <c r="AB125" s="208"/>
      <c r="AC125" s="27" t="str">
        <f t="shared" si="17"/>
        <v/>
      </c>
      <c r="AD125" s="208"/>
      <c r="AE125" s="27" t="str">
        <f t="shared" si="18"/>
        <v/>
      </c>
      <c r="AF125" s="48" t="str">
        <f t="shared" si="19"/>
        <v/>
      </c>
      <c r="AG125" s="48" t="str">
        <f t="shared" si="20"/>
        <v/>
      </c>
      <c r="AH125" s="209"/>
      <c r="AI125" s="210" t="str">
        <f t="shared" si="21"/>
        <v>Débil</v>
      </c>
      <c r="AJ125" s="21" t="str">
        <f>IFERROR(VLOOKUP((CONCATENATE(AG125,AI125)),Listados!$U$3:$V$11,2,FALSE),"")</f>
        <v/>
      </c>
      <c r="AK125" s="48">
        <f t="shared" si="22"/>
        <v>100</v>
      </c>
      <c r="AL125" s="355"/>
      <c r="AM125" s="357"/>
      <c r="AN125" s="173">
        <f>+IF(AND(Q125="Preventivo",AM121="Fuerte"),2,IF(AND(Q125="Preventivo",AM121="Moderado"),1,0))</f>
        <v>0</v>
      </c>
      <c r="AO125" s="173">
        <f t="shared" si="23"/>
        <v>0</v>
      </c>
      <c r="AP125" s="173">
        <f>+K121-AN125</f>
        <v>4</v>
      </c>
      <c r="AQ125" s="173">
        <f>+M121-AO125</f>
        <v>4</v>
      </c>
      <c r="AR125" s="346"/>
      <c r="AS125" s="346"/>
      <c r="AT125" s="346"/>
      <c r="AU125" s="346"/>
      <c r="AV125" s="311"/>
      <c r="AW125" s="312"/>
      <c r="AX125" s="313"/>
      <c r="AY125" s="311"/>
      <c r="AZ125" s="312"/>
      <c r="BA125" s="313"/>
      <c r="BB125" s="311"/>
      <c r="BC125" s="312"/>
      <c r="BD125" s="313"/>
    </row>
    <row r="126" spans="1:56" ht="15.75" thickBot="1">
      <c r="A126" s="330"/>
      <c r="B126" s="331"/>
      <c r="C126" s="332"/>
      <c r="D126" s="333"/>
      <c r="E126" s="203"/>
      <c r="F126" s="203"/>
      <c r="G126" s="204"/>
      <c r="H126" s="204"/>
      <c r="I126" s="204"/>
      <c r="J126" s="331"/>
      <c r="K126" s="350"/>
      <c r="L126" s="352"/>
      <c r="M126" s="350"/>
      <c r="N126" s="359"/>
      <c r="O126" s="203"/>
      <c r="P126" s="205"/>
      <c r="Q126" s="205"/>
      <c r="R126" s="215"/>
      <c r="S126" s="27" t="str">
        <f t="shared" si="12"/>
        <v/>
      </c>
      <c r="T126" s="215"/>
      <c r="U126" s="27" t="str">
        <f t="shared" si="13"/>
        <v/>
      </c>
      <c r="V126" s="208"/>
      <c r="W126" s="27" t="str">
        <f t="shared" si="14"/>
        <v/>
      </c>
      <c r="X126" s="208"/>
      <c r="Y126" s="27" t="str">
        <f t="shared" si="15"/>
        <v/>
      </c>
      <c r="Z126" s="208"/>
      <c r="AA126" s="27" t="str">
        <f t="shared" si="16"/>
        <v/>
      </c>
      <c r="AB126" s="208"/>
      <c r="AC126" s="27" t="str">
        <f t="shared" si="17"/>
        <v/>
      </c>
      <c r="AD126" s="208"/>
      <c r="AE126" s="27" t="str">
        <f t="shared" si="18"/>
        <v/>
      </c>
      <c r="AF126" s="48" t="str">
        <f t="shared" si="19"/>
        <v/>
      </c>
      <c r="AG126" s="48" t="str">
        <f t="shared" si="20"/>
        <v/>
      </c>
      <c r="AH126" s="209"/>
      <c r="AI126" s="210" t="str">
        <f t="shared" si="21"/>
        <v>Débil</v>
      </c>
      <c r="AJ126" s="21" t="str">
        <f>IFERROR(VLOOKUP((CONCATENATE(AG126,AI126)),Listados!$U$3:$V$11,2,FALSE),"")</f>
        <v/>
      </c>
      <c r="AK126" s="48">
        <f t="shared" si="22"/>
        <v>100</v>
      </c>
      <c r="AL126" s="356"/>
      <c r="AM126" s="357"/>
      <c r="AN126" s="173">
        <f>+IF(AND(Q126="Preventivo",AM121="Fuerte"),2,IF(AND(Q126="Preventivo",AM121="Moderado"),1,0))</f>
        <v>0</v>
      </c>
      <c r="AO126" s="173">
        <f t="shared" si="23"/>
        <v>0</v>
      </c>
      <c r="AP126" s="173">
        <f>+K121-AN126</f>
        <v>4</v>
      </c>
      <c r="AQ126" s="173">
        <f>+M121-AO126</f>
        <v>4</v>
      </c>
      <c r="AR126" s="347"/>
      <c r="AS126" s="347"/>
      <c r="AT126" s="347"/>
      <c r="AU126" s="347"/>
      <c r="AV126" s="311"/>
      <c r="AW126" s="312"/>
      <c r="AX126" s="313"/>
      <c r="AY126" s="311"/>
      <c r="AZ126" s="312"/>
      <c r="BA126" s="313"/>
      <c r="BB126" s="311"/>
      <c r="BC126" s="312"/>
      <c r="BD126" s="313"/>
    </row>
    <row r="127" spans="1:56" ht="172.5" thickBot="1">
      <c r="A127" s="328">
        <v>21</v>
      </c>
      <c r="B127" s="331" t="s">
        <v>95</v>
      </c>
      <c r="C127" s="332"/>
      <c r="D127" s="331" t="s">
        <v>374</v>
      </c>
      <c r="E127" s="203" t="s">
        <v>52</v>
      </c>
      <c r="F127" s="203"/>
      <c r="G127" s="204" t="s">
        <v>375</v>
      </c>
      <c r="H127" s="204" t="s">
        <v>16</v>
      </c>
      <c r="I127" s="204" t="s">
        <v>376</v>
      </c>
      <c r="J127" s="332" t="s">
        <v>44</v>
      </c>
      <c r="K127" s="348">
        <f>+VLOOKUP(J127,Listados!$K$8:$L$12,2,0)</f>
        <v>3</v>
      </c>
      <c r="L127" s="350" t="s">
        <v>54</v>
      </c>
      <c r="M127" s="348">
        <f>+VLOOKUP(L127,Listados!$K$13:$L$17,2,0)</f>
        <v>4</v>
      </c>
      <c r="N127" s="358" t="str">
        <f>IF(AND(J127&lt;&gt;"",L127&lt;&gt;""),VLOOKUP(J127&amp;L127,Listados!$M$3:$N$27,2,FALSE),"")</f>
        <v>Extremo</v>
      </c>
      <c r="O127" s="226" t="s">
        <v>377</v>
      </c>
      <c r="P127" s="221" t="s">
        <v>378</v>
      </c>
      <c r="Q127" s="225" t="s">
        <v>20</v>
      </c>
      <c r="R127" s="215"/>
      <c r="S127" s="27" t="str">
        <f t="shared" si="12"/>
        <v/>
      </c>
      <c r="T127" s="215"/>
      <c r="U127" s="27" t="str">
        <f t="shared" si="13"/>
        <v/>
      </c>
      <c r="V127" s="208"/>
      <c r="W127" s="27" t="str">
        <f t="shared" si="14"/>
        <v/>
      </c>
      <c r="X127" s="208"/>
      <c r="Y127" s="27" t="str">
        <f t="shared" si="15"/>
        <v/>
      </c>
      <c r="Z127" s="208"/>
      <c r="AA127" s="27" t="str">
        <f t="shared" si="16"/>
        <v/>
      </c>
      <c r="AB127" s="208"/>
      <c r="AC127" s="27" t="str">
        <f t="shared" si="17"/>
        <v/>
      </c>
      <c r="AD127" s="208"/>
      <c r="AE127" s="27" t="str">
        <f t="shared" si="18"/>
        <v/>
      </c>
      <c r="AF127" s="48" t="str">
        <f t="shared" si="19"/>
        <v/>
      </c>
      <c r="AG127" s="48" t="str">
        <f t="shared" si="20"/>
        <v/>
      </c>
      <c r="AH127" s="209"/>
      <c r="AI127" s="210" t="str">
        <f t="shared" si="21"/>
        <v>Débil</v>
      </c>
      <c r="AJ127" s="21" t="str">
        <f>IFERROR(VLOOKUP((CONCATENATE(AG127,AI127)),Listados!$U$3:$V$11,2,FALSE),"")</f>
        <v/>
      </c>
      <c r="AK127" s="48">
        <f t="shared" si="22"/>
        <v>100</v>
      </c>
      <c r="AL127" s="354">
        <f>AVERAGE(AK127:AK132)</f>
        <v>100</v>
      </c>
      <c r="AM127" s="356" t="str">
        <f>IF(AL127&lt;=50, "Débil", IF(AL127&lt;=99,"Moderado","Fuerte"))</f>
        <v>Fuerte</v>
      </c>
      <c r="AN127" s="173">
        <f>+IF(AND(Q127="Preventivo",AM127="Fuerte"),2,IF(AND(Q127="Preventivo",AM127="Moderado"),1,0))</f>
        <v>2</v>
      </c>
      <c r="AO127" s="173">
        <f t="shared" si="23"/>
        <v>1</v>
      </c>
      <c r="AP127" s="173">
        <f>+K127-AN127</f>
        <v>1</v>
      </c>
      <c r="AQ127" s="173">
        <f>+M127-AO127</f>
        <v>3</v>
      </c>
      <c r="AR127" s="345" t="str">
        <f>+VLOOKUP(MIN(AP127,AP128,AP129,AP130,AP131,AP132),Listados!$J$18:$K$24,2,TRUE)</f>
        <v>Rara Vez</v>
      </c>
      <c r="AS127" s="345" t="str">
        <f>+VLOOKUP(MIN(AQ127,AQ128,AQ129,AQ130,AQ131,AQ132),Listados!$J$27:$K$32,2,TRUE)</f>
        <v>Menor</v>
      </c>
      <c r="AT127" s="345" t="str">
        <f>IF(AND(AR127&lt;&gt;"",AS127&lt;&gt;""),VLOOKUP(AR127&amp;AS127,Listados!$M$3:$N$27,2,FALSE),"")</f>
        <v>Bajo</v>
      </c>
      <c r="AU127" s="345" t="str">
        <f>+VLOOKUP(AT127,Listados!$P$3:$Q$6,2,FALSE)</f>
        <v>Asumir el riesgo</v>
      </c>
      <c r="AV127" s="311"/>
      <c r="AW127" s="312"/>
      <c r="AX127" s="313"/>
      <c r="AY127" s="311"/>
      <c r="AZ127" s="312"/>
      <c r="BA127" s="313"/>
      <c r="BB127" s="311"/>
      <c r="BC127" s="312"/>
      <c r="BD127" s="313"/>
    </row>
    <row r="128" spans="1:56" ht="158.25" thickBot="1">
      <c r="A128" s="329"/>
      <c r="B128" s="331"/>
      <c r="C128" s="332"/>
      <c r="D128" s="331"/>
      <c r="E128" s="203"/>
      <c r="F128" s="203"/>
      <c r="G128" s="204" t="s">
        <v>379</v>
      </c>
      <c r="H128" s="204" t="s">
        <v>16</v>
      </c>
      <c r="I128" s="204" t="s">
        <v>268</v>
      </c>
      <c r="J128" s="332"/>
      <c r="K128" s="349"/>
      <c r="L128" s="362"/>
      <c r="M128" s="349"/>
      <c r="N128" s="359"/>
      <c r="O128" s="226" t="s">
        <v>380</v>
      </c>
      <c r="P128" s="221" t="s">
        <v>378</v>
      </c>
      <c r="Q128" s="225" t="s">
        <v>123</v>
      </c>
      <c r="R128" s="215"/>
      <c r="S128" s="27" t="str">
        <f t="shared" si="12"/>
        <v/>
      </c>
      <c r="T128" s="215"/>
      <c r="U128" s="27" t="str">
        <f t="shared" si="13"/>
        <v/>
      </c>
      <c r="V128" s="208"/>
      <c r="W128" s="27" t="str">
        <f t="shared" si="14"/>
        <v/>
      </c>
      <c r="X128" s="208"/>
      <c r="Y128" s="27" t="str">
        <f t="shared" si="15"/>
        <v/>
      </c>
      <c r="Z128" s="208"/>
      <c r="AA128" s="27" t="str">
        <f t="shared" si="16"/>
        <v/>
      </c>
      <c r="AB128" s="208"/>
      <c r="AC128" s="27" t="str">
        <f t="shared" si="17"/>
        <v/>
      </c>
      <c r="AD128" s="208"/>
      <c r="AE128" s="27" t="str">
        <f t="shared" si="18"/>
        <v/>
      </c>
      <c r="AF128" s="48" t="str">
        <f t="shared" si="19"/>
        <v/>
      </c>
      <c r="AG128" s="48" t="str">
        <f t="shared" si="20"/>
        <v/>
      </c>
      <c r="AH128" s="209"/>
      <c r="AI128" s="210" t="str">
        <f t="shared" si="21"/>
        <v>Débil</v>
      </c>
      <c r="AJ128" s="21" t="str">
        <f>IFERROR(VLOOKUP((CONCATENATE(AG128,AI128)),Listados!$U$3:$V$11,2,FALSE),"")</f>
        <v/>
      </c>
      <c r="AK128" s="48">
        <f t="shared" si="22"/>
        <v>100</v>
      </c>
      <c r="AL128" s="355"/>
      <c r="AM128" s="357"/>
      <c r="AN128" s="173">
        <f>+IF(AND(Q128="Preventivo",AM127="Fuerte"),2,IF(AND(Q128="Preventivo",AM127="Moderado"),1,0))</f>
        <v>0</v>
      </c>
      <c r="AO128" s="173">
        <f t="shared" si="23"/>
        <v>2</v>
      </c>
      <c r="AP128" s="173">
        <f>+K127-AN128</f>
        <v>3</v>
      </c>
      <c r="AQ128" s="173">
        <f>+M127-AO128</f>
        <v>2</v>
      </c>
      <c r="AR128" s="346"/>
      <c r="AS128" s="346"/>
      <c r="AT128" s="346"/>
      <c r="AU128" s="346"/>
      <c r="AV128" s="311"/>
      <c r="AW128" s="312"/>
      <c r="AX128" s="313"/>
      <c r="AY128" s="311"/>
      <c r="AZ128" s="312"/>
      <c r="BA128" s="313"/>
      <c r="BB128" s="311"/>
      <c r="BC128" s="312"/>
      <c r="BD128" s="313"/>
    </row>
    <row r="129" spans="1:56" ht="172.5" thickBot="1">
      <c r="A129" s="329"/>
      <c r="B129" s="331"/>
      <c r="C129" s="332"/>
      <c r="D129" s="331"/>
      <c r="E129" s="203"/>
      <c r="F129" s="203"/>
      <c r="G129" s="204" t="s">
        <v>378</v>
      </c>
      <c r="H129" s="204" t="s">
        <v>16</v>
      </c>
      <c r="I129" s="204" t="s">
        <v>381</v>
      </c>
      <c r="J129" s="332"/>
      <c r="K129" s="349"/>
      <c r="L129" s="362"/>
      <c r="M129" s="349"/>
      <c r="N129" s="359"/>
      <c r="O129" s="228" t="s">
        <v>382</v>
      </c>
      <c r="P129" s="221" t="s">
        <v>383</v>
      </c>
      <c r="Q129" s="225" t="s">
        <v>20</v>
      </c>
      <c r="R129" s="215"/>
      <c r="S129" s="27" t="str">
        <f t="shared" si="12"/>
        <v/>
      </c>
      <c r="T129" s="215"/>
      <c r="U129" s="27" t="str">
        <f t="shared" si="13"/>
        <v/>
      </c>
      <c r="V129" s="208"/>
      <c r="W129" s="27" t="str">
        <f t="shared" si="14"/>
        <v/>
      </c>
      <c r="X129" s="208"/>
      <c r="Y129" s="27" t="str">
        <f t="shared" si="15"/>
        <v/>
      </c>
      <c r="Z129" s="208"/>
      <c r="AA129" s="27" t="str">
        <f t="shared" si="16"/>
        <v/>
      </c>
      <c r="AB129" s="208"/>
      <c r="AC129" s="27" t="str">
        <f t="shared" si="17"/>
        <v/>
      </c>
      <c r="AD129" s="208"/>
      <c r="AE129" s="27" t="str">
        <f t="shared" si="18"/>
        <v/>
      </c>
      <c r="AF129" s="48" t="str">
        <f t="shared" si="19"/>
        <v/>
      </c>
      <c r="AG129" s="48" t="str">
        <f t="shared" si="20"/>
        <v/>
      </c>
      <c r="AH129" s="209"/>
      <c r="AI129" s="210" t="str">
        <f t="shared" si="21"/>
        <v>Débil</v>
      </c>
      <c r="AJ129" s="21" t="str">
        <f>IFERROR(VLOOKUP((CONCATENATE(AG129,AI129)),Listados!$U$3:$V$11,2,FALSE),"")</f>
        <v/>
      </c>
      <c r="AK129" s="48">
        <f t="shared" si="22"/>
        <v>100</v>
      </c>
      <c r="AL129" s="355"/>
      <c r="AM129" s="357"/>
      <c r="AN129" s="173">
        <f>+IF(AND(Q129="Preventivo",AM127="Fuerte"),2,IF(AND(Q129="Preventivo",AM127="Moderado"),1,0))</f>
        <v>2</v>
      </c>
      <c r="AO129" s="173">
        <f t="shared" si="23"/>
        <v>1</v>
      </c>
      <c r="AP129" s="173">
        <f>+K127-AN129</f>
        <v>1</v>
      </c>
      <c r="AQ129" s="173">
        <f>+M127-AO129</f>
        <v>3</v>
      </c>
      <c r="AR129" s="346"/>
      <c r="AS129" s="346"/>
      <c r="AT129" s="346"/>
      <c r="AU129" s="346"/>
      <c r="AV129" s="311"/>
      <c r="AW129" s="312"/>
      <c r="AX129" s="313"/>
      <c r="AY129" s="311"/>
      <c r="AZ129" s="312"/>
      <c r="BA129" s="313"/>
      <c r="BB129" s="311"/>
      <c r="BC129" s="312"/>
      <c r="BD129" s="313"/>
    </row>
    <row r="130" spans="1:56" ht="172.5" thickBot="1">
      <c r="A130" s="329"/>
      <c r="B130" s="331"/>
      <c r="C130" s="332"/>
      <c r="D130" s="331"/>
      <c r="E130" s="203"/>
      <c r="F130" s="203"/>
      <c r="G130" s="204"/>
      <c r="H130" s="204"/>
      <c r="I130" s="204"/>
      <c r="J130" s="332"/>
      <c r="K130" s="349"/>
      <c r="L130" s="362"/>
      <c r="M130" s="349"/>
      <c r="N130" s="359"/>
      <c r="O130" s="226" t="s">
        <v>384</v>
      </c>
      <c r="P130" s="221" t="s">
        <v>379</v>
      </c>
      <c r="Q130" s="225" t="s">
        <v>20</v>
      </c>
      <c r="R130" s="215"/>
      <c r="S130" s="27" t="str">
        <f t="shared" si="12"/>
        <v/>
      </c>
      <c r="T130" s="215"/>
      <c r="U130" s="27" t="str">
        <f t="shared" si="13"/>
        <v/>
      </c>
      <c r="V130" s="208"/>
      <c r="W130" s="27" t="str">
        <f t="shared" si="14"/>
        <v/>
      </c>
      <c r="X130" s="208"/>
      <c r="Y130" s="27" t="str">
        <f t="shared" si="15"/>
        <v/>
      </c>
      <c r="Z130" s="208"/>
      <c r="AA130" s="27" t="str">
        <f t="shared" si="16"/>
        <v/>
      </c>
      <c r="AB130" s="208"/>
      <c r="AC130" s="27" t="str">
        <f t="shared" si="17"/>
        <v/>
      </c>
      <c r="AD130" s="208"/>
      <c r="AE130" s="27" t="str">
        <f t="shared" si="18"/>
        <v/>
      </c>
      <c r="AF130" s="48" t="str">
        <f t="shared" si="19"/>
        <v/>
      </c>
      <c r="AG130" s="48" t="str">
        <f t="shared" si="20"/>
        <v/>
      </c>
      <c r="AH130" s="209"/>
      <c r="AI130" s="210" t="str">
        <f t="shared" si="21"/>
        <v>Débil</v>
      </c>
      <c r="AJ130" s="21" t="str">
        <f>IFERROR(VLOOKUP((CONCATENATE(AG130,AI130)),Listados!$U$3:$V$11,2,FALSE),"")</f>
        <v/>
      </c>
      <c r="AK130" s="48">
        <f t="shared" si="22"/>
        <v>100</v>
      </c>
      <c r="AL130" s="355"/>
      <c r="AM130" s="357"/>
      <c r="AN130" s="173">
        <f>+IF(AND(Q130="Preventivo",AM127="Fuerte"),2,IF(AND(Q130="Preventivo",AM127="Moderado"),1,0))</f>
        <v>2</v>
      </c>
      <c r="AO130" s="173">
        <f t="shared" si="23"/>
        <v>1</v>
      </c>
      <c r="AP130" s="173">
        <f>+K127-AN130</f>
        <v>1</v>
      </c>
      <c r="AQ130" s="173">
        <f>+M127-AO130</f>
        <v>3</v>
      </c>
      <c r="AR130" s="346"/>
      <c r="AS130" s="346"/>
      <c r="AT130" s="346"/>
      <c r="AU130" s="346"/>
      <c r="AV130" s="311"/>
      <c r="AW130" s="312"/>
      <c r="AX130" s="313"/>
      <c r="AY130" s="311"/>
      <c r="AZ130" s="312"/>
      <c r="BA130" s="313"/>
      <c r="BB130" s="311"/>
      <c r="BC130" s="312"/>
      <c r="BD130" s="313"/>
    </row>
    <row r="131" spans="1:56" ht="15.75" thickBot="1">
      <c r="A131" s="329"/>
      <c r="B131" s="331"/>
      <c r="C131" s="332"/>
      <c r="D131" s="331"/>
      <c r="E131" s="203"/>
      <c r="F131" s="203"/>
      <c r="G131" s="204"/>
      <c r="H131" s="204"/>
      <c r="I131" s="204"/>
      <c r="J131" s="332"/>
      <c r="K131" s="349"/>
      <c r="L131" s="362"/>
      <c r="M131" s="349"/>
      <c r="N131" s="359"/>
      <c r="O131" s="203"/>
      <c r="P131" s="205"/>
      <c r="Q131" s="205"/>
      <c r="R131" s="215"/>
      <c r="S131" s="27" t="str">
        <f t="shared" si="12"/>
        <v/>
      </c>
      <c r="T131" s="215"/>
      <c r="U131" s="27" t="str">
        <f t="shared" si="13"/>
        <v/>
      </c>
      <c r="V131" s="208"/>
      <c r="W131" s="27" t="str">
        <f t="shared" si="14"/>
        <v/>
      </c>
      <c r="X131" s="208"/>
      <c r="Y131" s="27" t="str">
        <f t="shared" si="15"/>
        <v/>
      </c>
      <c r="Z131" s="208"/>
      <c r="AA131" s="27" t="str">
        <f t="shared" si="16"/>
        <v/>
      </c>
      <c r="AB131" s="208"/>
      <c r="AC131" s="27" t="str">
        <f t="shared" si="17"/>
        <v/>
      </c>
      <c r="AD131" s="208"/>
      <c r="AE131" s="27" t="str">
        <f t="shared" si="18"/>
        <v/>
      </c>
      <c r="AF131" s="48" t="str">
        <f t="shared" si="19"/>
        <v/>
      </c>
      <c r="AG131" s="48" t="str">
        <f t="shared" si="20"/>
        <v/>
      </c>
      <c r="AH131" s="209"/>
      <c r="AI131" s="210" t="str">
        <f t="shared" si="21"/>
        <v>Débil</v>
      </c>
      <c r="AJ131" s="21" t="str">
        <f>IFERROR(VLOOKUP((CONCATENATE(AG131,AI131)),Listados!$U$3:$V$11,2,FALSE),"")</f>
        <v/>
      </c>
      <c r="AK131" s="48">
        <f t="shared" si="22"/>
        <v>100</v>
      </c>
      <c r="AL131" s="355"/>
      <c r="AM131" s="357"/>
      <c r="AN131" s="173">
        <f>+IF(AND(Q131="Preventivo",AM127="Fuerte"),2,IF(AND(Q131="Preventivo",AM127="Moderado"),1,0))</f>
        <v>0</v>
      </c>
      <c r="AO131" s="173">
        <f t="shared" si="23"/>
        <v>0</v>
      </c>
      <c r="AP131" s="173">
        <f>+K127-AN131</f>
        <v>3</v>
      </c>
      <c r="AQ131" s="173">
        <f>+M127-AO131</f>
        <v>4</v>
      </c>
      <c r="AR131" s="346"/>
      <c r="AS131" s="346"/>
      <c r="AT131" s="346"/>
      <c r="AU131" s="346"/>
      <c r="AV131" s="311"/>
      <c r="AW131" s="312"/>
      <c r="AX131" s="313"/>
      <c r="AY131" s="311"/>
      <c r="AZ131" s="312"/>
      <c r="BA131" s="313"/>
      <c r="BB131" s="311"/>
      <c r="BC131" s="312"/>
      <c r="BD131" s="313"/>
    </row>
    <row r="132" spans="1:56" ht="15.75" thickBot="1">
      <c r="A132" s="330"/>
      <c r="B132" s="331"/>
      <c r="C132" s="332"/>
      <c r="D132" s="331"/>
      <c r="E132" s="203"/>
      <c r="F132" s="203"/>
      <c r="G132" s="204"/>
      <c r="H132" s="204"/>
      <c r="I132" s="204"/>
      <c r="J132" s="332"/>
      <c r="K132" s="350"/>
      <c r="L132" s="362"/>
      <c r="M132" s="350"/>
      <c r="N132" s="359"/>
      <c r="O132" s="203"/>
      <c r="P132" s="205"/>
      <c r="Q132" s="205"/>
      <c r="R132" s="215"/>
      <c r="S132" s="27" t="str">
        <f t="shared" si="12"/>
        <v/>
      </c>
      <c r="T132" s="215"/>
      <c r="U132" s="27" t="str">
        <f t="shared" si="13"/>
        <v/>
      </c>
      <c r="V132" s="208"/>
      <c r="W132" s="27" t="str">
        <f t="shared" si="14"/>
        <v/>
      </c>
      <c r="X132" s="208"/>
      <c r="Y132" s="27" t="str">
        <f t="shared" si="15"/>
        <v/>
      </c>
      <c r="Z132" s="208"/>
      <c r="AA132" s="27" t="str">
        <f t="shared" si="16"/>
        <v/>
      </c>
      <c r="AB132" s="208"/>
      <c r="AC132" s="27" t="str">
        <f t="shared" si="17"/>
        <v/>
      </c>
      <c r="AD132" s="208"/>
      <c r="AE132" s="27" t="str">
        <f t="shared" si="18"/>
        <v/>
      </c>
      <c r="AF132" s="48" t="str">
        <f t="shared" si="19"/>
        <v/>
      </c>
      <c r="AG132" s="48" t="str">
        <f t="shared" si="20"/>
        <v/>
      </c>
      <c r="AH132" s="209"/>
      <c r="AI132" s="210" t="str">
        <f t="shared" si="21"/>
        <v>Débil</v>
      </c>
      <c r="AJ132" s="21" t="str">
        <f>IFERROR(VLOOKUP((CONCATENATE(AG132,AI132)),Listados!$U$3:$V$11,2,FALSE),"")</f>
        <v/>
      </c>
      <c r="AK132" s="48">
        <f t="shared" si="22"/>
        <v>100</v>
      </c>
      <c r="AL132" s="356"/>
      <c r="AM132" s="357"/>
      <c r="AN132" s="173">
        <f>+IF(AND(Q132="Preventivo",AM127="Fuerte"),2,IF(AND(Q132="Preventivo",AM127="Moderado"),1,0))</f>
        <v>0</v>
      </c>
      <c r="AO132" s="173">
        <f t="shared" si="23"/>
        <v>0</v>
      </c>
      <c r="AP132" s="173">
        <f>+K127-AN132</f>
        <v>3</v>
      </c>
      <c r="AQ132" s="173">
        <f>+M127-AO132</f>
        <v>4</v>
      </c>
      <c r="AR132" s="347"/>
      <c r="AS132" s="347"/>
      <c r="AT132" s="347"/>
      <c r="AU132" s="347"/>
      <c r="AV132" s="311"/>
      <c r="AW132" s="312"/>
      <c r="AX132" s="313"/>
      <c r="AY132" s="311"/>
      <c r="AZ132" s="312"/>
      <c r="BA132" s="313"/>
      <c r="BB132" s="311"/>
      <c r="BC132" s="312"/>
      <c r="BD132" s="313"/>
    </row>
    <row r="133" spans="1:56" ht="208.5" customHeight="1" thickBot="1">
      <c r="A133" s="328">
        <v>22</v>
      </c>
      <c r="B133" s="331" t="s">
        <v>95</v>
      </c>
      <c r="C133" s="332" t="str">
        <f>IFERROR(VLOOKUP(B133,Listados!B$3:C$20,2,FALSE),"")</f>
        <v>Apoyar a las diferentes dependencias de la Entidad y del Sector Justicia en el cumplimiento de su función administrativa, emitir conceptos jurídicos, defender y representar jurídicamente al Ministerio de Justicia y del Derecho</v>
      </c>
      <c r="D133" s="333" t="s">
        <v>385</v>
      </c>
      <c r="E133" s="203" t="s">
        <v>41</v>
      </c>
      <c r="F133" s="203"/>
      <c r="G133" s="203" t="s">
        <v>386</v>
      </c>
      <c r="H133" s="204" t="s">
        <v>16</v>
      </c>
      <c r="I133" s="204" t="s">
        <v>387</v>
      </c>
      <c r="J133" s="331" t="s">
        <v>21</v>
      </c>
      <c r="K133" s="348">
        <f>+VLOOKUP(J133,Listados!$K$8:$L$12,2,0)</f>
        <v>1</v>
      </c>
      <c r="L133" s="351" t="s">
        <v>54</v>
      </c>
      <c r="M133" s="348">
        <f>+VLOOKUP(L133,Listados!$K$13:$L$17,2,0)</f>
        <v>4</v>
      </c>
      <c r="N133" s="358" t="str">
        <f>IF(AND(J133&lt;&gt;"",L133&lt;&gt;""),VLOOKUP(J133&amp;L133,Listados!$M$3:$N$27,2,FALSE),"")</f>
        <v>Alto</v>
      </c>
      <c r="O133" s="226" t="s">
        <v>388</v>
      </c>
      <c r="P133" s="226" t="s">
        <v>389</v>
      </c>
      <c r="Q133" s="226" t="s">
        <v>123</v>
      </c>
      <c r="R133" s="215"/>
      <c r="S133" s="27" t="str">
        <f t="shared" si="12"/>
        <v/>
      </c>
      <c r="T133" s="215"/>
      <c r="U133" s="27" t="str">
        <f t="shared" si="13"/>
        <v/>
      </c>
      <c r="V133" s="208"/>
      <c r="W133" s="27" t="str">
        <f t="shared" si="14"/>
        <v/>
      </c>
      <c r="X133" s="208"/>
      <c r="Y133" s="27" t="str">
        <f t="shared" si="15"/>
        <v/>
      </c>
      <c r="Z133" s="208"/>
      <c r="AA133" s="27" t="str">
        <f t="shared" si="16"/>
        <v/>
      </c>
      <c r="AB133" s="208"/>
      <c r="AC133" s="27" t="str">
        <f t="shared" si="17"/>
        <v/>
      </c>
      <c r="AD133" s="208"/>
      <c r="AE133" s="27" t="str">
        <f t="shared" si="18"/>
        <v/>
      </c>
      <c r="AF133" s="48" t="str">
        <f t="shared" si="19"/>
        <v/>
      </c>
      <c r="AG133" s="48" t="str">
        <f t="shared" si="20"/>
        <v/>
      </c>
      <c r="AH133" s="209"/>
      <c r="AI133" s="210" t="str">
        <f t="shared" si="21"/>
        <v>Débil</v>
      </c>
      <c r="AJ133" s="21" t="str">
        <f>IFERROR(VLOOKUP((CONCATENATE(AG133,AI133)),Listados!$U$3:$V$11,2,FALSE),"")</f>
        <v/>
      </c>
      <c r="AK133" s="48">
        <f t="shared" si="22"/>
        <v>100</v>
      </c>
      <c r="AL133" s="354">
        <f>AVERAGE(AK133:AK138)</f>
        <v>100</v>
      </c>
      <c r="AM133" s="356" t="str">
        <f>IF(AL133&lt;=50, "Débil", IF(AL133&lt;=99,"Moderado","Fuerte"))</f>
        <v>Fuerte</v>
      </c>
      <c r="AN133" s="173">
        <f>+IF(AND(Q133="Preventivo",AM133="Fuerte"),2,IF(AND(Q133="Preventivo",AM133="Moderado"),1,0))</f>
        <v>0</v>
      </c>
      <c r="AO133" s="173">
        <f t="shared" si="23"/>
        <v>2</v>
      </c>
      <c r="AP133" s="173">
        <f>+K133-AN133</f>
        <v>1</v>
      </c>
      <c r="AQ133" s="173">
        <f>+M133-AO133</f>
        <v>2</v>
      </c>
      <c r="AR133" s="345" t="str">
        <f>+VLOOKUP(MIN(AP133,AP134,AP135,AP136,AP137,AP138),Listados!$J$18:$K$24,2,TRUE)</f>
        <v>Rara Vez</v>
      </c>
      <c r="AS133" s="345" t="str">
        <f>+VLOOKUP(MIN(AQ133,AQ134,AQ135,AQ136,AQ137,AQ138),Listados!$J$27:$K$32,2,TRUE)</f>
        <v>Menor</v>
      </c>
      <c r="AT133" s="345" t="str">
        <f>IF(AND(AR133&lt;&gt;"",AS133&lt;&gt;""),VLOOKUP(AR133&amp;AS133,Listados!$M$3:$N$27,2,FALSE),"")</f>
        <v>Bajo</v>
      </c>
      <c r="AU133" s="345" t="str">
        <f>+VLOOKUP(AT133,Listados!$P$3:$Q$6,2,FALSE)</f>
        <v>Asumir el riesgo</v>
      </c>
      <c r="AV133" s="311"/>
      <c r="AW133" s="312"/>
      <c r="AX133" s="313"/>
      <c r="AY133" s="311"/>
      <c r="AZ133" s="312"/>
      <c r="BA133" s="313"/>
      <c r="BB133" s="311"/>
      <c r="BC133" s="312"/>
      <c r="BD133" s="313"/>
    </row>
    <row r="134" spans="1:56" ht="186.75" thickBot="1">
      <c r="A134" s="329"/>
      <c r="B134" s="331"/>
      <c r="C134" s="332"/>
      <c r="D134" s="333"/>
      <c r="E134" s="203"/>
      <c r="F134" s="203"/>
      <c r="G134" s="203" t="s">
        <v>389</v>
      </c>
      <c r="H134" s="204" t="s">
        <v>16</v>
      </c>
      <c r="I134" s="204" t="s">
        <v>390</v>
      </c>
      <c r="J134" s="331"/>
      <c r="K134" s="349"/>
      <c r="L134" s="352"/>
      <c r="M134" s="349"/>
      <c r="N134" s="359"/>
      <c r="O134" s="226" t="s">
        <v>391</v>
      </c>
      <c r="P134" s="226" t="s">
        <v>386</v>
      </c>
      <c r="Q134" s="226" t="s">
        <v>123</v>
      </c>
      <c r="R134" s="215"/>
      <c r="S134" s="27" t="str">
        <f t="shared" si="12"/>
        <v/>
      </c>
      <c r="T134" s="215"/>
      <c r="U134" s="27" t="str">
        <f t="shared" si="13"/>
        <v/>
      </c>
      <c r="V134" s="208"/>
      <c r="W134" s="27" t="str">
        <f t="shared" si="14"/>
        <v/>
      </c>
      <c r="X134" s="208"/>
      <c r="Y134" s="27" t="str">
        <f t="shared" si="15"/>
        <v/>
      </c>
      <c r="Z134" s="208"/>
      <c r="AA134" s="27" t="str">
        <f t="shared" si="16"/>
        <v/>
      </c>
      <c r="AB134" s="208"/>
      <c r="AC134" s="27" t="str">
        <f t="shared" si="17"/>
        <v/>
      </c>
      <c r="AD134" s="208"/>
      <c r="AE134" s="27" t="str">
        <f t="shared" si="18"/>
        <v/>
      </c>
      <c r="AF134" s="48" t="str">
        <f t="shared" si="19"/>
        <v/>
      </c>
      <c r="AG134" s="48" t="str">
        <f t="shared" si="20"/>
        <v/>
      </c>
      <c r="AH134" s="209"/>
      <c r="AI134" s="210" t="str">
        <f t="shared" si="21"/>
        <v>Débil</v>
      </c>
      <c r="AJ134" s="21" t="str">
        <f>IFERROR(VLOOKUP((CONCATENATE(AG134,AI134)),Listados!$U$3:$V$11,2,FALSE),"")</f>
        <v/>
      </c>
      <c r="AK134" s="48">
        <f t="shared" si="22"/>
        <v>100</v>
      </c>
      <c r="AL134" s="355"/>
      <c r="AM134" s="357"/>
      <c r="AN134" s="173">
        <f>+IF(AND(Q134="Preventivo",AM133="Fuerte"),2,IF(AND(Q134="Preventivo",AM133="Moderado"),1,0))</f>
        <v>0</v>
      </c>
      <c r="AO134" s="173">
        <f t="shared" si="23"/>
        <v>2</v>
      </c>
      <c r="AP134" s="173">
        <f>+K133-AN134</f>
        <v>1</v>
      </c>
      <c r="AQ134" s="173">
        <f>+M133-AO134</f>
        <v>2</v>
      </c>
      <c r="AR134" s="346"/>
      <c r="AS134" s="346"/>
      <c r="AT134" s="346"/>
      <c r="AU134" s="346"/>
      <c r="AV134" s="311"/>
      <c r="AW134" s="312"/>
      <c r="AX134" s="313"/>
      <c r="AY134" s="311"/>
      <c r="AZ134" s="312"/>
      <c r="BA134" s="313"/>
      <c r="BB134" s="311"/>
      <c r="BC134" s="312"/>
      <c r="BD134" s="313"/>
    </row>
    <row r="135" spans="1:56" ht="207.75" customHeight="1" thickBot="1">
      <c r="A135" s="329"/>
      <c r="B135" s="331"/>
      <c r="C135" s="332"/>
      <c r="D135" s="333"/>
      <c r="E135" s="203"/>
      <c r="F135" s="203"/>
      <c r="G135" s="203" t="s">
        <v>392</v>
      </c>
      <c r="H135" s="204" t="s">
        <v>16</v>
      </c>
      <c r="I135" s="204" t="s">
        <v>393</v>
      </c>
      <c r="J135" s="331"/>
      <c r="K135" s="349"/>
      <c r="L135" s="352"/>
      <c r="M135" s="349"/>
      <c r="N135" s="359"/>
      <c r="O135" s="226" t="s">
        <v>388</v>
      </c>
      <c r="P135" s="226" t="s">
        <v>392</v>
      </c>
      <c r="Q135" s="226" t="s">
        <v>123</v>
      </c>
      <c r="R135" s="215"/>
      <c r="S135" s="27" t="str">
        <f t="shared" si="12"/>
        <v/>
      </c>
      <c r="T135" s="215"/>
      <c r="U135" s="27" t="str">
        <f t="shared" si="13"/>
        <v/>
      </c>
      <c r="V135" s="208"/>
      <c r="W135" s="27" t="str">
        <f t="shared" si="14"/>
        <v/>
      </c>
      <c r="X135" s="208"/>
      <c r="Y135" s="27" t="str">
        <f t="shared" si="15"/>
        <v/>
      </c>
      <c r="Z135" s="208"/>
      <c r="AA135" s="27" t="str">
        <f t="shared" si="16"/>
        <v/>
      </c>
      <c r="AB135" s="208"/>
      <c r="AC135" s="27" t="str">
        <f t="shared" si="17"/>
        <v/>
      </c>
      <c r="AD135" s="208"/>
      <c r="AE135" s="27" t="str">
        <f t="shared" si="18"/>
        <v/>
      </c>
      <c r="AF135" s="48" t="str">
        <f t="shared" si="19"/>
        <v/>
      </c>
      <c r="AG135" s="48" t="str">
        <f t="shared" si="20"/>
        <v/>
      </c>
      <c r="AH135" s="209"/>
      <c r="AI135" s="210" t="str">
        <f t="shared" si="21"/>
        <v>Débil</v>
      </c>
      <c r="AJ135" s="21" t="str">
        <f>IFERROR(VLOOKUP((CONCATENATE(AG135,AI135)),Listados!$U$3:$V$11,2,FALSE),"")</f>
        <v/>
      </c>
      <c r="AK135" s="48">
        <f t="shared" si="22"/>
        <v>100</v>
      </c>
      <c r="AL135" s="355"/>
      <c r="AM135" s="357"/>
      <c r="AN135" s="173">
        <f>+IF(AND(Q135="Preventivo",AM133="Fuerte"),2,IF(AND(Q135="Preventivo",AM133="Moderado"),1,0))</f>
        <v>0</v>
      </c>
      <c r="AO135" s="173">
        <f t="shared" si="23"/>
        <v>2</v>
      </c>
      <c r="AP135" s="173">
        <f>+K133-AN135</f>
        <v>1</v>
      </c>
      <c r="AQ135" s="173">
        <f>+M133-AO135</f>
        <v>2</v>
      </c>
      <c r="AR135" s="346"/>
      <c r="AS135" s="346"/>
      <c r="AT135" s="346"/>
      <c r="AU135" s="346"/>
      <c r="AV135" s="311"/>
      <c r="AW135" s="312"/>
      <c r="AX135" s="313"/>
      <c r="AY135" s="311"/>
      <c r="AZ135" s="312"/>
      <c r="BA135" s="313"/>
      <c r="BB135" s="311"/>
      <c r="BC135" s="312"/>
      <c r="BD135" s="313"/>
    </row>
    <row r="136" spans="1:56" ht="15.75" thickBot="1">
      <c r="A136" s="329"/>
      <c r="B136" s="331"/>
      <c r="C136" s="332"/>
      <c r="D136" s="333"/>
      <c r="E136" s="203"/>
      <c r="F136" s="203"/>
      <c r="G136" s="204"/>
      <c r="H136" s="204"/>
      <c r="I136" s="204"/>
      <c r="J136" s="331"/>
      <c r="K136" s="349"/>
      <c r="L136" s="352"/>
      <c r="M136" s="349"/>
      <c r="N136" s="359"/>
      <c r="O136" s="203"/>
      <c r="P136" s="205"/>
      <c r="Q136" s="205"/>
      <c r="R136" s="215"/>
      <c r="S136" s="27" t="str">
        <f t="shared" ref="S136:S199" si="32">+IF(R136="si",15,"")</f>
        <v/>
      </c>
      <c r="T136" s="215"/>
      <c r="U136" s="27" t="str">
        <f t="shared" ref="U136:U199" si="33">+IF(T136="si",15,"")</f>
        <v/>
      </c>
      <c r="V136" s="208"/>
      <c r="W136" s="27" t="str">
        <f t="shared" ref="W136:W199" si="34">+IF(V136="si",15,"")</f>
        <v/>
      </c>
      <c r="X136" s="208"/>
      <c r="Y136" s="27" t="str">
        <f t="shared" ref="Y136:Y199" si="35">+IF(X136="Preventivo",15,IF(X136="Detectivo",10,""))</f>
        <v/>
      </c>
      <c r="Z136" s="208"/>
      <c r="AA136" s="27" t="str">
        <f t="shared" ref="AA136:AA199" si="36">+IF(Z136="si",15,"")</f>
        <v/>
      </c>
      <c r="AB136" s="208"/>
      <c r="AC136" s="27" t="str">
        <f t="shared" ref="AC136:AC199" si="37">+IF(AB136="si",15,"")</f>
        <v/>
      </c>
      <c r="AD136" s="208"/>
      <c r="AE136" s="27" t="str">
        <f t="shared" ref="AE136:AE199" si="38">+IF(AD136="Completa",10,IF(AD136="Incompleta",5,""))</f>
        <v/>
      </c>
      <c r="AF136" s="48" t="str">
        <f t="shared" ref="AF136:AF199" si="39">IF((SUM(S136,U136,W136,Y136,AA136,AC136,AE136)=0),"",(SUM(S136,U136,W136,Y136,AA136,AC136,AE136)))</f>
        <v/>
      </c>
      <c r="AG136" s="48" t="str">
        <f t="shared" ref="AG136:AG199" si="40">IF(AF136&lt;=85,"Débil",IF(AF136&lt;=95,"Moderado",IF(AF136=100,"Fuerte","")))</f>
        <v/>
      </c>
      <c r="AH136" s="209"/>
      <c r="AI136" s="210" t="str">
        <f t="shared" si="21"/>
        <v>Débil</v>
      </c>
      <c r="AJ136" s="21" t="str">
        <f>IFERROR(VLOOKUP((CONCATENATE(AG136,AI136)),Listados!$U$3:$V$11,2,FALSE),"")</f>
        <v/>
      </c>
      <c r="AK136" s="48">
        <f t="shared" si="22"/>
        <v>100</v>
      </c>
      <c r="AL136" s="355"/>
      <c r="AM136" s="357"/>
      <c r="AN136" s="173">
        <f>+IF(AND(Q136="Preventivo",AM133="Fuerte"),2,IF(AND(Q136="Preventivo",AM133="Moderado"),1,0))</f>
        <v>0</v>
      </c>
      <c r="AO136" s="173">
        <f t="shared" si="23"/>
        <v>0</v>
      </c>
      <c r="AP136" s="173">
        <f>+K133-AN136</f>
        <v>1</v>
      </c>
      <c r="AQ136" s="173">
        <f>+M133-AO136</f>
        <v>4</v>
      </c>
      <c r="AR136" s="346"/>
      <c r="AS136" s="346"/>
      <c r="AT136" s="346"/>
      <c r="AU136" s="346"/>
      <c r="AV136" s="311"/>
      <c r="AW136" s="312"/>
      <c r="AX136" s="313"/>
      <c r="AY136" s="311"/>
      <c r="AZ136" s="312"/>
      <c r="BA136" s="313"/>
      <c r="BB136" s="311"/>
      <c r="BC136" s="312"/>
      <c r="BD136" s="313"/>
    </row>
    <row r="137" spans="1:56" ht="15.75" thickBot="1">
      <c r="A137" s="329"/>
      <c r="B137" s="331"/>
      <c r="C137" s="332"/>
      <c r="D137" s="333"/>
      <c r="E137" s="203"/>
      <c r="F137" s="203"/>
      <c r="G137" s="204"/>
      <c r="H137" s="204"/>
      <c r="I137" s="204"/>
      <c r="J137" s="331"/>
      <c r="K137" s="349"/>
      <c r="L137" s="352"/>
      <c r="M137" s="349"/>
      <c r="N137" s="359"/>
      <c r="O137" s="203"/>
      <c r="P137" s="205"/>
      <c r="Q137" s="205"/>
      <c r="R137" s="215"/>
      <c r="S137" s="27" t="str">
        <f t="shared" si="32"/>
        <v/>
      </c>
      <c r="T137" s="215"/>
      <c r="U137" s="27" t="str">
        <f t="shared" si="33"/>
        <v/>
      </c>
      <c r="V137" s="208"/>
      <c r="W137" s="27" t="str">
        <f t="shared" si="34"/>
        <v/>
      </c>
      <c r="X137" s="208"/>
      <c r="Y137" s="27" t="str">
        <f t="shared" si="35"/>
        <v/>
      </c>
      <c r="Z137" s="208"/>
      <c r="AA137" s="27" t="str">
        <f t="shared" si="36"/>
        <v/>
      </c>
      <c r="AB137" s="208"/>
      <c r="AC137" s="27" t="str">
        <f t="shared" si="37"/>
        <v/>
      </c>
      <c r="AD137" s="208"/>
      <c r="AE137" s="27" t="str">
        <f t="shared" si="38"/>
        <v/>
      </c>
      <c r="AF137" s="48" t="str">
        <f t="shared" si="39"/>
        <v/>
      </c>
      <c r="AG137" s="48" t="str">
        <f t="shared" si="40"/>
        <v/>
      </c>
      <c r="AH137" s="209"/>
      <c r="AI137" s="210" t="str">
        <f t="shared" ref="AI137:AI200" si="41">+IF(AH137="siempre","Fuerte",IF(AH137="Algunas veces","Moderado","Débil"))</f>
        <v>Débil</v>
      </c>
      <c r="AJ137" s="21" t="str">
        <f>IFERROR(VLOOKUP((CONCATENATE(AG137,AI137)),Listados!$U$3:$V$11,2,FALSE),"")</f>
        <v/>
      </c>
      <c r="AK137" s="48">
        <f t="shared" ref="AK137:AK200" si="42">IF(ISBLANK(AJ137),"",IF(AJ137="Débil", 0, IF(AJ137="Moderado",50,100)))</f>
        <v>100</v>
      </c>
      <c r="AL137" s="355"/>
      <c r="AM137" s="357"/>
      <c r="AN137" s="173">
        <f>+IF(AND(Q137="Preventivo",AM133="Fuerte"),2,IF(AND(Q137="Preventivo",AM133="Moderado"),1,0))</f>
        <v>0</v>
      </c>
      <c r="AO137" s="173">
        <f t="shared" si="23"/>
        <v>0</v>
      </c>
      <c r="AP137" s="173">
        <f>+K133-AN137</f>
        <v>1</v>
      </c>
      <c r="AQ137" s="173">
        <f>+M133-AO137</f>
        <v>4</v>
      </c>
      <c r="AR137" s="346"/>
      <c r="AS137" s="346"/>
      <c r="AT137" s="346"/>
      <c r="AU137" s="346"/>
      <c r="AV137" s="311"/>
      <c r="AW137" s="312"/>
      <c r="AX137" s="313"/>
      <c r="AY137" s="311"/>
      <c r="AZ137" s="312"/>
      <c r="BA137" s="313"/>
      <c r="BB137" s="311"/>
      <c r="BC137" s="312"/>
      <c r="BD137" s="313"/>
    </row>
    <row r="138" spans="1:56" ht="15.75" thickBot="1">
      <c r="A138" s="330"/>
      <c r="B138" s="331"/>
      <c r="C138" s="332"/>
      <c r="D138" s="333"/>
      <c r="E138" s="203"/>
      <c r="F138" s="203"/>
      <c r="G138" s="204"/>
      <c r="H138" s="204"/>
      <c r="I138" s="204"/>
      <c r="J138" s="331"/>
      <c r="K138" s="350"/>
      <c r="L138" s="352"/>
      <c r="M138" s="350"/>
      <c r="N138" s="359"/>
      <c r="O138" s="203"/>
      <c r="P138" s="205"/>
      <c r="Q138" s="205"/>
      <c r="R138" s="215"/>
      <c r="S138" s="27" t="str">
        <f t="shared" si="32"/>
        <v/>
      </c>
      <c r="T138" s="215"/>
      <c r="U138" s="27" t="str">
        <f t="shared" si="33"/>
        <v/>
      </c>
      <c r="V138" s="208"/>
      <c r="W138" s="27" t="str">
        <f t="shared" si="34"/>
        <v/>
      </c>
      <c r="X138" s="208"/>
      <c r="Y138" s="27" t="str">
        <f t="shared" si="35"/>
        <v/>
      </c>
      <c r="Z138" s="208"/>
      <c r="AA138" s="27" t="str">
        <f t="shared" si="36"/>
        <v/>
      </c>
      <c r="AB138" s="208"/>
      <c r="AC138" s="27" t="str">
        <f t="shared" si="37"/>
        <v/>
      </c>
      <c r="AD138" s="208"/>
      <c r="AE138" s="27" t="str">
        <f t="shared" si="38"/>
        <v/>
      </c>
      <c r="AF138" s="48" t="str">
        <f t="shared" si="39"/>
        <v/>
      </c>
      <c r="AG138" s="48" t="str">
        <f t="shared" si="40"/>
        <v/>
      </c>
      <c r="AH138" s="209"/>
      <c r="AI138" s="210" t="str">
        <f t="shared" si="41"/>
        <v>Débil</v>
      </c>
      <c r="AJ138" s="21" t="str">
        <f>IFERROR(VLOOKUP((CONCATENATE(AG138,AI138)),Listados!$U$3:$V$11,2,FALSE),"")</f>
        <v/>
      </c>
      <c r="AK138" s="48">
        <f t="shared" si="42"/>
        <v>100</v>
      </c>
      <c r="AL138" s="356"/>
      <c r="AM138" s="357"/>
      <c r="AN138" s="173">
        <f>+IF(AND(Q138="Preventivo",AM133="Fuerte"),2,IF(AND(Q138="Preventivo",AM133="Moderado"),1,0))</f>
        <v>0</v>
      </c>
      <c r="AO138" s="173">
        <f t="shared" si="23"/>
        <v>0</v>
      </c>
      <c r="AP138" s="173">
        <f>+K133-AN138</f>
        <v>1</v>
      </c>
      <c r="AQ138" s="173">
        <f>+M133-AO138</f>
        <v>4</v>
      </c>
      <c r="AR138" s="347"/>
      <c r="AS138" s="347"/>
      <c r="AT138" s="347"/>
      <c r="AU138" s="347"/>
      <c r="AV138" s="311"/>
      <c r="AW138" s="312"/>
      <c r="AX138" s="313"/>
      <c r="AY138" s="311"/>
      <c r="AZ138" s="312"/>
      <c r="BA138" s="313"/>
      <c r="BB138" s="311"/>
      <c r="BC138" s="312"/>
      <c r="BD138" s="313"/>
    </row>
    <row r="139" spans="1:56" ht="267.75" customHeight="1" thickBot="1">
      <c r="A139" s="328">
        <v>23</v>
      </c>
      <c r="B139" s="331" t="s">
        <v>95</v>
      </c>
      <c r="C139" s="332" t="str">
        <f>IFERROR(VLOOKUP(B139,Listados!B$3:C$20,2,FALSE),"")</f>
        <v>Apoyar a las diferentes dependencias de la Entidad y del Sector Justicia en el cumplimiento de su función administrativa, emitir conceptos jurídicos, defender y representar jurídicamente al Ministerio de Justicia y del Derecho</v>
      </c>
      <c r="D139" s="333" t="s">
        <v>394</v>
      </c>
      <c r="E139" s="203" t="s">
        <v>52</v>
      </c>
      <c r="F139" s="203"/>
      <c r="G139" s="204" t="s">
        <v>395</v>
      </c>
      <c r="H139" s="204" t="s">
        <v>16</v>
      </c>
      <c r="I139" s="204" t="s">
        <v>396</v>
      </c>
      <c r="J139" s="331" t="s">
        <v>21</v>
      </c>
      <c r="K139" s="348">
        <f>+VLOOKUP(J139,Listados!$K$8:$L$12,2,0)</f>
        <v>1</v>
      </c>
      <c r="L139" s="351" t="s">
        <v>32</v>
      </c>
      <c r="M139" s="348">
        <f>+VLOOKUP(L139,Listados!$K$13:$L$17,2,0)</f>
        <v>2</v>
      </c>
      <c r="N139" s="358" t="str">
        <f>IF(AND(J139&lt;&gt;"",L139&lt;&gt;""),VLOOKUP(J139&amp;L139,Listados!$M$3:$N$27,2,FALSE),"")</f>
        <v>Bajo</v>
      </c>
      <c r="O139" s="225" t="s">
        <v>397</v>
      </c>
      <c r="P139" s="225" t="s">
        <v>395</v>
      </c>
      <c r="Q139" s="225" t="s">
        <v>20</v>
      </c>
      <c r="R139" s="215"/>
      <c r="S139" s="27" t="str">
        <f t="shared" si="32"/>
        <v/>
      </c>
      <c r="T139" s="215"/>
      <c r="U139" s="27" t="str">
        <f t="shared" si="33"/>
        <v/>
      </c>
      <c r="V139" s="208"/>
      <c r="W139" s="27" t="str">
        <f t="shared" si="34"/>
        <v/>
      </c>
      <c r="X139" s="208"/>
      <c r="Y139" s="27" t="str">
        <f t="shared" si="35"/>
        <v/>
      </c>
      <c r="Z139" s="208"/>
      <c r="AA139" s="27" t="str">
        <f t="shared" si="36"/>
        <v/>
      </c>
      <c r="AB139" s="208"/>
      <c r="AC139" s="27" t="str">
        <f t="shared" si="37"/>
        <v/>
      </c>
      <c r="AD139" s="208"/>
      <c r="AE139" s="27" t="str">
        <f t="shared" si="38"/>
        <v/>
      </c>
      <c r="AF139" s="48" t="str">
        <f t="shared" si="39"/>
        <v/>
      </c>
      <c r="AG139" s="48" t="str">
        <f t="shared" si="40"/>
        <v/>
      </c>
      <c r="AH139" s="209"/>
      <c r="AI139" s="210" t="str">
        <f t="shared" si="41"/>
        <v>Débil</v>
      </c>
      <c r="AJ139" s="21" t="str">
        <f>IFERROR(VLOOKUP((CONCATENATE(AG139,AI139)),Listados!$U$3:$V$11,2,FALSE),"")</f>
        <v/>
      </c>
      <c r="AK139" s="48">
        <f t="shared" si="42"/>
        <v>100</v>
      </c>
      <c r="AL139" s="354">
        <f>AVERAGE(AK139:AK144)</f>
        <v>100</v>
      </c>
      <c r="AM139" s="356" t="str">
        <f>IF(AL139&lt;=50, "Débil", IF(AL139&lt;=99,"Moderado","Fuerte"))</f>
        <v>Fuerte</v>
      </c>
      <c r="AN139" s="173">
        <f>+IF(AND(Q139="Preventivo",AM139="Fuerte"),2,IF(AND(Q139="Preventivo",AM139="Moderado"),1,0))</f>
        <v>2</v>
      </c>
      <c r="AO139" s="173">
        <f t="shared" si="23"/>
        <v>1</v>
      </c>
      <c r="AP139" s="173">
        <f>+K139-AN139</f>
        <v>-1</v>
      </c>
      <c r="AQ139" s="173">
        <f>+M139-AO139</f>
        <v>1</v>
      </c>
      <c r="AR139" s="345" t="str">
        <f>+VLOOKUP(MIN(AP139,AP140,AP141,AP142,AP143,AP144),Listados!$J$18:$K$24,2,TRUE)</f>
        <v>Rara Vez</v>
      </c>
      <c r="AS139" s="345" t="str">
        <f>+VLOOKUP(MIN(AQ139,AQ140,AQ141,AQ142,AQ143,AQ144),Listados!$J$27:$K$32,2,TRUE)</f>
        <v>Insignificante</v>
      </c>
      <c r="AT139" s="345" t="str">
        <f>IF(AND(AR139&lt;&gt;"",AS139&lt;&gt;""),VLOOKUP(AR139&amp;AS139,Listados!$M$3:$N$27,2,FALSE),"")</f>
        <v>Bajo</v>
      </c>
      <c r="AU139" s="345" t="str">
        <f>+VLOOKUP(AT139,Listados!$P$3:$Q$6,2,FALSE)</f>
        <v>Asumir el riesgo</v>
      </c>
      <c r="AV139" s="311"/>
      <c r="AW139" s="312"/>
      <c r="AX139" s="313"/>
      <c r="AY139" s="311"/>
      <c r="AZ139" s="312"/>
      <c r="BA139" s="313"/>
      <c r="BB139" s="311"/>
      <c r="BC139" s="312"/>
      <c r="BD139" s="313"/>
    </row>
    <row r="140" spans="1:56" ht="260.25" customHeight="1" thickBot="1">
      <c r="A140" s="329"/>
      <c r="B140" s="331"/>
      <c r="C140" s="332"/>
      <c r="D140" s="333"/>
      <c r="E140" s="203"/>
      <c r="F140" s="203"/>
      <c r="G140" s="204" t="s">
        <v>398</v>
      </c>
      <c r="H140" s="204" t="s">
        <v>16</v>
      </c>
      <c r="I140" s="204" t="s">
        <v>399</v>
      </c>
      <c r="J140" s="331"/>
      <c r="K140" s="349"/>
      <c r="L140" s="352"/>
      <c r="M140" s="349"/>
      <c r="N140" s="359"/>
      <c r="O140" s="225" t="s">
        <v>400</v>
      </c>
      <c r="P140" s="225" t="s">
        <v>398</v>
      </c>
      <c r="Q140" s="225" t="s">
        <v>20</v>
      </c>
      <c r="R140" s="215"/>
      <c r="S140" s="27" t="str">
        <f t="shared" si="32"/>
        <v/>
      </c>
      <c r="T140" s="215"/>
      <c r="U140" s="27" t="str">
        <f t="shared" si="33"/>
        <v/>
      </c>
      <c r="V140" s="208"/>
      <c r="W140" s="27" t="str">
        <f t="shared" si="34"/>
        <v/>
      </c>
      <c r="X140" s="208"/>
      <c r="Y140" s="27" t="str">
        <f t="shared" si="35"/>
        <v/>
      </c>
      <c r="Z140" s="208"/>
      <c r="AA140" s="27" t="str">
        <f t="shared" si="36"/>
        <v/>
      </c>
      <c r="AB140" s="208"/>
      <c r="AC140" s="27" t="str">
        <f t="shared" si="37"/>
        <v/>
      </c>
      <c r="AD140" s="208"/>
      <c r="AE140" s="27" t="str">
        <f t="shared" si="38"/>
        <v/>
      </c>
      <c r="AF140" s="48" t="str">
        <f t="shared" si="39"/>
        <v/>
      </c>
      <c r="AG140" s="48" t="str">
        <f t="shared" si="40"/>
        <v/>
      </c>
      <c r="AH140" s="209"/>
      <c r="AI140" s="210" t="str">
        <f t="shared" si="41"/>
        <v>Débil</v>
      </c>
      <c r="AJ140" s="21" t="str">
        <f>IFERROR(VLOOKUP((CONCATENATE(AG140,AI140)),Listados!$U$3:$V$11,2,FALSE),"")</f>
        <v/>
      </c>
      <c r="AK140" s="48">
        <f t="shared" si="42"/>
        <v>100</v>
      </c>
      <c r="AL140" s="355"/>
      <c r="AM140" s="357"/>
      <c r="AN140" s="173">
        <f>+IF(AND(Q140="Preventivo",AM139="Fuerte"),2,IF(AND(Q140="Preventivo",AM139="Moderado"),1,0))</f>
        <v>2</v>
      </c>
      <c r="AO140" s="173">
        <f t="shared" si="23"/>
        <v>1</v>
      </c>
      <c r="AP140" s="173">
        <f>+K139-AN140</f>
        <v>-1</v>
      </c>
      <c r="AQ140" s="173">
        <f>+M139-AO140</f>
        <v>1</v>
      </c>
      <c r="AR140" s="346"/>
      <c r="AS140" s="346"/>
      <c r="AT140" s="346"/>
      <c r="AU140" s="346"/>
      <c r="AV140" s="311"/>
      <c r="AW140" s="312"/>
      <c r="AX140" s="313"/>
      <c r="AY140" s="311"/>
      <c r="AZ140" s="312"/>
      <c r="BA140" s="313"/>
      <c r="BB140" s="311"/>
      <c r="BC140" s="312"/>
      <c r="BD140" s="313"/>
    </row>
    <row r="141" spans="1:56" ht="257.25" customHeight="1" thickBot="1">
      <c r="A141" s="329"/>
      <c r="B141" s="331"/>
      <c r="C141" s="332"/>
      <c r="D141" s="333"/>
      <c r="E141" s="203"/>
      <c r="F141" s="203"/>
      <c r="G141" s="204" t="s">
        <v>401</v>
      </c>
      <c r="H141" s="204" t="s">
        <v>30</v>
      </c>
      <c r="I141" s="204" t="s">
        <v>402</v>
      </c>
      <c r="J141" s="331"/>
      <c r="K141" s="349"/>
      <c r="L141" s="352"/>
      <c r="M141" s="349"/>
      <c r="N141" s="359"/>
      <c r="O141" s="225" t="s">
        <v>403</v>
      </c>
      <c r="P141" s="225" t="s">
        <v>401</v>
      </c>
      <c r="Q141" s="225" t="s">
        <v>123</v>
      </c>
      <c r="R141" s="215"/>
      <c r="S141" s="27" t="str">
        <f t="shared" si="32"/>
        <v/>
      </c>
      <c r="T141" s="215"/>
      <c r="U141" s="27" t="str">
        <f t="shared" si="33"/>
        <v/>
      </c>
      <c r="V141" s="208"/>
      <c r="W141" s="27" t="str">
        <f t="shared" si="34"/>
        <v/>
      </c>
      <c r="X141" s="208"/>
      <c r="Y141" s="27" t="str">
        <f t="shared" si="35"/>
        <v/>
      </c>
      <c r="Z141" s="208"/>
      <c r="AA141" s="27" t="str">
        <f t="shared" si="36"/>
        <v/>
      </c>
      <c r="AB141" s="208"/>
      <c r="AC141" s="27" t="str">
        <f t="shared" si="37"/>
        <v/>
      </c>
      <c r="AD141" s="208"/>
      <c r="AE141" s="27" t="str">
        <f t="shared" si="38"/>
        <v/>
      </c>
      <c r="AF141" s="48" t="str">
        <f t="shared" si="39"/>
        <v/>
      </c>
      <c r="AG141" s="48" t="str">
        <f t="shared" si="40"/>
        <v/>
      </c>
      <c r="AH141" s="209"/>
      <c r="AI141" s="210" t="str">
        <f t="shared" si="41"/>
        <v>Débil</v>
      </c>
      <c r="AJ141" s="21" t="str">
        <f>IFERROR(VLOOKUP((CONCATENATE(AG141,AI141)),Listados!$U$3:$V$11,2,FALSE),"")</f>
        <v/>
      </c>
      <c r="AK141" s="48">
        <f t="shared" si="42"/>
        <v>100</v>
      </c>
      <c r="AL141" s="355"/>
      <c r="AM141" s="357"/>
      <c r="AN141" s="173">
        <f>+IF(AND(Q141="Preventivo",AM139="Fuerte"),2,IF(AND(Q141="Preventivo",AM139="Moderado"),1,0))</f>
        <v>0</v>
      </c>
      <c r="AO141" s="173">
        <f t="shared" si="23"/>
        <v>2</v>
      </c>
      <c r="AP141" s="173">
        <f>+K139-AN141</f>
        <v>1</v>
      </c>
      <c r="AQ141" s="173">
        <f>+M139-AO141</f>
        <v>0</v>
      </c>
      <c r="AR141" s="346"/>
      <c r="AS141" s="346"/>
      <c r="AT141" s="346"/>
      <c r="AU141" s="346"/>
      <c r="AV141" s="311"/>
      <c r="AW141" s="312"/>
      <c r="AX141" s="313"/>
      <c r="AY141" s="311"/>
      <c r="AZ141" s="312"/>
      <c r="BA141" s="313"/>
      <c r="BB141" s="311"/>
      <c r="BC141" s="312"/>
      <c r="BD141" s="313"/>
    </row>
    <row r="142" spans="1:56" ht="261" customHeight="1" thickBot="1">
      <c r="A142" s="329"/>
      <c r="B142" s="331"/>
      <c r="C142" s="332"/>
      <c r="D142" s="333"/>
      <c r="E142" s="203"/>
      <c r="F142" s="203"/>
      <c r="G142" s="204" t="s">
        <v>404</v>
      </c>
      <c r="H142" s="204" t="s">
        <v>16</v>
      </c>
      <c r="I142" s="204"/>
      <c r="J142" s="331"/>
      <c r="K142" s="349"/>
      <c r="L142" s="352"/>
      <c r="M142" s="349"/>
      <c r="N142" s="359"/>
      <c r="O142" s="225" t="s">
        <v>400</v>
      </c>
      <c r="P142" s="225" t="s">
        <v>404</v>
      </c>
      <c r="Q142" s="225" t="s">
        <v>20</v>
      </c>
      <c r="R142" s="215"/>
      <c r="S142" s="27" t="str">
        <f t="shared" si="32"/>
        <v/>
      </c>
      <c r="T142" s="215"/>
      <c r="U142" s="27" t="str">
        <f t="shared" si="33"/>
        <v/>
      </c>
      <c r="V142" s="208"/>
      <c r="W142" s="27" t="str">
        <f t="shared" si="34"/>
        <v/>
      </c>
      <c r="X142" s="208"/>
      <c r="Y142" s="27" t="str">
        <f t="shared" si="35"/>
        <v/>
      </c>
      <c r="Z142" s="208"/>
      <c r="AA142" s="27" t="str">
        <f t="shared" si="36"/>
        <v/>
      </c>
      <c r="AB142" s="208"/>
      <c r="AC142" s="27" t="str">
        <f t="shared" si="37"/>
        <v/>
      </c>
      <c r="AD142" s="208"/>
      <c r="AE142" s="27" t="str">
        <f t="shared" si="38"/>
        <v/>
      </c>
      <c r="AF142" s="48" t="str">
        <f t="shared" si="39"/>
        <v/>
      </c>
      <c r="AG142" s="48" t="str">
        <f t="shared" si="40"/>
        <v/>
      </c>
      <c r="AH142" s="209"/>
      <c r="AI142" s="210" t="str">
        <f t="shared" si="41"/>
        <v>Débil</v>
      </c>
      <c r="AJ142" s="21" t="str">
        <f>IFERROR(VLOOKUP((CONCATENATE(AG142,AI142)),Listados!$U$3:$V$11,2,FALSE),"")</f>
        <v/>
      </c>
      <c r="AK142" s="48">
        <f t="shared" si="42"/>
        <v>100</v>
      </c>
      <c r="AL142" s="355"/>
      <c r="AM142" s="357"/>
      <c r="AN142" s="173">
        <f>+IF(AND(Q142="Preventivo",AM139="Fuerte"),2,IF(AND(Q142="Preventivo",AM139="Moderado"),1,0))</f>
        <v>2</v>
      </c>
      <c r="AO142" s="173">
        <f t="shared" ref="AO142:AO205" si="43">+IF(AND(Q142="Detectivo",$AM$7="Fuerte"),2,IF(AND(Q142="Detectivo",$AM$7="Moderado"),1,IF(AND(Q142="Preventivo",$AM$7="Fuerte"),1,0)))</f>
        <v>1</v>
      </c>
      <c r="AP142" s="173">
        <f>+K139-AN142</f>
        <v>-1</v>
      </c>
      <c r="AQ142" s="173">
        <f>+M139-AO142</f>
        <v>1</v>
      </c>
      <c r="AR142" s="346"/>
      <c r="AS142" s="346"/>
      <c r="AT142" s="346"/>
      <c r="AU142" s="346"/>
      <c r="AV142" s="311"/>
      <c r="AW142" s="312"/>
      <c r="AX142" s="313"/>
      <c r="AY142" s="311"/>
      <c r="AZ142" s="312"/>
      <c r="BA142" s="313"/>
      <c r="BB142" s="311"/>
      <c r="BC142" s="312"/>
      <c r="BD142" s="313"/>
    </row>
    <row r="143" spans="1:56" ht="15.75" thickBot="1">
      <c r="A143" s="329"/>
      <c r="B143" s="331"/>
      <c r="C143" s="332"/>
      <c r="D143" s="333"/>
      <c r="E143" s="203"/>
      <c r="F143" s="203"/>
      <c r="G143" s="204"/>
      <c r="H143" s="204"/>
      <c r="I143" s="204"/>
      <c r="J143" s="331"/>
      <c r="K143" s="349"/>
      <c r="L143" s="352"/>
      <c r="M143" s="349"/>
      <c r="N143" s="359"/>
      <c r="O143" s="203"/>
      <c r="P143" s="205"/>
      <c r="Q143" s="205"/>
      <c r="R143" s="215"/>
      <c r="S143" s="27" t="str">
        <f t="shared" si="32"/>
        <v/>
      </c>
      <c r="T143" s="215"/>
      <c r="U143" s="27" t="str">
        <f t="shared" si="33"/>
        <v/>
      </c>
      <c r="V143" s="208"/>
      <c r="W143" s="27" t="str">
        <f t="shared" si="34"/>
        <v/>
      </c>
      <c r="X143" s="208"/>
      <c r="Y143" s="27" t="str">
        <f t="shared" si="35"/>
        <v/>
      </c>
      <c r="Z143" s="208"/>
      <c r="AA143" s="27" t="str">
        <f t="shared" si="36"/>
        <v/>
      </c>
      <c r="AB143" s="208"/>
      <c r="AC143" s="27" t="str">
        <f t="shared" si="37"/>
        <v/>
      </c>
      <c r="AD143" s="208"/>
      <c r="AE143" s="27" t="str">
        <f t="shared" si="38"/>
        <v/>
      </c>
      <c r="AF143" s="48" t="str">
        <f t="shared" si="39"/>
        <v/>
      </c>
      <c r="AG143" s="48" t="str">
        <f t="shared" si="40"/>
        <v/>
      </c>
      <c r="AH143" s="209"/>
      <c r="AI143" s="210" t="str">
        <f t="shared" si="41"/>
        <v>Débil</v>
      </c>
      <c r="AJ143" s="21" t="str">
        <f>IFERROR(VLOOKUP((CONCATENATE(AG143,AI143)),Listados!$U$3:$V$11,2,FALSE),"")</f>
        <v/>
      </c>
      <c r="AK143" s="48">
        <f t="shared" si="42"/>
        <v>100</v>
      </c>
      <c r="AL143" s="355"/>
      <c r="AM143" s="357"/>
      <c r="AN143" s="173">
        <f>+IF(AND(Q143="Preventivo",AM139="Fuerte"),2,IF(AND(Q143="Preventivo",AM139="Moderado"),1,0))</f>
        <v>0</v>
      </c>
      <c r="AO143" s="173">
        <f t="shared" si="43"/>
        <v>0</v>
      </c>
      <c r="AP143" s="173">
        <f>+K139-AN143</f>
        <v>1</v>
      </c>
      <c r="AQ143" s="173">
        <f>+M139-AO143</f>
        <v>2</v>
      </c>
      <c r="AR143" s="346"/>
      <c r="AS143" s="346"/>
      <c r="AT143" s="346"/>
      <c r="AU143" s="346"/>
      <c r="AV143" s="311"/>
      <c r="AW143" s="312"/>
      <c r="AX143" s="313"/>
      <c r="AY143" s="311"/>
      <c r="AZ143" s="312"/>
      <c r="BA143" s="313"/>
      <c r="BB143" s="311"/>
      <c r="BC143" s="312"/>
      <c r="BD143" s="313"/>
    </row>
    <row r="144" spans="1:56" ht="15.75" thickBot="1">
      <c r="A144" s="330"/>
      <c r="B144" s="331"/>
      <c r="C144" s="332"/>
      <c r="D144" s="333"/>
      <c r="E144" s="203"/>
      <c r="F144" s="203"/>
      <c r="G144" s="204"/>
      <c r="H144" s="204"/>
      <c r="I144" s="204"/>
      <c r="J144" s="331"/>
      <c r="K144" s="350"/>
      <c r="L144" s="352"/>
      <c r="M144" s="350"/>
      <c r="N144" s="359"/>
      <c r="O144" s="203"/>
      <c r="P144" s="205"/>
      <c r="Q144" s="205"/>
      <c r="R144" s="215"/>
      <c r="S144" s="27" t="str">
        <f t="shared" si="32"/>
        <v/>
      </c>
      <c r="T144" s="215"/>
      <c r="U144" s="27" t="str">
        <f t="shared" si="33"/>
        <v/>
      </c>
      <c r="V144" s="208"/>
      <c r="W144" s="27" t="str">
        <f t="shared" si="34"/>
        <v/>
      </c>
      <c r="X144" s="208"/>
      <c r="Y144" s="27" t="str">
        <f t="shared" si="35"/>
        <v/>
      </c>
      <c r="Z144" s="208"/>
      <c r="AA144" s="27" t="str">
        <f t="shared" si="36"/>
        <v/>
      </c>
      <c r="AB144" s="208"/>
      <c r="AC144" s="27" t="str">
        <f t="shared" si="37"/>
        <v/>
      </c>
      <c r="AD144" s="208"/>
      <c r="AE144" s="27" t="str">
        <f t="shared" si="38"/>
        <v/>
      </c>
      <c r="AF144" s="48" t="str">
        <f t="shared" si="39"/>
        <v/>
      </c>
      <c r="AG144" s="48" t="str">
        <f t="shared" si="40"/>
        <v/>
      </c>
      <c r="AH144" s="209"/>
      <c r="AI144" s="210" t="str">
        <f t="shared" si="41"/>
        <v>Débil</v>
      </c>
      <c r="AJ144" s="21" t="str">
        <f>IFERROR(VLOOKUP((CONCATENATE(AG144,AI144)),Listados!$U$3:$V$11,2,FALSE),"")</f>
        <v/>
      </c>
      <c r="AK144" s="48">
        <f t="shared" si="42"/>
        <v>100</v>
      </c>
      <c r="AL144" s="356"/>
      <c r="AM144" s="357"/>
      <c r="AN144" s="173">
        <f>+IF(AND(Q144="Preventivo",AM139="Fuerte"),2,IF(AND(Q144="Preventivo",AM139="Moderado"),1,0))</f>
        <v>0</v>
      </c>
      <c r="AO144" s="173">
        <f t="shared" si="43"/>
        <v>0</v>
      </c>
      <c r="AP144" s="173">
        <f>+K139-AN144</f>
        <v>1</v>
      </c>
      <c r="AQ144" s="173">
        <f>+M139-AO144</f>
        <v>2</v>
      </c>
      <c r="AR144" s="347"/>
      <c r="AS144" s="347"/>
      <c r="AT144" s="347"/>
      <c r="AU144" s="347"/>
      <c r="AV144" s="311"/>
      <c r="AW144" s="312"/>
      <c r="AX144" s="313"/>
      <c r="AY144" s="311"/>
      <c r="AZ144" s="312"/>
      <c r="BA144" s="313"/>
      <c r="BB144" s="311"/>
      <c r="BC144" s="312"/>
      <c r="BD144" s="313"/>
    </row>
    <row r="145" spans="1:56" ht="143.25" thickBot="1">
      <c r="A145" s="328">
        <v>24</v>
      </c>
      <c r="B145" s="331" t="s">
        <v>95</v>
      </c>
      <c r="C145" s="332" t="str">
        <f>IFERROR(VLOOKUP(B145,Listados!B$3:C$20,2,FALSE),"")</f>
        <v>Apoyar a las diferentes dependencias de la Entidad y del Sector Justicia en el cumplimiento de su función administrativa, emitir conceptos jurídicos, defender y representar jurídicamente al Ministerio de Justicia y del Derecho</v>
      </c>
      <c r="D145" s="333" t="s">
        <v>405</v>
      </c>
      <c r="E145" s="203" t="s">
        <v>52</v>
      </c>
      <c r="F145" s="203"/>
      <c r="G145" s="204" t="s">
        <v>406</v>
      </c>
      <c r="H145" s="204" t="s">
        <v>16</v>
      </c>
      <c r="I145" s="204" t="s">
        <v>407</v>
      </c>
      <c r="J145" s="331" t="s">
        <v>44</v>
      </c>
      <c r="K145" s="348">
        <f>+VLOOKUP(J145,Listados!$K$8:$L$12,2,0)</f>
        <v>3</v>
      </c>
      <c r="L145" s="351" t="s">
        <v>32</v>
      </c>
      <c r="M145" s="348">
        <f>+VLOOKUP(L145,Listados!$K$13:$L$17,2,0)</f>
        <v>2</v>
      </c>
      <c r="N145" s="358" t="str">
        <f>IF(AND(J145&lt;&gt;"",L145&lt;&gt;""),VLOOKUP(J145&amp;L145,Listados!$M$3:$N$27,2,FALSE),"")</f>
        <v>Moderado</v>
      </c>
      <c r="O145" s="225" t="s">
        <v>408</v>
      </c>
      <c r="P145" s="226" t="s">
        <v>406</v>
      </c>
      <c r="Q145" s="226" t="s">
        <v>20</v>
      </c>
      <c r="R145" s="215"/>
      <c r="S145" s="27" t="str">
        <f t="shared" si="32"/>
        <v/>
      </c>
      <c r="T145" s="215"/>
      <c r="U145" s="27" t="str">
        <f t="shared" si="33"/>
        <v/>
      </c>
      <c r="V145" s="208"/>
      <c r="W145" s="27" t="str">
        <f t="shared" si="34"/>
        <v/>
      </c>
      <c r="X145" s="208"/>
      <c r="Y145" s="27" t="str">
        <f t="shared" si="35"/>
        <v/>
      </c>
      <c r="Z145" s="208"/>
      <c r="AA145" s="27" t="str">
        <f t="shared" si="36"/>
        <v/>
      </c>
      <c r="AB145" s="208"/>
      <c r="AC145" s="27" t="str">
        <f t="shared" si="37"/>
        <v/>
      </c>
      <c r="AD145" s="208"/>
      <c r="AE145" s="27" t="str">
        <f t="shared" si="38"/>
        <v/>
      </c>
      <c r="AF145" s="48" t="str">
        <f t="shared" si="39"/>
        <v/>
      </c>
      <c r="AG145" s="48" t="str">
        <f t="shared" si="40"/>
        <v/>
      </c>
      <c r="AH145" s="209"/>
      <c r="AI145" s="210" t="str">
        <f t="shared" si="41"/>
        <v>Débil</v>
      </c>
      <c r="AJ145" s="21" t="str">
        <f>IFERROR(VLOOKUP((CONCATENATE(AG145,AI145)),Listados!$U$3:$V$11,2,FALSE),"")</f>
        <v/>
      </c>
      <c r="AK145" s="48">
        <f t="shared" si="42"/>
        <v>100</v>
      </c>
      <c r="AL145" s="354">
        <f>AVERAGE(AK145:AK150)</f>
        <v>100</v>
      </c>
      <c r="AM145" s="356" t="str">
        <f>IF(AL145&lt;=50, "Débil", IF(AL145&lt;=99,"Moderado","Fuerte"))</f>
        <v>Fuerte</v>
      </c>
      <c r="AN145" s="173">
        <f>+IF(AND(Q145="Preventivo",AM145="Fuerte"),2,IF(AND(Q145="Preventivo",AM145="Moderado"),1,0))</f>
        <v>2</v>
      </c>
      <c r="AO145" s="173">
        <f t="shared" si="43"/>
        <v>1</v>
      </c>
      <c r="AP145" s="173">
        <f>+K145-AN145</f>
        <v>1</v>
      </c>
      <c r="AQ145" s="173">
        <f>+M145-AO145</f>
        <v>1</v>
      </c>
      <c r="AR145" s="345" t="str">
        <f>+VLOOKUP(MIN(AP145,AP146,AP147,AP148,AP149,AP150),Listados!$J$18:$K$24,2,TRUE)</f>
        <v>Rara Vez</v>
      </c>
      <c r="AS145" s="345" t="str">
        <f>+VLOOKUP(MIN(AQ145,AQ146,AQ147,AQ148,AQ149,AQ150),Listados!$J$27:$K$32,2,TRUE)</f>
        <v>Insignificante</v>
      </c>
      <c r="AT145" s="345" t="str">
        <f>IF(AND(AR145&lt;&gt;"",AS145&lt;&gt;""),VLOOKUP(AR145&amp;AS145,Listados!$M$3:$N$27,2,FALSE),"")</f>
        <v>Bajo</v>
      </c>
      <c r="AU145" s="345" t="str">
        <f>+VLOOKUP(AT145,Listados!$P$3:$Q$6,2,FALSE)</f>
        <v>Asumir el riesgo</v>
      </c>
      <c r="AV145" s="311"/>
      <c r="AW145" s="312"/>
      <c r="AX145" s="313"/>
      <c r="AY145" s="311"/>
      <c r="AZ145" s="312"/>
      <c r="BA145" s="313"/>
      <c r="BB145" s="311"/>
      <c r="BC145" s="312"/>
      <c r="BD145" s="313"/>
    </row>
    <row r="146" spans="1:56" ht="143.25" thickBot="1">
      <c r="A146" s="329"/>
      <c r="B146" s="331"/>
      <c r="C146" s="332"/>
      <c r="D146" s="333"/>
      <c r="E146" s="203"/>
      <c r="F146" s="203"/>
      <c r="G146" s="204" t="s">
        <v>409</v>
      </c>
      <c r="H146" s="204" t="s">
        <v>16</v>
      </c>
      <c r="I146" s="204" t="s">
        <v>410</v>
      </c>
      <c r="J146" s="331"/>
      <c r="K146" s="349"/>
      <c r="L146" s="352"/>
      <c r="M146" s="349"/>
      <c r="N146" s="359"/>
      <c r="O146" s="225" t="s">
        <v>408</v>
      </c>
      <c r="P146" s="226" t="s">
        <v>409</v>
      </c>
      <c r="Q146" s="226" t="s">
        <v>20</v>
      </c>
      <c r="R146" s="215"/>
      <c r="S146" s="27" t="str">
        <f t="shared" si="32"/>
        <v/>
      </c>
      <c r="T146" s="215"/>
      <c r="U146" s="27" t="str">
        <f t="shared" si="33"/>
        <v/>
      </c>
      <c r="V146" s="208"/>
      <c r="W146" s="27" t="str">
        <f t="shared" si="34"/>
        <v/>
      </c>
      <c r="X146" s="208"/>
      <c r="Y146" s="27" t="str">
        <f t="shared" si="35"/>
        <v/>
      </c>
      <c r="Z146" s="208"/>
      <c r="AA146" s="27" t="str">
        <f t="shared" si="36"/>
        <v/>
      </c>
      <c r="AB146" s="208"/>
      <c r="AC146" s="27" t="str">
        <f t="shared" si="37"/>
        <v/>
      </c>
      <c r="AD146" s="208"/>
      <c r="AE146" s="27" t="str">
        <f t="shared" si="38"/>
        <v/>
      </c>
      <c r="AF146" s="48" t="str">
        <f t="shared" si="39"/>
        <v/>
      </c>
      <c r="AG146" s="48" t="str">
        <f t="shared" si="40"/>
        <v/>
      </c>
      <c r="AH146" s="209"/>
      <c r="AI146" s="210" t="str">
        <f t="shared" si="41"/>
        <v>Débil</v>
      </c>
      <c r="AJ146" s="21" t="str">
        <f>IFERROR(VLOOKUP((CONCATENATE(AG146,AI146)),Listados!$U$3:$V$11,2,FALSE),"")</f>
        <v/>
      </c>
      <c r="AK146" s="48">
        <f t="shared" si="42"/>
        <v>100</v>
      </c>
      <c r="AL146" s="355"/>
      <c r="AM146" s="357"/>
      <c r="AN146" s="173">
        <f>+IF(AND(Q146="Preventivo",AM145="Fuerte"),2,IF(AND(Q146="Preventivo",AM145="Moderado"),1,0))</f>
        <v>2</v>
      </c>
      <c r="AO146" s="173">
        <f t="shared" si="43"/>
        <v>1</v>
      </c>
      <c r="AP146" s="173">
        <f>+K145-AN146</f>
        <v>1</v>
      </c>
      <c r="AQ146" s="173">
        <f>+M145-AO146</f>
        <v>1</v>
      </c>
      <c r="AR146" s="346"/>
      <c r="AS146" s="346"/>
      <c r="AT146" s="346"/>
      <c r="AU146" s="346"/>
      <c r="AV146" s="311"/>
      <c r="AW146" s="312"/>
      <c r="AX146" s="313"/>
      <c r="AY146" s="311"/>
      <c r="AZ146" s="312"/>
      <c r="BA146" s="313"/>
      <c r="BB146" s="311"/>
      <c r="BC146" s="312"/>
      <c r="BD146" s="313"/>
    </row>
    <row r="147" spans="1:56" ht="43.5" thickBot="1">
      <c r="A147" s="329"/>
      <c r="B147" s="331"/>
      <c r="C147" s="332"/>
      <c r="D147" s="333"/>
      <c r="E147" s="203"/>
      <c r="F147" s="203"/>
      <c r="G147" s="204"/>
      <c r="H147" s="204"/>
      <c r="I147" s="204" t="s">
        <v>411</v>
      </c>
      <c r="J147" s="331"/>
      <c r="K147" s="349"/>
      <c r="L147" s="352"/>
      <c r="M147" s="349"/>
      <c r="N147" s="359"/>
      <c r="O147" s="229"/>
      <c r="P147" s="226"/>
      <c r="Q147" s="226"/>
      <c r="R147" s="215"/>
      <c r="S147" s="27" t="str">
        <f t="shared" si="32"/>
        <v/>
      </c>
      <c r="T147" s="215"/>
      <c r="U147" s="27" t="str">
        <f t="shared" si="33"/>
        <v/>
      </c>
      <c r="V147" s="208"/>
      <c r="W147" s="27" t="str">
        <f t="shared" si="34"/>
        <v/>
      </c>
      <c r="X147" s="208"/>
      <c r="Y147" s="27" t="str">
        <f t="shared" si="35"/>
        <v/>
      </c>
      <c r="Z147" s="208"/>
      <c r="AA147" s="27" t="str">
        <f t="shared" si="36"/>
        <v/>
      </c>
      <c r="AB147" s="208"/>
      <c r="AC147" s="27" t="str">
        <f t="shared" si="37"/>
        <v/>
      </c>
      <c r="AD147" s="208"/>
      <c r="AE147" s="27" t="str">
        <f t="shared" si="38"/>
        <v/>
      </c>
      <c r="AF147" s="48" t="str">
        <f t="shared" si="39"/>
        <v/>
      </c>
      <c r="AG147" s="48" t="str">
        <f t="shared" si="40"/>
        <v/>
      </c>
      <c r="AH147" s="209"/>
      <c r="AI147" s="210" t="str">
        <f t="shared" si="41"/>
        <v>Débil</v>
      </c>
      <c r="AJ147" s="21" t="str">
        <f>IFERROR(VLOOKUP((CONCATENATE(AG147,AI147)),Listados!$U$3:$V$11,2,FALSE),"")</f>
        <v/>
      </c>
      <c r="AK147" s="48">
        <f t="shared" si="42"/>
        <v>100</v>
      </c>
      <c r="AL147" s="355"/>
      <c r="AM147" s="357"/>
      <c r="AN147" s="173">
        <f>+IF(AND(Q147="Preventivo",AM145="Fuerte"),2,IF(AND(Q147="Preventivo",AM145="Moderado"),1,0))</f>
        <v>0</v>
      </c>
      <c r="AO147" s="173">
        <f t="shared" si="43"/>
        <v>0</v>
      </c>
      <c r="AP147" s="173">
        <f>+K145-AN147</f>
        <v>3</v>
      </c>
      <c r="AQ147" s="173">
        <f>+M145-AO147</f>
        <v>2</v>
      </c>
      <c r="AR147" s="346"/>
      <c r="AS147" s="346"/>
      <c r="AT147" s="346"/>
      <c r="AU147" s="346"/>
      <c r="AV147" s="311"/>
      <c r="AW147" s="312"/>
      <c r="AX147" s="313"/>
      <c r="AY147" s="311"/>
      <c r="AZ147" s="312"/>
      <c r="BA147" s="313"/>
      <c r="BB147" s="311"/>
      <c r="BC147" s="312"/>
      <c r="BD147" s="313"/>
    </row>
    <row r="148" spans="1:56" ht="15.75" thickBot="1">
      <c r="A148" s="329"/>
      <c r="B148" s="331"/>
      <c r="C148" s="332"/>
      <c r="D148" s="333"/>
      <c r="E148" s="203"/>
      <c r="F148" s="203"/>
      <c r="G148" s="204"/>
      <c r="H148" s="204"/>
      <c r="I148" s="204"/>
      <c r="J148" s="331"/>
      <c r="K148" s="349"/>
      <c r="L148" s="352"/>
      <c r="M148" s="349"/>
      <c r="N148" s="359"/>
      <c r="O148" s="203"/>
      <c r="P148" s="205"/>
      <c r="Q148" s="205"/>
      <c r="R148" s="215"/>
      <c r="S148" s="27" t="str">
        <f t="shared" si="32"/>
        <v/>
      </c>
      <c r="T148" s="215"/>
      <c r="U148" s="27" t="str">
        <f t="shared" si="33"/>
        <v/>
      </c>
      <c r="V148" s="208"/>
      <c r="W148" s="27" t="str">
        <f t="shared" si="34"/>
        <v/>
      </c>
      <c r="X148" s="208"/>
      <c r="Y148" s="27" t="str">
        <f t="shared" si="35"/>
        <v/>
      </c>
      <c r="Z148" s="208"/>
      <c r="AA148" s="27" t="str">
        <f t="shared" si="36"/>
        <v/>
      </c>
      <c r="AB148" s="208"/>
      <c r="AC148" s="27" t="str">
        <f t="shared" si="37"/>
        <v/>
      </c>
      <c r="AD148" s="208"/>
      <c r="AE148" s="27" t="str">
        <f t="shared" si="38"/>
        <v/>
      </c>
      <c r="AF148" s="48" t="str">
        <f t="shared" si="39"/>
        <v/>
      </c>
      <c r="AG148" s="48" t="str">
        <f t="shared" si="40"/>
        <v/>
      </c>
      <c r="AH148" s="209"/>
      <c r="AI148" s="210" t="str">
        <f t="shared" si="41"/>
        <v>Débil</v>
      </c>
      <c r="AJ148" s="21" t="str">
        <f>IFERROR(VLOOKUP((CONCATENATE(AG148,AI148)),Listados!$U$3:$V$11,2,FALSE),"")</f>
        <v/>
      </c>
      <c r="AK148" s="48">
        <f t="shared" si="42"/>
        <v>100</v>
      </c>
      <c r="AL148" s="355"/>
      <c r="AM148" s="357"/>
      <c r="AN148" s="173">
        <f>+IF(AND(Q148="Preventivo",AM145="Fuerte"),2,IF(AND(Q148="Preventivo",AM145="Moderado"),1,0))</f>
        <v>0</v>
      </c>
      <c r="AO148" s="173">
        <f t="shared" si="43"/>
        <v>0</v>
      </c>
      <c r="AP148" s="173">
        <f>+K145-AN148</f>
        <v>3</v>
      </c>
      <c r="AQ148" s="173">
        <f>+M145-AO148</f>
        <v>2</v>
      </c>
      <c r="AR148" s="346"/>
      <c r="AS148" s="346"/>
      <c r="AT148" s="346"/>
      <c r="AU148" s="346"/>
      <c r="AV148" s="311"/>
      <c r="AW148" s="312"/>
      <c r="AX148" s="313"/>
      <c r="AY148" s="311"/>
      <c r="AZ148" s="312"/>
      <c r="BA148" s="313"/>
      <c r="BB148" s="311"/>
      <c r="BC148" s="312"/>
      <c r="BD148" s="313"/>
    </row>
    <row r="149" spans="1:56" ht="15.75" thickBot="1">
      <c r="A149" s="329"/>
      <c r="B149" s="331"/>
      <c r="C149" s="332"/>
      <c r="D149" s="333"/>
      <c r="E149" s="203"/>
      <c r="F149" s="203"/>
      <c r="G149" s="204"/>
      <c r="H149" s="204"/>
      <c r="I149" s="204"/>
      <c r="J149" s="331"/>
      <c r="K149" s="349"/>
      <c r="L149" s="352"/>
      <c r="M149" s="349"/>
      <c r="N149" s="359"/>
      <c r="O149" s="203"/>
      <c r="P149" s="205"/>
      <c r="Q149" s="205"/>
      <c r="R149" s="215"/>
      <c r="S149" s="27" t="str">
        <f t="shared" si="32"/>
        <v/>
      </c>
      <c r="T149" s="215"/>
      <c r="U149" s="27" t="str">
        <f t="shared" si="33"/>
        <v/>
      </c>
      <c r="V149" s="208"/>
      <c r="W149" s="27" t="str">
        <f t="shared" si="34"/>
        <v/>
      </c>
      <c r="X149" s="208"/>
      <c r="Y149" s="27" t="str">
        <f t="shared" si="35"/>
        <v/>
      </c>
      <c r="Z149" s="208"/>
      <c r="AA149" s="27" t="str">
        <f t="shared" si="36"/>
        <v/>
      </c>
      <c r="AB149" s="208"/>
      <c r="AC149" s="27" t="str">
        <f t="shared" si="37"/>
        <v/>
      </c>
      <c r="AD149" s="208"/>
      <c r="AE149" s="27" t="str">
        <f t="shared" si="38"/>
        <v/>
      </c>
      <c r="AF149" s="48" t="str">
        <f t="shared" si="39"/>
        <v/>
      </c>
      <c r="AG149" s="48" t="str">
        <f t="shared" si="40"/>
        <v/>
      </c>
      <c r="AH149" s="209"/>
      <c r="AI149" s="210" t="str">
        <f t="shared" si="41"/>
        <v>Débil</v>
      </c>
      <c r="AJ149" s="21" t="str">
        <f>IFERROR(VLOOKUP((CONCATENATE(AG149,AI149)),Listados!$U$3:$V$11,2,FALSE),"")</f>
        <v/>
      </c>
      <c r="AK149" s="48">
        <f t="shared" si="42"/>
        <v>100</v>
      </c>
      <c r="AL149" s="355"/>
      <c r="AM149" s="357"/>
      <c r="AN149" s="173">
        <f>+IF(AND(Q149="Preventivo",AM145="Fuerte"),2,IF(AND(Q149="Preventivo",AM145="Moderado"),1,0))</f>
        <v>0</v>
      </c>
      <c r="AO149" s="173">
        <f t="shared" si="43"/>
        <v>0</v>
      </c>
      <c r="AP149" s="173">
        <f>+K145-AN149</f>
        <v>3</v>
      </c>
      <c r="AQ149" s="173">
        <f>+M145-AO149</f>
        <v>2</v>
      </c>
      <c r="AR149" s="346"/>
      <c r="AS149" s="346"/>
      <c r="AT149" s="346"/>
      <c r="AU149" s="346"/>
      <c r="AV149" s="311"/>
      <c r="AW149" s="312"/>
      <c r="AX149" s="313"/>
      <c r="AY149" s="311"/>
      <c r="AZ149" s="312"/>
      <c r="BA149" s="313"/>
      <c r="BB149" s="311"/>
      <c r="BC149" s="312"/>
      <c r="BD149" s="313"/>
    </row>
    <row r="150" spans="1:56" ht="15.75" thickBot="1">
      <c r="A150" s="330"/>
      <c r="B150" s="331"/>
      <c r="C150" s="332"/>
      <c r="D150" s="333"/>
      <c r="E150" s="203"/>
      <c r="F150" s="203"/>
      <c r="G150" s="204"/>
      <c r="H150" s="204"/>
      <c r="I150" s="204"/>
      <c r="J150" s="331"/>
      <c r="K150" s="350"/>
      <c r="L150" s="352"/>
      <c r="M150" s="350"/>
      <c r="N150" s="359"/>
      <c r="O150" s="203"/>
      <c r="P150" s="205"/>
      <c r="Q150" s="205"/>
      <c r="R150" s="215"/>
      <c r="S150" s="27" t="str">
        <f t="shared" si="32"/>
        <v/>
      </c>
      <c r="T150" s="215"/>
      <c r="U150" s="27" t="str">
        <f t="shared" si="33"/>
        <v/>
      </c>
      <c r="V150" s="208"/>
      <c r="W150" s="27" t="str">
        <f t="shared" si="34"/>
        <v/>
      </c>
      <c r="X150" s="208"/>
      <c r="Y150" s="27" t="str">
        <f t="shared" si="35"/>
        <v/>
      </c>
      <c r="Z150" s="208"/>
      <c r="AA150" s="27" t="str">
        <f t="shared" si="36"/>
        <v/>
      </c>
      <c r="AB150" s="208"/>
      <c r="AC150" s="27" t="str">
        <f t="shared" si="37"/>
        <v/>
      </c>
      <c r="AD150" s="208"/>
      <c r="AE150" s="27" t="str">
        <f t="shared" si="38"/>
        <v/>
      </c>
      <c r="AF150" s="48" t="str">
        <f t="shared" si="39"/>
        <v/>
      </c>
      <c r="AG150" s="48" t="str">
        <f t="shared" si="40"/>
        <v/>
      </c>
      <c r="AH150" s="209"/>
      <c r="AI150" s="210" t="str">
        <f t="shared" si="41"/>
        <v>Débil</v>
      </c>
      <c r="AJ150" s="21" t="str">
        <f>IFERROR(VLOOKUP((CONCATENATE(AG150,AI150)),Listados!$U$3:$V$11,2,FALSE),"")</f>
        <v/>
      </c>
      <c r="AK150" s="48">
        <f t="shared" si="42"/>
        <v>100</v>
      </c>
      <c r="AL150" s="356"/>
      <c r="AM150" s="357"/>
      <c r="AN150" s="173">
        <f>+IF(AND(Q150="Preventivo",AM145="Fuerte"),2,IF(AND(Q150="Preventivo",AM145="Moderado"),1,0))</f>
        <v>0</v>
      </c>
      <c r="AO150" s="173">
        <f t="shared" si="43"/>
        <v>0</v>
      </c>
      <c r="AP150" s="173">
        <f>+K145-AN150</f>
        <v>3</v>
      </c>
      <c r="AQ150" s="173">
        <f>+M145-AO150</f>
        <v>2</v>
      </c>
      <c r="AR150" s="347"/>
      <c r="AS150" s="347"/>
      <c r="AT150" s="347"/>
      <c r="AU150" s="347"/>
      <c r="AV150" s="311"/>
      <c r="AW150" s="312"/>
      <c r="AX150" s="313"/>
      <c r="AY150" s="311"/>
      <c r="AZ150" s="312"/>
      <c r="BA150" s="313"/>
      <c r="BB150" s="311"/>
      <c r="BC150" s="312"/>
      <c r="BD150" s="313"/>
    </row>
    <row r="151" spans="1:56" ht="252" customHeight="1" thickBot="1">
      <c r="A151" s="328">
        <v>25</v>
      </c>
      <c r="B151" s="331" t="s">
        <v>95</v>
      </c>
      <c r="C151" s="332" t="str">
        <f>IFERROR(VLOOKUP(B151,Listados!B$3:C$20,2,FALSE),"")</f>
        <v>Apoyar a las diferentes dependencias de la Entidad y del Sector Justicia en el cumplimiento de su función administrativa, emitir conceptos jurídicos, defender y representar jurídicamente al Ministerio de Justicia y del Derecho</v>
      </c>
      <c r="D151" s="333" t="s">
        <v>412</v>
      </c>
      <c r="E151" s="203" t="s">
        <v>41</v>
      </c>
      <c r="F151" s="203"/>
      <c r="G151" s="204" t="s">
        <v>413</v>
      </c>
      <c r="H151" s="204" t="s">
        <v>16</v>
      </c>
      <c r="I151" s="204" t="s">
        <v>414</v>
      </c>
      <c r="J151" s="331" t="s">
        <v>31</v>
      </c>
      <c r="K151" s="348">
        <f>+VLOOKUP(J151,Listados!$K$8:$L$12,2,0)</f>
        <v>2</v>
      </c>
      <c r="L151" s="351" t="s">
        <v>32</v>
      </c>
      <c r="M151" s="348">
        <f>+VLOOKUP(L151,Listados!$K$13:$L$17,2,0)</f>
        <v>2</v>
      </c>
      <c r="N151" s="358" t="str">
        <f>IF(AND(J151&lt;&gt;"",L151&lt;&gt;""),VLOOKUP(J151&amp;L151,Listados!$M$3:$N$27,2,FALSE),"")</f>
        <v>Bajo</v>
      </c>
      <c r="O151" s="226" t="s">
        <v>415</v>
      </c>
      <c r="P151" s="225" t="s">
        <v>413</v>
      </c>
      <c r="Q151" s="225" t="s">
        <v>20</v>
      </c>
      <c r="R151" s="215"/>
      <c r="S151" s="27" t="str">
        <f t="shared" si="32"/>
        <v/>
      </c>
      <c r="T151" s="215"/>
      <c r="U151" s="27" t="str">
        <f t="shared" si="33"/>
        <v/>
      </c>
      <c r="V151" s="208"/>
      <c r="W151" s="27" t="str">
        <f t="shared" si="34"/>
        <v/>
      </c>
      <c r="X151" s="208"/>
      <c r="Y151" s="27" t="str">
        <f t="shared" si="35"/>
        <v/>
      </c>
      <c r="Z151" s="208"/>
      <c r="AA151" s="27" t="str">
        <f t="shared" si="36"/>
        <v/>
      </c>
      <c r="AB151" s="208"/>
      <c r="AC151" s="27" t="str">
        <f t="shared" si="37"/>
        <v/>
      </c>
      <c r="AD151" s="208"/>
      <c r="AE151" s="27" t="str">
        <f t="shared" si="38"/>
        <v/>
      </c>
      <c r="AF151" s="48" t="str">
        <f t="shared" si="39"/>
        <v/>
      </c>
      <c r="AG151" s="48" t="str">
        <f t="shared" si="40"/>
        <v/>
      </c>
      <c r="AH151" s="209"/>
      <c r="AI151" s="210" t="str">
        <f t="shared" si="41"/>
        <v>Débil</v>
      </c>
      <c r="AJ151" s="21" t="str">
        <f>IFERROR(VLOOKUP((CONCATENATE(AG151,AI151)),Listados!$U$3:$V$11,2,FALSE),"")</f>
        <v/>
      </c>
      <c r="AK151" s="48">
        <f t="shared" si="42"/>
        <v>100</v>
      </c>
      <c r="AL151" s="354">
        <f>AVERAGE(AK151:AK156)</f>
        <v>100</v>
      </c>
      <c r="AM151" s="356" t="str">
        <f>IF(AL151&lt;=50, "Débil", IF(AL151&lt;=99,"Moderado","Fuerte"))</f>
        <v>Fuerte</v>
      </c>
      <c r="AN151" s="173">
        <f>+IF(AND(Q151="Preventivo",AM151="Fuerte"),2,IF(AND(Q151="Preventivo",AM151="Moderado"),1,0))</f>
        <v>2</v>
      </c>
      <c r="AO151" s="173">
        <f t="shared" si="43"/>
        <v>1</v>
      </c>
      <c r="AP151" s="173">
        <f>+K151-AN151</f>
        <v>0</v>
      </c>
      <c r="AQ151" s="173">
        <f>+M151-AO151</f>
        <v>1</v>
      </c>
      <c r="AR151" s="345" t="str">
        <f>+VLOOKUP(MIN(AP151,AP152,AP153,AP154,AP155,AP156),Listados!$J$18:$K$24,2,TRUE)</f>
        <v>Rara Vez</v>
      </c>
      <c r="AS151" s="345" t="str">
        <f>+VLOOKUP(MIN(AQ151,AQ152,AQ153,AQ154,AQ155,AQ156),Listados!$J$27:$K$32,2,TRUE)</f>
        <v>Insignificante</v>
      </c>
      <c r="AT151" s="345" t="str">
        <f>IF(AND(AR151&lt;&gt;"",AS151&lt;&gt;""),VLOOKUP(AR151&amp;AS151,Listados!$M$3:$N$27,2,FALSE),"")</f>
        <v>Bajo</v>
      </c>
      <c r="AU151" s="345" t="str">
        <f>+VLOOKUP(AT151,Listados!$P$3:$Q$6,2,FALSE)</f>
        <v>Asumir el riesgo</v>
      </c>
      <c r="AV151" s="311"/>
      <c r="AW151" s="312"/>
      <c r="AX151" s="313"/>
      <c r="AY151" s="311"/>
      <c r="AZ151" s="312"/>
      <c r="BA151" s="313"/>
      <c r="BB151" s="311"/>
      <c r="BC151" s="312"/>
      <c r="BD151" s="313"/>
    </row>
    <row r="152" spans="1:56" ht="158.25" thickBot="1">
      <c r="A152" s="329"/>
      <c r="B152" s="331"/>
      <c r="C152" s="332"/>
      <c r="D152" s="333"/>
      <c r="E152" s="203"/>
      <c r="F152" s="203"/>
      <c r="G152" s="204" t="s">
        <v>416</v>
      </c>
      <c r="H152" s="204" t="s">
        <v>16</v>
      </c>
      <c r="I152" s="204" t="s">
        <v>417</v>
      </c>
      <c r="J152" s="331"/>
      <c r="K152" s="349"/>
      <c r="L152" s="352"/>
      <c r="M152" s="349"/>
      <c r="N152" s="359"/>
      <c r="O152" s="226" t="s">
        <v>415</v>
      </c>
      <c r="P152" s="225" t="s">
        <v>416</v>
      </c>
      <c r="Q152" s="225" t="s">
        <v>20</v>
      </c>
      <c r="R152" s="215"/>
      <c r="S152" s="27" t="str">
        <f t="shared" si="32"/>
        <v/>
      </c>
      <c r="T152" s="215"/>
      <c r="U152" s="27" t="str">
        <f t="shared" si="33"/>
        <v/>
      </c>
      <c r="V152" s="208"/>
      <c r="W152" s="27" t="str">
        <f t="shared" si="34"/>
        <v/>
      </c>
      <c r="X152" s="208"/>
      <c r="Y152" s="27" t="str">
        <f t="shared" si="35"/>
        <v/>
      </c>
      <c r="Z152" s="208"/>
      <c r="AA152" s="27" t="str">
        <f t="shared" si="36"/>
        <v/>
      </c>
      <c r="AB152" s="208"/>
      <c r="AC152" s="27" t="str">
        <f t="shared" si="37"/>
        <v/>
      </c>
      <c r="AD152" s="208"/>
      <c r="AE152" s="27" t="str">
        <f t="shared" si="38"/>
        <v/>
      </c>
      <c r="AF152" s="48" t="str">
        <f t="shared" si="39"/>
        <v/>
      </c>
      <c r="AG152" s="48" t="str">
        <f t="shared" si="40"/>
        <v/>
      </c>
      <c r="AH152" s="209"/>
      <c r="AI152" s="210" t="str">
        <f t="shared" si="41"/>
        <v>Débil</v>
      </c>
      <c r="AJ152" s="21" t="str">
        <f>IFERROR(VLOOKUP((CONCATENATE(AG152,AI152)),Listados!$U$3:$V$11,2,FALSE),"")</f>
        <v/>
      </c>
      <c r="AK152" s="48">
        <f t="shared" si="42"/>
        <v>100</v>
      </c>
      <c r="AL152" s="355"/>
      <c r="AM152" s="357"/>
      <c r="AN152" s="173">
        <f>+IF(AND(Q152="Preventivo",AM151="Fuerte"),2,IF(AND(Q152="Preventivo",AM151="Moderado"),1,0))</f>
        <v>2</v>
      </c>
      <c r="AO152" s="173">
        <f t="shared" si="43"/>
        <v>1</v>
      </c>
      <c r="AP152" s="173">
        <f>+K151-AN152</f>
        <v>0</v>
      </c>
      <c r="AQ152" s="173">
        <f>+M151-AO152</f>
        <v>1</v>
      </c>
      <c r="AR152" s="346"/>
      <c r="AS152" s="346"/>
      <c r="AT152" s="346"/>
      <c r="AU152" s="346"/>
      <c r="AV152" s="311"/>
      <c r="AW152" s="312"/>
      <c r="AX152" s="313"/>
      <c r="AY152" s="311"/>
      <c r="AZ152" s="312"/>
      <c r="BA152" s="313"/>
      <c r="BB152" s="311"/>
      <c r="BC152" s="312"/>
      <c r="BD152" s="313"/>
    </row>
    <row r="153" spans="1:56" ht="172.5" thickBot="1">
      <c r="A153" s="329"/>
      <c r="B153" s="331"/>
      <c r="C153" s="332"/>
      <c r="D153" s="333"/>
      <c r="E153" s="203"/>
      <c r="F153" s="203"/>
      <c r="G153" s="204"/>
      <c r="H153" s="204"/>
      <c r="I153" s="204"/>
      <c r="J153" s="331"/>
      <c r="K153" s="349"/>
      <c r="L153" s="352"/>
      <c r="M153" s="349"/>
      <c r="N153" s="359"/>
      <c r="O153" s="226" t="s">
        <v>418</v>
      </c>
      <c r="P153" s="225" t="s">
        <v>416</v>
      </c>
      <c r="Q153" s="225" t="s">
        <v>123</v>
      </c>
      <c r="R153" s="215"/>
      <c r="S153" s="27" t="str">
        <f t="shared" si="32"/>
        <v/>
      </c>
      <c r="T153" s="215"/>
      <c r="U153" s="27" t="str">
        <f t="shared" si="33"/>
        <v/>
      </c>
      <c r="V153" s="208"/>
      <c r="W153" s="27" t="str">
        <f t="shared" si="34"/>
        <v/>
      </c>
      <c r="X153" s="208"/>
      <c r="Y153" s="27" t="str">
        <f t="shared" si="35"/>
        <v/>
      </c>
      <c r="Z153" s="208"/>
      <c r="AA153" s="27" t="str">
        <f t="shared" si="36"/>
        <v/>
      </c>
      <c r="AB153" s="208"/>
      <c r="AC153" s="27" t="str">
        <f t="shared" si="37"/>
        <v/>
      </c>
      <c r="AD153" s="208"/>
      <c r="AE153" s="27" t="str">
        <f t="shared" si="38"/>
        <v/>
      </c>
      <c r="AF153" s="48" t="str">
        <f t="shared" si="39"/>
        <v/>
      </c>
      <c r="AG153" s="48" t="str">
        <f t="shared" si="40"/>
        <v/>
      </c>
      <c r="AH153" s="209"/>
      <c r="AI153" s="210" t="str">
        <f t="shared" si="41"/>
        <v>Débil</v>
      </c>
      <c r="AJ153" s="21" t="str">
        <f>IFERROR(VLOOKUP((CONCATENATE(AG153,AI153)),Listados!$U$3:$V$11,2,FALSE),"")</f>
        <v/>
      </c>
      <c r="AK153" s="48">
        <f t="shared" si="42"/>
        <v>100</v>
      </c>
      <c r="AL153" s="355"/>
      <c r="AM153" s="357"/>
      <c r="AN153" s="173">
        <f>+IF(AND(Q153="Preventivo",AM151="Fuerte"),2,IF(AND(Q153="Preventivo",AM151="Moderado"),1,0))</f>
        <v>0</v>
      </c>
      <c r="AO153" s="173">
        <f t="shared" si="43"/>
        <v>2</v>
      </c>
      <c r="AP153" s="173">
        <f>+K151-AN153</f>
        <v>2</v>
      </c>
      <c r="AQ153" s="173">
        <f>+M151-AO153</f>
        <v>0</v>
      </c>
      <c r="AR153" s="346"/>
      <c r="AS153" s="346"/>
      <c r="AT153" s="346"/>
      <c r="AU153" s="346"/>
      <c r="AV153" s="311"/>
      <c r="AW153" s="312"/>
      <c r="AX153" s="313"/>
      <c r="AY153" s="311"/>
      <c r="AZ153" s="312"/>
      <c r="BA153" s="313"/>
      <c r="BB153" s="311"/>
      <c r="BC153" s="312"/>
      <c r="BD153" s="313"/>
    </row>
    <row r="154" spans="1:56" ht="15.75" thickBot="1">
      <c r="A154" s="329"/>
      <c r="B154" s="331"/>
      <c r="C154" s="332"/>
      <c r="D154" s="333"/>
      <c r="E154" s="203"/>
      <c r="F154" s="203"/>
      <c r="G154" s="204"/>
      <c r="H154" s="204"/>
      <c r="I154" s="204"/>
      <c r="J154" s="331"/>
      <c r="K154" s="349"/>
      <c r="L154" s="352"/>
      <c r="M154" s="349"/>
      <c r="N154" s="359"/>
      <c r="O154" s="203"/>
      <c r="P154" s="205"/>
      <c r="Q154" s="205"/>
      <c r="R154" s="215"/>
      <c r="S154" s="27" t="str">
        <f t="shared" si="32"/>
        <v/>
      </c>
      <c r="T154" s="215"/>
      <c r="U154" s="27" t="str">
        <f t="shared" si="33"/>
        <v/>
      </c>
      <c r="V154" s="208"/>
      <c r="W154" s="27" t="str">
        <f t="shared" si="34"/>
        <v/>
      </c>
      <c r="X154" s="208"/>
      <c r="Y154" s="27" t="str">
        <f t="shared" si="35"/>
        <v/>
      </c>
      <c r="Z154" s="208"/>
      <c r="AA154" s="27" t="str">
        <f t="shared" si="36"/>
        <v/>
      </c>
      <c r="AB154" s="208"/>
      <c r="AC154" s="27" t="str">
        <f t="shared" si="37"/>
        <v/>
      </c>
      <c r="AD154" s="208"/>
      <c r="AE154" s="27" t="str">
        <f t="shared" si="38"/>
        <v/>
      </c>
      <c r="AF154" s="48" t="str">
        <f t="shared" si="39"/>
        <v/>
      </c>
      <c r="AG154" s="48" t="str">
        <f t="shared" si="40"/>
        <v/>
      </c>
      <c r="AH154" s="209"/>
      <c r="AI154" s="210" t="str">
        <f t="shared" si="41"/>
        <v>Débil</v>
      </c>
      <c r="AJ154" s="21" t="str">
        <f>IFERROR(VLOOKUP((CONCATENATE(AG154,AI154)),Listados!$U$3:$V$11,2,FALSE),"")</f>
        <v/>
      </c>
      <c r="AK154" s="48">
        <f t="shared" si="42"/>
        <v>100</v>
      </c>
      <c r="AL154" s="355"/>
      <c r="AM154" s="357"/>
      <c r="AN154" s="173">
        <f>+IF(AND(Q154="Preventivo",AM151="Fuerte"),2,IF(AND(Q154="Preventivo",AM151="Moderado"),1,0))</f>
        <v>0</v>
      </c>
      <c r="AO154" s="173">
        <f t="shared" si="43"/>
        <v>0</v>
      </c>
      <c r="AP154" s="173">
        <f>+K151-AN154</f>
        <v>2</v>
      </c>
      <c r="AQ154" s="173">
        <f>+M151-AO154</f>
        <v>2</v>
      </c>
      <c r="AR154" s="346"/>
      <c r="AS154" s="346"/>
      <c r="AT154" s="346"/>
      <c r="AU154" s="346"/>
      <c r="AV154" s="311"/>
      <c r="AW154" s="312"/>
      <c r="AX154" s="313"/>
      <c r="AY154" s="311"/>
      <c r="AZ154" s="312"/>
      <c r="BA154" s="313"/>
      <c r="BB154" s="311"/>
      <c r="BC154" s="312"/>
      <c r="BD154" s="313"/>
    </row>
    <row r="155" spans="1:56" ht="15.75" thickBot="1">
      <c r="A155" s="329"/>
      <c r="B155" s="331"/>
      <c r="C155" s="332"/>
      <c r="D155" s="333"/>
      <c r="E155" s="203"/>
      <c r="F155" s="203"/>
      <c r="G155" s="204"/>
      <c r="H155" s="204"/>
      <c r="I155" s="204"/>
      <c r="J155" s="331"/>
      <c r="K155" s="349"/>
      <c r="L155" s="352"/>
      <c r="M155" s="349"/>
      <c r="N155" s="359"/>
      <c r="O155" s="203"/>
      <c r="P155" s="205"/>
      <c r="Q155" s="205"/>
      <c r="R155" s="215"/>
      <c r="S155" s="27" t="str">
        <f t="shared" si="32"/>
        <v/>
      </c>
      <c r="T155" s="215"/>
      <c r="U155" s="27" t="str">
        <f t="shared" si="33"/>
        <v/>
      </c>
      <c r="V155" s="208"/>
      <c r="W155" s="27" t="str">
        <f t="shared" si="34"/>
        <v/>
      </c>
      <c r="X155" s="208"/>
      <c r="Y155" s="27" t="str">
        <f t="shared" si="35"/>
        <v/>
      </c>
      <c r="Z155" s="208"/>
      <c r="AA155" s="27" t="str">
        <f t="shared" si="36"/>
        <v/>
      </c>
      <c r="AB155" s="208"/>
      <c r="AC155" s="27" t="str">
        <f t="shared" si="37"/>
        <v/>
      </c>
      <c r="AD155" s="208"/>
      <c r="AE155" s="27" t="str">
        <f t="shared" si="38"/>
        <v/>
      </c>
      <c r="AF155" s="48" t="str">
        <f t="shared" si="39"/>
        <v/>
      </c>
      <c r="AG155" s="48" t="str">
        <f t="shared" si="40"/>
        <v/>
      </c>
      <c r="AH155" s="209"/>
      <c r="AI155" s="210" t="str">
        <f t="shared" si="41"/>
        <v>Débil</v>
      </c>
      <c r="AJ155" s="21" t="str">
        <f>IFERROR(VLOOKUP((CONCATENATE(AG155,AI155)),Listados!$U$3:$V$11,2,FALSE),"")</f>
        <v/>
      </c>
      <c r="AK155" s="48">
        <f t="shared" si="42"/>
        <v>100</v>
      </c>
      <c r="AL155" s="355"/>
      <c r="AM155" s="357"/>
      <c r="AN155" s="173">
        <f>+IF(AND(Q155="Preventivo",AM151="Fuerte"),2,IF(AND(Q155="Preventivo",AM151="Moderado"),1,0))</f>
        <v>0</v>
      </c>
      <c r="AO155" s="173">
        <f t="shared" si="43"/>
        <v>0</v>
      </c>
      <c r="AP155" s="173">
        <f>+K151-AN155</f>
        <v>2</v>
      </c>
      <c r="AQ155" s="173">
        <f>+M151-AO155</f>
        <v>2</v>
      </c>
      <c r="AR155" s="346"/>
      <c r="AS155" s="346"/>
      <c r="AT155" s="346"/>
      <c r="AU155" s="346"/>
      <c r="AV155" s="311"/>
      <c r="AW155" s="312"/>
      <c r="AX155" s="313"/>
      <c r="AY155" s="311"/>
      <c r="AZ155" s="312"/>
      <c r="BA155" s="313"/>
      <c r="BB155" s="311"/>
      <c r="BC155" s="312"/>
      <c r="BD155" s="313"/>
    </row>
    <row r="156" spans="1:56" ht="15.75" thickBot="1">
      <c r="A156" s="330"/>
      <c r="B156" s="331"/>
      <c r="C156" s="332"/>
      <c r="D156" s="333"/>
      <c r="E156" s="203"/>
      <c r="F156" s="203"/>
      <c r="G156" s="204"/>
      <c r="H156" s="204"/>
      <c r="I156" s="204"/>
      <c r="J156" s="331"/>
      <c r="K156" s="350"/>
      <c r="L156" s="352"/>
      <c r="M156" s="350"/>
      <c r="N156" s="359"/>
      <c r="O156" s="203"/>
      <c r="P156" s="205"/>
      <c r="Q156" s="205"/>
      <c r="R156" s="215"/>
      <c r="S156" s="27" t="str">
        <f t="shared" si="32"/>
        <v/>
      </c>
      <c r="T156" s="215"/>
      <c r="U156" s="27" t="str">
        <f t="shared" si="33"/>
        <v/>
      </c>
      <c r="V156" s="208"/>
      <c r="W156" s="27" t="str">
        <f t="shared" si="34"/>
        <v/>
      </c>
      <c r="X156" s="208"/>
      <c r="Y156" s="27" t="str">
        <f t="shared" si="35"/>
        <v/>
      </c>
      <c r="Z156" s="208"/>
      <c r="AA156" s="27" t="str">
        <f t="shared" si="36"/>
        <v/>
      </c>
      <c r="AB156" s="208"/>
      <c r="AC156" s="27" t="str">
        <f t="shared" si="37"/>
        <v/>
      </c>
      <c r="AD156" s="208"/>
      <c r="AE156" s="27" t="str">
        <f t="shared" si="38"/>
        <v/>
      </c>
      <c r="AF156" s="48" t="str">
        <f t="shared" si="39"/>
        <v/>
      </c>
      <c r="AG156" s="48" t="str">
        <f t="shared" si="40"/>
        <v/>
      </c>
      <c r="AH156" s="209"/>
      <c r="AI156" s="210" t="str">
        <f t="shared" si="41"/>
        <v>Débil</v>
      </c>
      <c r="AJ156" s="21" t="str">
        <f>IFERROR(VLOOKUP((CONCATENATE(AG156,AI156)),Listados!$U$3:$V$11,2,FALSE),"")</f>
        <v/>
      </c>
      <c r="AK156" s="48">
        <f t="shared" si="42"/>
        <v>100</v>
      </c>
      <c r="AL156" s="356"/>
      <c r="AM156" s="357"/>
      <c r="AN156" s="173">
        <f>+IF(AND(Q156="Preventivo",AM151="Fuerte"),2,IF(AND(Q156="Preventivo",AM151="Moderado"),1,0))</f>
        <v>0</v>
      </c>
      <c r="AO156" s="173">
        <f t="shared" si="43"/>
        <v>0</v>
      </c>
      <c r="AP156" s="173">
        <f>+K151-AN156</f>
        <v>2</v>
      </c>
      <c r="AQ156" s="173">
        <f>+M151-AO156</f>
        <v>2</v>
      </c>
      <c r="AR156" s="347"/>
      <c r="AS156" s="347"/>
      <c r="AT156" s="347"/>
      <c r="AU156" s="347"/>
      <c r="AV156" s="311"/>
      <c r="AW156" s="312"/>
      <c r="AX156" s="313"/>
      <c r="AY156" s="311"/>
      <c r="AZ156" s="312"/>
      <c r="BA156" s="313"/>
      <c r="BB156" s="311"/>
      <c r="BC156" s="312"/>
      <c r="BD156" s="313"/>
    </row>
    <row r="157" spans="1:56" ht="186.75" thickBot="1">
      <c r="A157" s="328">
        <v>26</v>
      </c>
      <c r="B157" s="331" t="s">
        <v>68</v>
      </c>
      <c r="C157" s="332" t="str">
        <f>IFERROR(VLOOKUP(B157,Listados!B$3:C$20,2,FALSE),"")</f>
        <v>Gestión contra la Criminalidad y la Reincidencia</v>
      </c>
      <c r="D157" s="333" t="s">
        <v>419</v>
      </c>
      <c r="E157" s="203" t="s">
        <v>15</v>
      </c>
      <c r="F157" s="203" t="s">
        <v>178</v>
      </c>
      <c r="G157" s="204" t="s">
        <v>420</v>
      </c>
      <c r="H157" s="204" t="s">
        <v>16</v>
      </c>
      <c r="I157" s="204" t="s">
        <v>421</v>
      </c>
      <c r="J157" s="331" t="s">
        <v>21</v>
      </c>
      <c r="K157" s="348">
        <f>+VLOOKUP(J157,Listados!$K$8:$L$12,2,0)</f>
        <v>1</v>
      </c>
      <c r="L157" s="351" t="s">
        <v>64</v>
      </c>
      <c r="M157" s="348">
        <f>+VLOOKUP(L157,Listados!$K$13:$L$17,2,0)</f>
        <v>5</v>
      </c>
      <c r="N157" s="358" t="str">
        <f>IF(AND(J157&lt;&gt;"",L157&lt;&gt;""),VLOOKUP(J157&amp;L157,Listados!$M$3:$N$27,2,FALSE),"")</f>
        <v>Extremo</v>
      </c>
      <c r="O157" s="205" t="s">
        <v>422</v>
      </c>
      <c r="P157" s="203" t="s">
        <v>420</v>
      </c>
      <c r="Q157" s="225" t="s">
        <v>20</v>
      </c>
      <c r="R157" s="215"/>
      <c r="S157" s="27" t="str">
        <f t="shared" si="32"/>
        <v/>
      </c>
      <c r="T157" s="215"/>
      <c r="U157" s="27" t="str">
        <f t="shared" si="33"/>
        <v/>
      </c>
      <c r="V157" s="208"/>
      <c r="W157" s="27" t="str">
        <f t="shared" si="34"/>
        <v/>
      </c>
      <c r="X157" s="208"/>
      <c r="Y157" s="27" t="str">
        <f t="shared" si="35"/>
        <v/>
      </c>
      <c r="Z157" s="208"/>
      <c r="AA157" s="27" t="str">
        <f t="shared" si="36"/>
        <v/>
      </c>
      <c r="AB157" s="208"/>
      <c r="AC157" s="27" t="str">
        <f t="shared" si="37"/>
        <v/>
      </c>
      <c r="AD157" s="208"/>
      <c r="AE157" s="27" t="str">
        <f t="shared" si="38"/>
        <v/>
      </c>
      <c r="AF157" s="48" t="str">
        <f t="shared" si="39"/>
        <v/>
      </c>
      <c r="AG157" s="48" t="str">
        <f t="shared" si="40"/>
        <v/>
      </c>
      <c r="AH157" s="209"/>
      <c r="AI157" s="210" t="str">
        <f t="shared" si="41"/>
        <v>Débil</v>
      </c>
      <c r="AJ157" s="21" t="str">
        <f>IFERROR(VLOOKUP((CONCATENATE(AG157,AI157)),Listados!$U$3:$V$11,2,FALSE),"")</f>
        <v/>
      </c>
      <c r="AK157" s="48">
        <f t="shared" si="42"/>
        <v>100</v>
      </c>
      <c r="AL157" s="354">
        <f>AVERAGE(AK157:AK162)</f>
        <v>100</v>
      </c>
      <c r="AM157" s="356" t="str">
        <f>IF(AL157&lt;=50, "Débil", IF(AL157&lt;=99,"Moderado","Fuerte"))</f>
        <v>Fuerte</v>
      </c>
      <c r="AN157" s="173">
        <f>+IF(AND(Q157="Preventivo",AM157="Fuerte"),2,IF(AND(Q157="Preventivo",AM157="Moderado"),1,0))</f>
        <v>2</v>
      </c>
      <c r="AO157" s="173">
        <f t="shared" si="43"/>
        <v>1</v>
      </c>
      <c r="AP157" s="173">
        <f>+K157-AN157</f>
        <v>-1</v>
      </c>
      <c r="AQ157" s="173">
        <f>+M157-AO157</f>
        <v>4</v>
      </c>
      <c r="AR157" s="345" t="str">
        <f>+VLOOKUP(MIN(AP157,AP158,AP159,AP160,AP161,AP162),Listados!$J$18:$K$24,2,TRUE)</f>
        <v>Rara Vez</v>
      </c>
      <c r="AS157" s="345" t="str">
        <f>+VLOOKUP(MIN(AQ157,AQ158,AQ159,AQ160,AQ161,AQ162),Listados!$J$27:$K$32,2,TRUE)</f>
        <v>Mayor</v>
      </c>
      <c r="AT157" s="345" t="str">
        <f>IF(AND(AR157&lt;&gt;"",AS157&lt;&gt;""),VLOOKUP(AR157&amp;AS157,Listados!$M$3:$N$27,2,FALSE),"")</f>
        <v>Alto</v>
      </c>
      <c r="AU157" s="345" t="str">
        <f>+VLOOKUP(AT157,Listados!$P$3:$Q$6,2,FALSE)</f>
        <v>Reducir el riesgo</v>
      </c>
      <c r="AV157" s="311"/>
      <c r="AW157" s="312"/>
      <c r="AX157" s="313"/>
      <c r="AY157" s="311"/>
      <c r="AZ157" s="312"/>
      <c r="BA157" s="313"/>
      <c r="BB157" s="311"/>
      <c r="BC157" s="312"/>
      <c r="BD157" s="313"/>
    </row>
    <row r="158" spans="1:56" ht="186" thickBot="1">
      <c r="A158" s="329"/>
      <c r="B158" s="331"/>
      <c r="C158" s="332"/>
      <c r="D158" s="333"/>
      <c r="E158" s="203"/>
      <c r="F158" s="203"/>
      <c r="G158" s="204" t="s">
        <v>423</v>
      </c>
      <c r="H158" s="204" t="s">
        <v>16</v>
      </c>
      <c r="I158" s="204" t="s">
        <v>424</v>
      </c>
      <c r="J158" s="331"/>
      <c r="K158" s="349"/>
      <c r="L158" s="352"/>
      <c r="M158" s="349"/>
      <c r="N158" s="359"/>
      <c r="O158" s="204" t="s">
        <v>425</v>
      </c>
      <c r="P158" s="203" t="s">
        <v>420</v>
      </c>
      <c r="Q158" s="225" t="s">
        <v>20</v>
      </c>
      <c r="R158" s="215"/>
      <c r="S158" s="27" t="str">
        <f t="shared" si="32"/>
        <v/>
      </c>
      <c r="T158" s="215"/>
      <c r="U158" s="27" t="str">
        <f t="shared" si="33"/>
        <v/>
      </c>
      <c r="V158" s="208"/>
      <c r="W158" s="27" t="str">
        <f t="shared" si="34"/>
        <v/>
      </c>
      <c r="X158" s="208"/>
      <c r="Y158" s="27" t="str">
        <f t="shared" si="35"/>
        <v/>
      </c>
      <c r="Z158" s="208"/>
      <c r="AA158" s="27" t="str">
        <f t="shared" si="36"/>
        <v/>
      </c>
      <c r="AB158" s="208"/>
      <c r="AC158" s="27" t="str">
        <f t="shared" si="37"/>
        <v/>
      </c>
      <c r="AD158" s="208"/>
      <c r="AE158" s="27" t="str">
        <f t="shared" si="38"/>
        <v/>
      </c>
      <c r="AF158" s="48" t="str">
        <f t="shared" si="39"/>
        <v/>
      </c>
      <c r="AG158" s="48" t="str">
        <f t="shared" si="40"/>
        <v/>
      </c>
      <c r="AH158" s="209"/>
      <c r="AI158" s="210" t="str">
        <f t="shared" si="41"/>
        <v>Débil</v>
      </c>
      <c r="AJ158" s="21" t="str">
        <f>IFERROR(VLOOKUP((CONCATENATE(AG158,AI158)),Listados!$U$3:$V$11,2,FALSE),"")</f>
        <v/>
      </c>
      <c r="AK158" s="48">
        <f t="shared" si="42"/>
        <v>100</v>
      </c>
      <c r="AL158" s="355"/>
      <c r="AM158" s="357"/>
      <c r="AN158" s="173">
        <f>+IF(AND(Q158="Preventivo",AM157="Fuerte"),2,IF(AND(Q158="Preventivo",AM157="Moderado"),1,0))</f>
        <v>2</v>
      </c>
      <c r="AO158" s="173">
        <f t="shared" si="43"/>
        <v>1</v>
      </c>
      <c r="AP158" s="173">
        <f>+K157-AN158</f>
        <v>-1</v>
      </c>
      <c r="AQ158" s="173">
        <f>+M157-AO158</f>
        <v>4</v>
      </c>
      <c r="AR158" s="346"/>
      <c r="AS158" s="346"/>
      <c r="AT158" s="346"/>
      <c r="AU158" s="346"/>
      <c r="AV158" s="311"/>
      <c r="AW158" s="312"/>
      <c r="AX158" s="313"/>
      <c r="AY158" s="311"/>
      <c r="AZ158" s="312"/>
      <c r="BA158" s="313"/>
      <c r="BB158" s="311"/>
      <c r="BC158" s="312"/>
      <c r="BD158" s="313"/>
    </row>
    <row r="159" spans="1:56" ht="215.25" thickBot="1">
      <c r="A159" s="329"/>
      <c r="B159" s="331"/>
      <c r="C159" s="332"/>
      <c r="D159" s="333"/>
      <c r="E159" s="203"/>
      <c r="F159" s="203"/>
      <c r="G159" s="204" t="s">
        <v>426</v>
      </c>
      <c r="H159" s="204" t="s">
        <v>16</v>
      </c>
      <c r="I159" s="204" t="s">
        <v>236</v>
      </c>
      <c r="J159" s="331"/>
      <c r="K159" s="349"/>
      <c r="L159" s="352"/>
      <c r="M159" s="349"/>
      <c r="N159" s="359"/>
      <c r="O159" s="205" t="s">
        <v>427</v>
      </c>
      <c r="P159" s="203" t="s">
        <v>423</v>
      </c>
      <c r="Q159" s="225" t="s">
        <v>20</v>
      </c>
      <c r="R159" s="215"/>
      <c r="S159" s="27" t="str">
        <f t="shared" si="32"/>
        <v/>
      </c>
      <c r="T159" s="215"/>
      <c r="U159" s="27" t="str">
        <f t="shared" si="33"/>
        <v/>
      </c>
      <c r="V159" s="208"/>
      <c r="W159" s="27" t="str">
        <f t="shared" si="34"/>
        <v/>
      </c>
      <c r="X159" s="208"/>
      <c r="Y159" s="27" t="str">
        <f t="shared" si="35"/>
        <v/>
      </c>
      <c r="Z159" s="208"/>
      <c r="AA159" s="27" t="str">
        <f t="shared" si="36"/>
        <v/>
      </c>
      <c r="AB159" s="208"/>
      <c r="AC159" s="27" t="str">
        <f t="shared" si="37"/>
        <v/>
      </c>
      <c r="AD159" s="208"/>
      <c r="AE159" s="27" t="str">
        <f t="shared" si="38"/>
        <v/>
      </c>
      <c r="AF159" s="48" t="str">
        <f t="shared" si="39"/>
        <v/>
      </c>
      <c r="AG159" s="48" t="str">
        <f t="shared" si="40"/>
        <v/>
      </c>
      <c r="AH159" s="209"/>
      <c r="AI159" s="210" t="str">
        <f t="shared" si="41"/>
        <v>Débil</v>
      </c>
      <c r="AJ159" s="21" t="str">
        <f>IFERROR(VLOOKUP((CONCATENATE(AG159,AI159)),Listados!$U$3:$V$11,2,FALSE),"")</f>
        <v/>
      </c>
      <c r="AK159" s="48">
        <f t="shared" si="42"/>
        <v>100</v>
      </c>
      <c r="AL159" s="355"/>
      <c r="AM159" s="357"/>
      <c r="AN159" s="173">
        <f>+IF(AND(Q159="Preventivo",AM157="Fuerte"),2,IF(AND(Q159="Preventivo",AM157="Moderado"),1,0))</f>
        <v>2</v>
      </c>
      <c r="AO159" s="173">
        <f t="shared" si="43"/>
        <v>1</v>
      </c>
      <c r="AP159" s="173">
        <f>+K157-AN159</f>
        <v>-1</v>
      </c>
      <c r="AQ159" s="173">
        <f>+M157-AO159</f>
        <v>4</v>
      </c>
      <c r="AR159" s="346"/>
      <c r="AS159" s="346"/>
      <c r="AT159" s="346"/>
      <c r="AU159" s="346"/>
      <c r="AV159" s="311"/>
      <c r="AW159" s="312"/>
      <c r="AX159" s="313"/>
      <c r="AY159" s="311"/>
      <c r="AZ159" s="312"/>
      <c r="BA159" s="313"/>
      <c r="BB159" s="311"/>
      <c r="BC159" s="312"/>
      <c r="BD159" s="313"/>
    </row>
    <row r="160" spans="1:56" ht="215.25" thickBot="1">
      <c r="A160" s="329"/>
      <c r="B160" s="331"/>
      <c r="C160" s="332"/>
      <c r="D160" s="333"/>
      <c r="E160" s="203"/>
      <c r="F160" s="203"/>
      <c r="G160" s="204"/>
      <c r="H160" s="204"/>
      <c r="I160" s="204"/>
      <c r="J160" s="331"/>
      <c r="K160" s="349"/>
      <c r="L160" s="352"/>
      <c r="M160" s="349"/>
      <c r="N160" s="359"/>
      <c r="O160" s="205" t="s">
        <v>427</v>
      </c>
      <c r="P160" s="203" t="s">
        <v>426</v>
      </c>
      <c r="Q160" s="225" t="s">
        <v>20</v>
      </c>
      <c r="R160" s="215"/>
      <c r="S160" s="27" t="str">
        <f t="shared" si="32"/>
        <v/>
      </c>
      <c r="T160" s="215"/>
      <c r="U160" s="27" t="str">
        <f t="shared" si="33"/>
        <v/>
      </c>
      <c r="V160" s="208"/>
      <c r="W160" s="27" t="str">
        <f t="shared" si="34"/>
        <v/>
      </c>
      <c r="X160" s="208"/>
      <c r="Y160" s="27" t="str">
        <f t="shared" si="35"/>
        <v/>
      </c>
      <c r="Z160" s="208"/>
      <c r="AA160" s="27" t="str">
        <f t="shared" si="36"/>
        <v/>
      </c>
      <c r="AB160" s="208"/>
      <c r="AC160" s="27" t="str">
        <f t="shared" si="37"/>
        <v/>
      </c>
      <c r="AD160" s="208"/>
      <c r="AE160" s="27" t="str">
        <f t="shared" si="38"/>
        <v/>
      </c>
      <c r="AF160" s="48" t="str">
        <f t="shared" si="39"/>
        <v/>
      </c>
      <c r="AG160" s="48" t="str">
        <f t="shared" si="40"/>
        <v/>
      </c>
      <c r="AH160" s="209"/>
      <c r="AI160" s="210" t="str">
        <f t="shared" si="41"/>
        <v>Débil</v>
      </c>
      <c r="AJ160" s="21" t="str">
        <f>IFERROR(VLOOKUP((CONCATENATE(AG160,AI160)),Listados!$U$3:$V$11,2,FALSE),"")</f>
        <v/>
      </c>
      <c r="AK160" s="48">
        <f t="shared" si="42"/>
        <v>100</v>
      </c>
      <c r="AL160" s="355"/>
      <c r="AM160" s="357"/>
      <c r="AN160" s="173">
        <f>+IF(AND(Q160="Preventivo",AM157="Fuerte"),2,IF(AND(Q160="Preventivo",AM157="Moderado"),1,0))</f>
        <v>2</v>
      </c>
      <c r="AO160" s="173">
        <f t="shared" si="43"/>
        <v>1</v>
      </c>
      <c r="AP160" s="173">
        <f>+K157-AN160</f>
        <v>-1</v>
      </c>
      <c r="AQ160" s="173">
        <f>+M157-AO160</f>
        <v>4</v>
      </c>
      <c r="AR160" s="346"/>
      <c r="AS160" s="346"/>
      <c r="AT160" s="346"/>
      <c r="AU160" s="346"/>
      <c r="AV160" s="311"/>
      <c r="AW160" s="312"/>
      <c r="AX160" s="313"/>
      <c r="AY160" s="311"/>
      <c r="AZ160" s="312"/>
      <c r="BA160" s="313"/>
      <c r="BB160" s="311"/>
      <c r="BC160" s="312"/>
      <c r="BD160" s="313"/>
    </row>
    <row r="161" spans="1:56" ht="15.75" thickBot="1">
      <c r="A161" s="329"/>
      <c r="B161" s="331"/>
      <c r="C161" s="332"/>
      <c r="D161" s="333"/>
      <c r="E161" s="203"/>
      <c r="F161" s="203"/>
      <c r="G161" s="204"/>
      <c r="H161" s="204"/>
      <c r="I161" s="204"/>
      <c r="J161" s="331"/>
      <c r="K161" s="349"/>
      <c r="L161" s="352"/>
      <c r="M161" s="349"/>
      <c r="N161" s="359"/>
      <c r="O161" s="203"/>
      <c r="P161" s="205"/>
      <c r="Q161" s="205"/>
      <c r="R161" s="215"/>
      <c r="S161" s="27" t="str">
        <f t="shared" si="32"/>
        <v/>
      </c>
      <c r="T161" s="215"/>
      <c r="U161" s="27" t="str">
        <f t="shared" si="33"/>
        <v/>
      </c>
      <c r="V161" s="208"/>
      <c r="W161" s="27" t="str">
        <f t="shared" si="34"/>
        <v/>
      </c>
      <c r="X161" s="208"/>
      <c r="Y161" s="27" t="str">
        <f t="shared" si="35"/>
        <v/>
      </c>
      <c r="Z161" s="208"/>
      <c r="AA161" s="27" t="str">
        <f t="shared" si="36"/>
        <v/>
      </c>
      <c r="AB161" s="208"/>
      <c r="AC161" s="27" t="str">
        <f t="shared" si="37"/>
        <v/>
      </c>
      <c r="AD161" s="208"/>
      <c r="AE161" s="27" t="str">
        <f t="shared" si="38"/>
        <v/>
      </c>
      <c r="AF161" s="48" t="str">
        <f t="shared" si="39"/>
        <v/>
      </c>
      <c r="AG161" s="48" t="str">
        <f t="shared" si="40"/>
        <v/>
      </c>
      <c r="AH161" s="209"/>
      <c r="AI161" s="210" t="str">
        <f t="shared" si="41"/>
        <v>Débil</v>
      </c>
      <c r="AJ161" s="21" t="str">
        <f>IFERROR(VLOOKUP((CONCATENATE(AG161,AI161)),Listados!$U$3:$V$11,2,FALSE),"")</f>
        <v/>
      </c>
      <c r="AK161" s="48">
        <f t="shared" si="42"/>
        <v>100</v>
      </c>
      <c r="AL161" s="355"/>
      <c r="AM161" s="357"/>
      <c r="AN161" s="173">
        <f>+IF(AND(Q161="Preventivo",AM157="Fuerte"),2,IF(AND(Q161="Preventivo",AM157="Moderado"),1,0))</f>
        <v>0</v>
      </c>
      <c r="AO161" s="173">
        <f t="shared" si="43"/>
        <v>0</v>
      </c>
      <c r="AP161" s="173">
        <f>+K157-AN161</f>
        <v>1</v>
      </c>
      <c r="AQ161" s="173">
        <f>+M157-AO161</f>
        <v>5</v>
      </c>
      <c r="AR161" s="346"/>
      <c r="AS161" s="346"/>
      <c r="AT161" s="346"/>
      <c r="AU161" s="346"/>
      <c r="AV161" s="311"/>
      <c r="AW161" s="312"/>
      <c r="AX161" s="313"/>
      <c r="AY161" s="311"/>
      <c r="AZ161" s="312"/>
      <c r="BA161" s="313"/>
      <c r="BB161" s="311"/>
      <c r="BC161" s="312"/>
      <c r="BD161" s="313"/>
    </row>
    <row r="162" spans="1:56" ht="15.75" thickBot="1">
      <c r="A162" s="330"/>
      <c r="B162" s="331"/>
      <c r="C162" s="332"/>
      <c r="D162" s="333"/>
      <c r="E162" s="203"/>
      <c r="F162" s="203"/>
      <c r="G162" s="204"/>
      <c r="H162" s="204"/>
      <c r="I162" s="204"/>
      <c r="J162" s="331"/>
      <c r="K162" s="350"/>
      <c r="L162" s="352"/>
      <c r="M162" s="350"/>
      <c r="N162" s="359"/>
      <c r="O162" s="203"/>
      <c r="P162" s="205"/>
      <c r="Q162" s="205"/>
      <c r="R162" s="215"/>
      <c r="S162" s="27" t="str">
        <f t="shared" si="32"/>
        <v/>
      </c>
      <c r="T162" s="215"/>
      <c r="U162" s="27" t="str">
        <f t="shared" si="33"/>
        <v/>
      </c>
      <c r="V162" s="208"/>
      <c r="W162" s="27" t="str">
        <f t="shared" si="34"/>
        <v/>
      </c>
      <c r="X162" s="208"/>
      <c r="Y162" s="27" t="str">
        <f t="shared" si="35"/>
        <v/>
      </c>
      <c r="Z162" s="208"/>
      <c r="AA162" s="27" t="str">
        <f t="shared" si="36"/>
        <v/>
      </c>
      <c r="AB162" s="208"/>
      <c r="AC162" s="27" t="str">
        <f t="shared" si="37"/>
        <v/>
      </c>
      <c r="AD162" s="208"/>
      <c r="AE162" s="27" t="str">
        <f t="shared" si="38"/>
        <v/>
      </c>
      <c r="AF162" s="48" t="str">
        <f t="shared" si="39"/>
        <v/>
      </c>
      <c r="AG162" s="48" t="str">
        <f t="shared" si="40"/>
        <v/>
      </c>
      <c r="AH162" s="209"/>
      <c r="AI162" s="210" t="str">
        <f t="shared" si="41"/>
        <v>Débil</v>
      </c>
      <c r="AJ162" s="21" t="str">
        <f>IFERROR(VLOOKUP((CONCATENATE(AG162,AI162)),Listados!$U$3:$V$11,2,FALSE),"")</f>
        <v/>
      </c>
      <c r="AK162" s="48">
        <f t="shared" si="42"/>
        <v>100</v>
      </c>
      <c r="AL162" s="356"/>
      <c r="AM162" s="357"/>
      <c r="AN162" s="173">
        <f>+IF(AND(Q162="Preventivo",AM157="Fuerte"),2,IF(AND(Q162="Preventivo",AM157="Moderado"),1,0))</f>
        <v>0</v>
      </c>
      <c r="AO162" s="173">
        <f t="shared" si="43"/>
        <v>0</v>
      </c>
      <c r="AP162" s="173">
        <f>+K157-AN162</f>
        <v>1</v>
      </c>
      <c r="AQ162" s="173">
        <f>+M157-AO162</f>
        <v>5</v>
      </c>
      <c r="AR162" s="347"/>
      <c r="AS162" s="347"/>
      <c r="AT162" s="347"/>
      <c r="AU162" s="347"/>
      <c r="AV162" s="311"/>
      <c r="AW162" s="312"/>
      <c r="AX162" s="313"/>
      <c r="AY162" s="311"/>
      <c r="AZ162" s="312"/>
      <c r="BA162" s="313"/>
      <c r="BB162" s="311"/>
      <c r="BC162" s="312"/>
      <c r="BD162" s="313"/>
    </row>
    <row r="163" spans="1:56" ht="214.5" thickBot="1">
      <c r="A163" s="328">
        <v>27</v>
      </c>
      <c r="B163" s="331" t="s">
        <v>68</v>
      </c>
      <c r="C163" s="332" t="str">
        <f>IFERROR(VLOOKUP(B163,Listados!B$3:C$20,2,FALSE),"")</f>
        <v>Gestión contra la Criminalidad y la Reincidencia</v>
      </c>
      <c r="D163" s="333" t="s">
        <v>428</v>
      </c>
      <c r="E163" s="203" t="s">
        <v>15</v>
      </c>
      <c r="F163" s="203" t="s">
        <v>178</v>
      </c>
      <c r="G163" s="204" t="s">
        <v>423</v>
      </c>
      <c r="H163" s="204" t="s">
        <v>16</v>
      </c>
      <c r="I163" s="204" t="s">
        <v>424</v>
      </c>
      <c r="J163" s="331" t="s">
        <v>31</v>
      </c>
      <c r="K163" s="348">
        <f>+VLOOKUP(J163,Listados!$K$8:$L$12,2,0)</f>
        <v>2</v>
      </c>
      <c r="L163" s="351" t="s">
        <v>32</v>
      </c>
      <c r="M163" s="348">
        <f>+VLOOKUP(L163,Listados!$K$13:$L$17,2,0)</f>
        <v>2</v>
      </c>
      <c r="N163" s="358" t="str">
        <f>IF(AND(J163&lt;&gt;"",L163&lt;&gt;""),VLOOKUP(J163&amp;L163,Listados!$M$3:$N$27,2,FALSE),"")</f>
        <v>Bajo</v>
      </c>
      <c r="O163" s="204" t="s">
        <v>427</v>
      </c>
      <c r="P163" s="204" t="s">
        <v>423</v>
      </c>
      <c r="Q163" s="225" t="s">
        <v>20</v>
      </c>
      <c r="R163" s="215"/>
      <c r="S163" s="27" t="str">
        <f t="shared" si="32"/>
        <v/>
      </c>
      <c r="T163" s="215"/>
      <c r="U163" s="27" t="str">
        <f t="shared" si="33"/>
        <v/>
      </c>
      <c r="V163" s="208"/>
      <c r="W163" s="27" t="str">
        <f t="shared" si="34"/>
        <v/>
      </c>
      <c r="X163" s="208"/>
      <c r="Y163" s="27" t="str">
        <f t="shared" si="35"/>
        <v/>
      </c>
      <c r="Z163" s="208"/>
      <c r="AA163" s="27" t="str">
        <f t="shared" si="36"/>
        <v/>
      </c>
      <c r="AB163" s="208"/>
      <c r="AC163" s="27" t="str">
        <f t="shared" si="37"/>
        <v/>
      </c>
      <c r="AD163" s="208"/>
      <c r="AE163" s="27" t="str">
        <f t="shared" si="38"/>
        <v/>
      </c>
      <c r="AF163" s="48" t="str">
        <f t="shared" si="39"/>
        <v/>
      </c>
      <c r="AG163" s="48" t="str">
        <f t="shared" si="40"/>
        <v/>
      </c>
      <c r="AH163" s="209"/>
      <c r="AI163" s="210" t="str">
        <f t="shared" si="41"/>
        <v>Débil</v>
      </c>
      <c r="AJ163" s="21" t="str">
        <f>IFERROR(VLOOKUP((CONCATENATE(AG163,AI163)),Listados!$U$3:$V$11,2,FALSE),"")</f>
        <v/>
      </c>
      <c r="AK163" s="48">
        <f t="shared" si="42"/>
        <v>100</v>
      </c>
      <c r="AL163" s="354">
        <f>AVERAGE(AK163:AK168)</f>
        <v>100</v>
      </c>
      <c r="AM163" s="356" t="str">
        <f>IF(AL163&lt;=50, "Débil", IF(AL163&lt;=99,"Moderado","Fuerte"))</f>
        <v>Fuerte</v>
      </c>
      <c r="AN163" s="173">
        <f>+IF(AND(Q163="Preventivo",AM163="Fuerte"),2,IF(AND(Q163="Preventivo",AM163="Moderado"),1,0))</f>
        <v>2</v>
      </c>
      <c r="AO163" s="173">
        <f t="shared" si="43"/>
        <v>1</v>
      </c>
      <c r="AP163" s="173">
        <f>+K163-AN163</f>
        <v>0</v>
      </c>
      <c r="AQ163" s="173">
        <f>+M163-AO163</f>
        <v>1</v>
      </c>
      <c r="AR163" s="345" t="str">
        <f>+VLOOKUP(MIN(AP163,AP164,AP165,AP166,AP167,AP168),Listados!$J$18:$K$24,2,TRUE)</f>
        <v>Rara Vez</v>
      </c>
      <c r="AS163" s="345" t="str">
        <f>+VLOOKUP(MIN(AQ163,AQ164,AQ165,AQ166,AQ167,AQ168),Listados!$J$27:$K$32,2,TRUE)</f>
        <v>Insignificante</v>
      </c>
      <c r="AT163" s="345" t="str">
        <f>IF(AND(AR163&lt;&gt;"",AS163&lt;&gt;""),VLOOKUP(AR163&amp;AS163,Listados!$M$3:$N$27,2,FALSE),"")</f>
        <v>Bajo</v>
      </c>
      <c r="AU163" s="345" t="str">
        <f>+VLOOKUP(AT163,Listados!$P$3:$Q$6,2,FALSE)</f>
        <v>Asumir el riesgo</v>
      </c>
      <c r="AV163" s="311"/>
      <c r="AW163" s="312"/>
      <c r="AX163" s="313"/>
      <c r="AY163" s="311"/>
      <c r="AZ163" s="312"/>
      <c r="BA163" s="313"/>
      <c r="BB163" s="311"/>
      <c r="BC163" s="312"/>
      <c r="BD163" s="313"/>
    </row>
    <row r="164" spans="1:56" ht="243" thickBot="1">
      <c r="A164" s="329"/>
      <c r="B164" s="331"/>
      <c r="C164" s="332"/>
      <c r="D164" s="333"/>
      <c r="E164" s="203"/>
      <c r="F164" s="203"/>
      <c r="G164" s="204" t="s">
        <v>429</v>
      </c>
      <c r="H164" s="204" t="s">
        <v>16</v>
      </c>
      <c r="I164" s="204" t="s">
        <v>236</v>
      </c>
      <c r="J164" s="331"/>
      <c r="K164" s="349"/>
      <c r="L164" s="352"/>
      <c r="M164" s="349"/>
      <c r="N164" s="359"/>
      <c r="O164" s="204" t="s">
        <v>430</v>
      </c>
      <c r="P164" s="204" t="s">
        <v>429</v>
      </c>
      <c r="Q164" s="225" t="s">
        <v>20</v>
      </c>
      <c r="R164" s="215"/>
      <c r="S164" s="27" t="str">
        <f t="shared" si="32"/>
        <v/>
      </c>
      <c r="T164" s="215"/>
      <c r="U164" s="27" t="str">
        <f t="shared" si="33"/>
        <v/>
      </c>
      <c r="V164" s="208"/>
      <c r="W164" s="27" t="str">
        <f t="shared" si="34"/>
        <v/>
      </c>
      <c r="X164" s="208"/>
      <c r="Y164" s="27" t="str">
        <f t="shared" si="35"/>
        <v/>
      </c>
      <c r="Z164" s="208"/>
      <c r="AA164" s="27" t="str">
        <f t="shared" si="36"/>
        <v/>
      </c>
      <c r="AB164" s="208"/>
      <c r="AC164" s="27" t="str">
        <f t="shared" si="37"/>
        <v/>
      </c>
      <c r="AD164" s="208"/>
      <c r="AE164" s="27" t="str">
        <f t="shared" si="38"/>
        <v/>
      </c>
      <c r="AF164" s="48" t="str">
        <f t="shared" si="39"/>
        <v/>
      </c>
      <c r="AG164" s="48" t="str">
        <f t="shared" si="40"/>
        <v/>
      </c>
      <c r="AH164" s="209"/>
      <c r="AI164" s="210" t="str">
        <f t="shared" si="41"/>
        <v>Débil</v>
      </c>
      <c r="AJ164" s="21" t="str">
        <f>IFERROR(VLOOKUP((CONCATENATE(AG164,AI164)),Listados!$U$3:$V$11,2,FALSE),"")</f>
        <v/>
      </c>
      <c r="AK164" s="48">
        <f t="shared" si="42"/>
        <v>100</v>
      </c>
      <c r="AL164" s="355"/>
      <c r="AM164" s="357"/>
      <c r="AN164" s="173">
        <f>+IF(AND(Q164="Preventivo",AM163="Fuerte"),2,IF(AND(Q164="Preventivo",AM163="Moderado"),1,0))</f>
        <v>2</v>
      </c>
      <c r="AO164" s="173">
        <f t="shared" si="43"/>
        <v>1</v>
      </c>
      <c r="AP164" s="173">
        <f>+K163-AN164</f>
        <v>0</v>
      </c>
      <c r="AQ164" s="173">
        <f>+M163-AO164</f>
        <v>1</v>
      </c>
      <c r="AR164" s="346"/>
      <c r="AS164" s="346"/>
      <c r="AT164" s="346"/>
      <c r="AU164" s="346"/>
      <c r="AV164" s="311"/>
      <c r="AW164" s="312"/>
      <c r="AX164" s="313"/>
      <c r="AY164" s="311"/>
      <c r="AZ164" s="312"/>
      <c r="BA164" s="313"/>
      <c r="BB164" s="311"/>
      <c r="BC164" s="312"/>
      <c r="BD164" s="313"/>
    </row>
    <row r="165" spans="1:56" ht="243" thickBot="1">
      <c r="A165" s="329"/>
      <c r="B165" s="331"/>
      <c r="C165" s="332"/>
      <c r="D165" s="333"/>
      <c r="E165" s="203"/>
      <c r="F165" s="203"/>
      <c r="G165" s="204" t="s">
        <v>420</v>
      </c>
      <c r="H165" s="204" t="s">
        <v>16</v>
      </c>
      <c r="I165" s="204" t="s">
        <v>431</v>
      </c>
      <c r="J165" s="331"/>
      <c r="K165" s="349"/>
      <c r="L165" s="352"/>
      <c r="M165" s="349"/>
      <c r="N165" s="359"/>
      <c r="O165" s="204" t="s">
        <v>430</v>
      </c>
      <c r="P165" s="204" t="s">
        <v>420</v>
      </c>
      <c r="Q165" s="225" t="s">
        <v>20</v>
      </c>
      <c r="R165" s="215"/>
      <c r="S165" s="27" t="str">
        <f t="shared" si="32"/>
        <v/>
      </c>
      <c r="T165" s="215"/>
      <c r="U165" s="27" t="str">
        <f t="shared" si="33"/>
        <v/>
      </c>
      <c r="V165" s="208"/>
      <c r="W165" s="27" t="str">
        <f t="shared" si="34"/>
        <v/>
      </c>
      <c r="X165" s="208"/>
      <c r="Y165" s="27" t="str">
        <f t="shared" si="35"/>
        <v/>
      </c>
      <c r="Z165" s="208"/>
      <c r="AA165" s="27" t="str">
        <f t="shared" si="36"/>
        <v/>
      </c>
      <c r="AB165" s="208"/>
      <c r="AC165" s="27" t="str">
        <f t="shared" si="37"/>
        <v/>
      </c>
      <c r="AD165" s="208"/>
      <c r="AE165" s="27" t="str">
        <f t="shared" si="38"/>
        <v/>
      </c>
      <c r="AF165" s="48" t="str">
        <f t="shared" si="39"/>
        <v/>
      </c>
      <c r="AG165" s="48" t="str">
        <f t="shared" si="40"/>
        <v/>
      </c>
      <c r="AH165" s="209"/>
      <c r="AI165" s="210" t="str">
        <f t="shared" si="41"/>
        <v>Débil</v>
      </c>
      <c r="AJ165" s="21" t="str">
        <f>IFERROR(VLOOKUP((CONCATENATE(AG165,AI165)),Listados!$U$3:$V$11,2,FALSE),"")</f>
        <v/>
      </c>
      <c r="AK165" s="48">
        <f t="shared" si="42"/>
        <v>100</v>
      </c>
      <c r="AL165" s="355"/>
      <c r="AM165" s="357"/>
      <c r="AN165" s="173">
        <f>+IF(AND(Q165="Preventivo",AM163="Fuerte"),2,IF(AND(Q165="Preventivo",AM163="Moderado"),1,0))</f>
        <v>2</v>
      </c>
      <c r="AO165" s="173">
        <f t="shared" si="43"/>
        <v>1</v>
      </c>
      <c r="AP165" s="173">
        <f>+K163-AN165</f>
        <v>0</v>
      </c>
      <c r="AQ165" s="173">
        <f>+M163-AO165</f>
        <v>1</v>
      </c>
      <c r="AR165" s="346"/>
      <c r="AS165" s="346"/>
      <c r="AT165" s="346"/>
      <c r="AU165" s="346"/>
      <c r="AV165" s="311"/>
      <c r="AW165" s="312"/>
      <c r="AX165" s="313"/>
      <c r="AY165" s="311"/>
      <c r="AZ165" s="312"/>
      <c r="BA165" s="313"/>
      <c r="BB165" s="311"/>
      <c r="BC165" s="312"/>
      <c r="BD165" s="313"/>
    </row>
    <row r="166" spans="1:56" ht="29.25" thickBot="1">
      <c r="A166" s="329"/>
      <c r="B166" s="331"/>
      <c r="C166" s="332"/>
      <c r="D166" s="333"/>
      <c r="E166" s="203"/>
      <c r="F166" s="203"/>
      <c r="G166" s="204"/>
      <c r="H166" s="204"/>
      <c r="I166" s="204" t="s">
        <v>432</v>
      </c>
      <c r="J166" s="331"/>
      <c r="K166" s="349"/>
      <c r="L166" s="352"/>
      <c r="M166" s="349"/>
      <c r="N166" s="359"/>
      <c r="O166" s="203"/>
      <c r="P166" s="205"/>
      <c r="Q166" s="205"/>
      <c r="R166" s="215"/>
      <c r="S166" s="27" t="str">
        <f t="shared" si="32"/>
        <v/>
      </c>
      <c r="T166" s="215"/>
      <c r="U166" s="27" t="str">
        <f t="shared" si="33"/>
        <v/>
      </c>
      <c r="V166" s="208"/>
      <c r="W166" s="27" t="str">
        <f t="shared" si="34"/>
        <v/>
      </c>
      <c r="X166" s="208"/>
      <c r="Y166" s="27" t="str">
        <f t="shared" si="35"/>
        <v/>
      </c>
      <c r="Z166" s="208"/>
      <c r="AA166" s="27" t="str">
        <f t="shared" si="36"/>
        <v/>
      </c>
      <c r="AB166" s="208"/>
      <c r="AC166" s="27" t="str">
        <f t="shared" si="37"/>
        <v/>
      </c>
      <c r="AD166" s="208"/>
      <c r="AE166" s="27" t="str">
        <f t="shared" si="38"/>
        <v/>
      </c>
      <c r="AF166" s="48" t="str">
        <f t="shared" si="39"/>
        <v/>
      </c>
      <c r="AG166" s="48" t="str">
        <f t="shared" si="40"/>
        <v/>
      </c>
      <c r="AH166" s="209"/>
      <c r="AI166" s="210" t="str">
        <f t="shared" si="41"/>
        <v>Débil</v>
      </c>
      <c r="AJ166" s="21" t="str">
        <f>IFERROR(VLOOKUP((CONCATENATE(AG166,AI166)),Listados!$U$3:$V$11,2,FALSE),"")</f>
        <v/>
      </c>
      <c r="AK166" s="48">
        <f t="shared" si="42"/>
        <v>100</v>
      </c>
      <c r="AL166" s="355"/>
      <c r="AM166" s="357"/>
      <c r="AN166" s="173">
        <f>+IF(AND(Q166="Preventivo",AM163="Fuerte"),2,IF(AND(Q166="Preventivo",AM163="Moderado"),1,0))</f>
        <v>0</v>
      </c>
      <c r="AO166" s="173">
        <f t="shared" si="43"/>
        <v>0</v>
      </c>
      <c r="AP166" s="173">
        <f>+K163-AN166</f>
        <v>2</v>
      </c>
      <c r="AQ166" s="173">
        <f>+M163-AO166</f>
        <v>2</v>
      </c>
      <c r="AR166" s="346"/>
      <c r="AS166" s="346"/>
      <c r="AT166" s="346"/>
      <c r="AU166" s="346"/>
      <c r="AV166" s="311"/>
      <c r="AW166" s="312"/>
      <c r="AX166" s="313"/>
      <c r="AY166" s="311"/>
      <c r="AZ166" s="312"/>
      <c r="BA166" s="313"/>
      <c r="BB166" s="311"/>
      <c r="BC166" s="312"/>
      <c r="BD166" s="313"/>
    </row>
    <row r="167" spans="1:56" ht="15.75" thickBot="1">
      <c r="A167" s="329"/>
      <c r="B167" s="331"/>
      <c r="C167" s="332"/>
      <c r="D167" s="333"/>
      <c r="E167" s="203"/>
      <c r="F167" s="203"/>
      <c r="G167" s="204"/>
      <c r="H167" s="204"/>
      <c r="I167" s="204"/>
      <c r="J167" s="331"/>
      <c r="K167" s="349"/>
      <c r="L167" s="352"/>
      <c r="M167" s="349"/>
      <c r="N167" s="359"/>
      <c r="O167" s="203"/>
      <c r="P167" s="205"/>
      <c r="Q167" s="205"/>
      <c r="R167" s="215"/>
      <c r="S167" s="27" t="str">
        <f t="shared" si="32"/>
        <v/>
      </c>
      <c r="T167" s="215"/>
      <c r="U167" s="27" t="str">
        <f t="shared" si="33"/>
        <v/>
      </c>
      <c r="V167" s="208"/>
      <c r="W167" s="27" t="str">
        <f t="shared" si="34"/>
        <v/>
      </c>
      <c r="X167" s="208"/>
      <c r="Y167" s="27" t="str">
        <f t="shared" si="35"/>
        <v/>
      </c>
      <c r="Z167" s="208"/>
      <c r="AA167" s="27" t="str">
        <f t="shared" si="36"/>
        <v/>
      </c>
      <c r="AB167" s="208"/>
      <c r="AC167" s="27" t="str">
        <f t="shared" si="37"/>
        <v/>
      </c>
      <c r="AD167" s="208"/>
      <c r="AE167" s="27" t="str">
        <f t="shared" si="38"/>
        <v/>
      </c>
      <c r="AF167" s="48" t="str">
        <f t="shared" si="39"/>
        <v/>
      </c>
      <c r="AG167" s="48" t="str">
        <f t="shared" si="40"/>
        <v/>
      </c>
      <c r="AH167" s="209"/>
      <c r="AI167" s="210" t="str">
        <f t="shared" si="41"/>
        <v>Débil</v>
      </c>
      <c r="AJ167" s="21" t="str">
        <f>IFERROR(VLOOKUP((CONCATENATE(AG167,AI167)),Listados!$U$3:$V$11,2,FALSE),"")</f>
        <v/>
      </c>
      <c r="AK167" s="48">
        <f t="shared" si="42"/>
        <v>100</v>
      </c>
      <c r="AL167" s="355"/>
      <c r="AM167" s="357"/>
      <c r="AN167" s="173">
        <f>+IF(AND(Q167="Preventivo",AM163="Fuerte"),2,IF(AND(Q167="Preventivo",AM163="Moderado"),1,0))</f>
        <v>0</v>
      </c>
      <c r="AO167" s="173">
        <f t="shared" si="43"/>
        <v>0</v>
      </c>
      <c r="AP167" s="173">
        <f>+K163-AN167</f>
        <v>2</v>
      </c>
      <c r="AQ167" s="173">
        <f>+M163-AO167</f>
        <v>2</v>
      </c>
      <c r="AR167" s="346"/>
      <c r="AS167" s="346"/>
      <c r="AT167" s="346"/>
      <c r="AU167" s="346"/>
      <c r="AV167" s="311"/>
      <c r="AW167" s="312"/>
      <c r="AX167" s="313"/>
      <c r="AY167" s="311"/>
      <c r="AZ167" s="312"/>
      <c r="BA167" s="313"/>
      <c r="BB167" s="311"/>
      <c r="BC167" s="312"/>
      <c r="BD167" s="313"/>
    </row>
    <row r="168" spans="1:56" ht="15.75" thickBot="1">
      <c r="A168" s="330"/>
      <c r="B168" s="331"/>
      <c r="C168" s="332"/>
      <c r="D168" s="333"/>
      <c r="E168" s="203"/>
      <c r="F168" s="203"/>
      <c r="G168" s="204"/>
      <c r="H168" s="204"/>
      <c r="I168" s="204"/>
      <c r="J168" s="331"/>
      <c r="K168" s="350"/>
      <c r="L168" s="352"/>
      <c r="M168" s="350"/>
      <c r="N168" s="359"/>
      <c r="O168" s="203"/>
      <c r="P168" s="205"/>
      <c r="Q168" s="205"/>
      <c r="R168" s="215"/>
      <c r="S168" s="27" t="str">
        <f t="shared" si="32"/>
        <v/>
      </c>
      <c r="T168" s="215"/>
      <c r="U168" s="27" t="str">
        <f t="shared" si="33"/>
        <v/>
      </c>
      <c r="V168" s="208"/>
      <c r="W168" s="27" t="str">
        <f t="shared" si="34"/>
        <v/>
      </c>
      <c r="X168" s="208"/>
      <c r="Y168" s="27" t="str">
        <f t="shared" si="35"/>
        <v/>
      </c>
      <c r="Z168" s="208"/>
      <c r="AA168" s="27" t="str">
        <f t="shared" si="36"/>
        <v/>
      </c>
      <c r="AB168" s="208"/>
      <c r="AC168" s="27" t="str">
        <f t="shared" si="37"/>
        <v/>
      </c>
      <c r="AD168" s="208"/>
      <c r="AE168" s="27" t="str">
        <f t="shared" si="38"/>
        <v/>
      </c>
      <c r="AF168" s="48" t="str">
        <f t="shared" si="39"/>
        <v/>
      </c>
      <c r="AG168" s="48" t="str">
        <f t="shared" si="40"/>
        <v/>
      </c>
      <c r="AH168" s="209"/>
      <c r="AI168" s="210" t="str">
        <f t="shared" si="41"/>
        <v>Débil</v>
      </c>
      <c r="AJ168" s="21" t="str">
        <f>IFERROR(VLOOKUP((CONCATENATE(AG168,AI168)),Listados!$U$3:$V$11,2,FALSE),"")</f>
        <v/>
      </c>
      <c r="AK168" s="48">
        <f t="shared" si="42"/>
        <v>100</v>
      </c>
      <c r="AL168" s="356"/>
      <c r="AM168" s="357"/>
      <c r="AN168" s="173">
        <f>+IF(AND(Q168="Preventivo",AM163="Fuerte"),2,IF(AND(Q168="Preventivo",AM163="Moderado"),1,0))</f>
        <v>0</v>
      </c>
      <c r="AO168" s="173">
        <f t="shared" si="43"/>
        <v>0</v>
      </c>
      <c r="AP168" s="173">
        <f>+K163-AN168</f>
        <v>2</v>
      </c>
      <c r="AQ168" s="173">
        <f>+M163-AO168</f>
        <v>2</v>
      </c>
      <c r="AR168" s="347"/>
      <c r="AS168" s="347"/>
      <c r="AT168" s="347"/>
      <c r="AU168" s="347"/>
      <c r="AV168" s="311"/>
      <c r="AW168" s="312"/>
      <c r="AX168" s="313"/>
      <c r="AY168" s="311"/>
      <c r="AZ168" s="312"/>
      <c r="BA168" s="313"/>
      <c r="BB168" s="311"/>
      <c r="BC168" s="312"/>
      <c r="BD168" s="313"/>
    </row>
    <row r="169" spans="1:56" ht="409.6" customHeight="1" thickBot="1">
      <c r="A169" s="328">
        <v>28</v>
      </c>
      <c r="B169" s="331" t="s">
        <v>68</v>
      </c>
      <c r="C169" s="332" t="str">
        <f>IFERROR(VLOOKUP(B169,Listados!B$3:C$20,2,FALSE),"")</f>
        <v>Gestión contra la Criminalidad y la Reincidencia</v>
      </c>
      <c r="D169" s="333" t="s">
        <v>433</v>
      </c>
      <c r="E169" s="203" t="s">
        <v>15</v>
      </c>
      <c r="F169" s="203" t="s">
        <v>343</v>
      </c>
      <c r="G169" s="204" t="s">
        <v>434</v>
      </c>
      <c r="H169" s="204" t="s">
        <v>16</v>
      </c>
      <c r="I169" s="204" t="s">
        <v>367</v>
      </c>
      <c r="J169" s="331" t="s">
        <v>63</v>
      </c>
      <c r="K169" s="348">
        <f>+VLOOKUP(J169,Listados!$K$8:$L$12,2,0)</f>
        <v>5</v>
      </c>
      <c r="L169" s="351" t="s">
        <v>54</v>
      </c>
      <c r="M169" s="348">
        <f>+VLOOKUP(L169,Listados!$K$13:$L$17,2,0)</f>
        <v>4</v>
      </c>
      <c r="N169" s="358" t="str">
        <f>IF(AND(J169&lt;&gt;"",L169&lt;&gt;""),VLOOKUP(J169&amp;L169,Listados!$M$3:$N$27,2,FALSE),"")</f>
        <v>Extremo</v>
      </c>
      <c r="O169" s="204" t="s">
        <v>435</v>
      </c>
      <c r="P169" s="203" t="s">
        <v>434</v>
      </c>
      <c r="Q169" s="204" t="s">
        <v>20</v>
      </c>
      <c r="R169" s="215"/>
      <c r="S169" s="27" t="str">
        <f t="shared" si="32"/>
        <v/>
      </c>
      <c r="T169" s="215"/>
      <c r="U169" s="27" t="str">
        <f t="shared" si="33"/>
        <v/>
      </c>
      <c r="V169" s="208"/>
      <c r="W169" s="27" t="str">
        <f t="shared" si="34"/>
        <v/>
      </c>
      <c r="X169" s="208"/>
      <c r="Y169" s="27" t="str">
        <f t="shared" si="35"/>
        <v/>
      </c>
      <c r="Z169" s="208"/>
      <c r="AA169" s="27" t="str">
        <f t="shared" si="36"/>
        <v/>
      </c>
      <c r="AB169" s="208"/>
      <c r="AC169" s="27" t="str">
        <f t="shared" si="37"/>
        <v/>
      </c>
      <c r="AD169" s="208"/>
      <c r="AE169" s="27" t="str">
        <f t="shared" si="38"/>
        <v/>
      </c>
      <c r="AF169" s="48" t="str">
        <f t="shared" si="39"/>
        <v/>
      </c>
      <c r="AG169" s="48" t="str">
        <f t="shared" si="40"/>
        <v/>
      </c>
      <c r="AH169" s="209"/>
      <c r="AI169" s="210" t="str">
        <f t="shared" si="41"/>
        <v>Débil</v>
      </c>
      <c r="AJ169" s="21" t="str">
        <f>IFERROR(VLOOKUP((CONCATENATE(AG169,AI169)),Listados!$U$3:$V$11,2,FALSE),"")</f>
        <v/>
      </c>
      <c r="AK169" s="48">
        <f t="shared" si="42"/>
        <v>100</v>
      </c>
      <c r="AL169" s="354">
        <f>AVERAGE(AK169:AK174)</f>
        <v>100</v>
      </c>
      <c r="AM169" s="356" t="str">
        <f>IF(AL169&lt;=50, "Débil", IF(AL169&lt;=99,"Moderado","Fuerte"))</f>
        <v>Fuerte</v>
      </c>
      <c r="AN169" s="173">
        <f>+IF(AND(Q169="Preventivo",AM169="Fuerte"),2,IF(AND(Q169="Preventivo",AM169="Moderado"),1,0))</f>
        <v>2</v>
      </c>
      <c r="AO169" s="173">
        <f t="shared" si="43"/>
        <v>1</v>
      </c>
      <c r="AP169" s="173">
        <f>+K169-AN169</f>
        <v>3</v>
      </c>
      <c r="AQ169" s="173">
        <f>+M169-AO169</f>
        <v>3</v>
      </c>
      <c r="AR169" s="345" t="str">
        <f>+VLOOKUP(MIN(AP169,AP170,AP171,AP172,AP173,AP174),Listados!$J$18:$K$24,2,TRUE)</f>
        <v>Posible</v>
      </c>
      <c r="AS169" s="345" t="str">
        <f>+VLOOKUP(MIN(AQ169,AQ170,AQ171,AQ172,AQ173,AQ174),Listados!$J$27:$K$32,2,TRUE)</f>
        <v>Moderado</v>
      </c>
      <c r="AT169" s="345" t="str">
        <f>IF(AND(AR169&lt;&gt;"",AS169&lt;&gt;""),VLOOKUP(AR169&amp;AS169,Listados!$M$3:$N$27,2,FALSE),"")</f>
        <v>Alto</v>
      </c>
      <c r="AU169" s="345" t="str">
        <f>+VLOOKUP(AT169,Listados!$P$3:$Q$6,2,FALSE)</f>
        <v>Reducir el riesgo</v>
      </c>
      <c r="AV169" s="311"/>
      <c r="AW169" s="312"/>
      <c r="AX169" s="313"/>
      <c r="AY169" s="311"/>
      <c r="AZ169" s="312"/>
      <c r="BA169" s="313"/>
      <c r="BB169" s="311"/>
      <c r="BC169" s="312"/>
      <c r="BD169" s="313"/>
    </row>
    <row r="170" spans="1:56" ht="228.75" thickBot="1">
      <c r="A170" s="329"/>
      <c r="B170" s="331"/>
      <c r="C170" s="332"/>
      <c r="D170" s="333"/>
      <c r="E170" s="203"/>
      <c r="F170" s="203"/>
      <c r="G170" s="204" t="s">
        <v>436</v>
      </c>
      <c r="H170" s="204" t="s">
        <v>16</v>
      </c>
      <c r="I170" s="204" t="s">
        <v>437</v>
      </c>
      <c r="J170" s="331"/>
      <c r="K170" s="349"/>
      <c r="L170" s="352"/>
      <c r="M170" s="349"/>
      <c r="N170" s="359"/>
      <c r="O170" s="204" t="s">
        <v>438</v>
      </c>
      <c r="P170" s="203" t="s">
        <v>436</v>
      </c>
      <c r="Q170" s="204" t="s">
        <v>20</v>
      </c>
      <c r="R170" s="215"/>
      <c r="S170" s="27" t="str">
        <f t="shared" si="32"/>
        <v/>
      </c>
      <c r="T170" s="215"/>
      <c r="U170" s="27" t="str">
        <f t="shared" si="33"/>
        <v/>
      </c>
      <c r="V170" s="208"/>
      <c r="W170" s="27" t="str">
        <f t="shared" si="34"/>
        <v/>
      </c>
      <c r="X170" s="208"/>
      <c r="Y170" s="27" t="str">
        <f t="shared" si="35"/>
        <v/>
      </c>
      <c r="Z170" s="208"/>
      <c r="AA170" s="27" t="str">
        <f t="shared" si="36"/>
        <v/>
      </c>
      <c r="AB170" s="208"/>
      <c r="AC170" s="27" t="str">
        <f t="shared" si="37"/>
        <v/>
      </c>
      <c r="AD170" s="208"/>
      <c r="AE170" s="27" t="str">
        <f t="shared" si="38"/>
        <v/>
      </c>
      <c r="AF170" s="48" t="str">
        <f t="shared" si="39"/>
        <v/>
      </c>
      <c r="AG170" s="48" t="str">
        <f t="shared" si="40"/>
        <v/>
      </c>
      <c r="AH170" s="209"/>
      <c r="AI170" s="210" t="str">
        <f t="shared" si="41"/>
        <v>Débil</v>
      </c>
      <c r="AJ170" s="21" t="str">
        <f>IFERROR(VLOOKUP((CONCATENATE(AG170,AI170)),Listados!$U$3:$V$11,2,FALSE),"")</f>
        <v/>
      </c>
      <c r="AK170" s="48">
        <f t="shared" si="42"/>
        <v>100</v>
      </c>
      <c r="AL170" s="355"/>
      <c r="AM170" s="357"/>
      <c r="AN170" s="173">
        <f>+IF(AND(Q170="Preventivo",AM169="Fuerte"),2,IF(AND(Q170="Preventivo",AM169="Moderado"),1,0))</f>
        <v>2</v>
      </c>
      <c r="AO170" s="173">
        <f t="shared" si="43"/>
        <v>1</v>
      </c>
      <c r="AP170" s="173">
        <f>+K169-AN170</f>
        <v>3</v>
      </c>
      <c r="AQ170" s="173">
        <f>+M169-AO170</f>
        <v>3</v>
      </c>
      <c r="AR170" s="346"/>
      <c r="AS170" s="346"/>
      <c r="AT170" s="346"/>
      <c r="AU170" s="346"/>
      <c r="AV170" s="311"/>
      <c r="AW170" s="312"/>
      <c r="AX170" s="313"/>
      <c r="AY170" s="311"/>
      <c r="AZ170" s="312"/>
      <c r="BA170" s="313"/>
      <c r="BB170" s="311"/>
      <c r="BC170" s="312"/>
      <c r="BD170" s="313"/>
    </row>
    <row r="171" spans="1:56" ht="29.25" thickBot="1">
      <c r="A171" s="329"/>
      <c r="B171" s="331"/>
      <c r="C171" s="332"/>
      <c r="D171" s="333"/>
      <c r="E171" s="203"/>
      <c r="F171" s="203"/>
      <c r="G171" s="204"/>
      <c r="H171" s="204"/>
      <c r="I171" s="204" t="s">
        <v>439</v>
      </c>
      <c r="J171" s="331"/>
      <c r="K171" s="349"/>
      <c r="L171" s="352"/>
      <c r="M171" s="349"/>
      <c r="N171" s="359"/>
      <c r="O171" s="203"/>
      <c r="P171" s="205"/>
      <c r="Q171" s="205"/>
      <c r="R171" s="215"/>
      <c r="S171" s="27" t="str">
        <f t="shared" si="32"/>
        <v/>
      </c>
      <c r="T171" s="215"/>
      <c r="U171" s="27" t="str">
        <f t="shared" si="33"/>
        <v/>
      </c>
      <c r="V171" s="208"/>
      <c r="W171" s="27" t="str">
        <f t="shared" si="34"/>
        <v/>
      </c>
      <c r="X171" s="208"/>
      <c r="Y171" s="27" t="str">
        <f t="shared" si="35"/>
        <v/>
      </c>
      <c r="Z171" s="208"/>
      <c r="AA171" s="27" t="str">
        <f t="shared" si="36"/>
        <v/>
      </c>
      <c r="AB171" s="208"/>
      <c r="AC171" s="27" t="str">
        <f t="shared" si="37"/>
        <v/>
      </c>
      <c r="AD171" s="208"/>
      <c r="AE171" s="27" t="str">
        <f t="shared" si="38"/>
        <v/>
      </c>
      <c r="AF171" s="48" t="str">
        <f t="shared" si="39"/>
        <v/>
      </c>
      <c r="AG171" s="48" t="str">
        <f t="shared" si="40"/>
        <v/>
      </c>
      <c r="AH171" s="209"/>
      <c r="AI171" s="210" t="str">
        <f t="shared" si="41"/>
        <v>Débil</v>
      </c>
      <c r="AJ171" s="21" t="str">
        <f>IFERROR(VLOOKUP((CONCATENATE(AG171,AI171)),Listados!$U$3:$V$11,2,FALSE),"")</f>
        <v/>
      </c>
      <c r="AK171" s="48">
        <f t="shared" si="42"/>
        <v>100</v>
      </c>
      <c r="AL171" s="355"/>
      <c r="AM171" s="357"/>
      <c r="AN171" s="173">
        <f>+IF(AND(Q171="Preventivo",AM169="Fuerte"),2,IF(AND(Q171="Preventivo",AM169="Moderado"),1,0))</f>
        <v>0</v>
      </c>
      <c r="AO171" s="173">
        <f t="shared" si="43"/>
        <v>0</v>
      </c>
      <c r="AP171" s="173">
        <f>+K169-AN171</f>
        <v>5</v>
      </c>
      <c r="AQ171" s="173">
        <f>+M169-AO171</f>
        <v>4</v>
      </c>
      <c r="AR171" s="346"/>
      <c r="AS171" s="346"/>
      <c r="AT171" s="346"/>
      <c r="AU171" s="346"/>
      <c r="AV171" s="311"/>
      <c r="AW171" s="312"/>
      <c r="AX171" s="313"/>
      <c r="AY171" s="311"/>
      <c r="AZ171" s="312"/>
      <c r="BA171" s="313"/>
      <c r="BB171" s="311"/>
      <c r="BC171" s="312"/>
      <c r="BD171" s="313"/>
    </row>
    <row r="172" spans="1:56" ht="15.75" thickBot="1">
      <c r="A172" s="329"/>
      <c r="B172" s="331"/>
      <c r="C172" s="332"/>
      <c r="D172" s="333"/>
      <c r="E172" s="203"/>
      <c r="F172" s="203"/>
      <c r="G172" s="204"/>
      <c r="H172" s="204"/>
      <c r="I172" s="204"/>
      <c r="J172" s="331"/>
      <c r="K172" s="349"/>
      <c r="L172" s="352"/>
      <c r="M172" s="349"/>
      <c r="N172" s="359"/>
      <c r="O172" s="203"/>
      <c r="P172" s="205"/>
      <c r="Q172" s="205"/>
      <c r="R172" s="215"/>
      <c r="S172" s="27" t="str">
        <f t="shared" si="32"/>
        <v/>
      </c>
      <c r="T172" s="215"/>
      <c r="U172" s="27" t="str">
        <f t="shared" si="33"/>
        <v/>
      </c>
      <c r="V172" s="208"/>
      <c r="W172" s="27" t="str">
        <f t="shared" si="34"/>
        <v/>
      </c>
      <c r="X172" s="208"/>
      <c r="Y172" s="27" t="str">
        <f t="shared" si="35"/>
        <v/>
      </c>
      <c r="Z172" s="208"/>
      <c r="AA172" s="27" t="str">
        <f t="shared" si="36"/>
        <v/>
      </c>
      <c r="AB172" s="208"/>
      <c r="AC172" s="27" t="str">
        <f t="shared" si="37"/>
        <v/>
      </c>
      <c r="AD172" s="208"/>
      <c r="AE172" s="27" t="str">
        <f t="shared" si="38"/>
        <v/>
      </c>
      <c r="AF172" s="48" t="str">
        <f t="shared" si="39"/>
        <v/>
      </c>
      <c r="AG172" s="48" t="str">
        <f t="shared" si="40"/>
        <v/>
      </c>
      <c r="AH172" s="209"/>
      <c r="AI172" s="210" t="str">
        <f t="shared" si="41"/>
        <v>Débil</v>
      </c>
      <c r="AJ172" s="21" t="str">
        <f>IFERROR(VLOOKUP((CONCATENATE(AG172,AI172)),Listados!$U$3:$V$11,2,FALSE),"")</f>
        <v/>
      </c>
      <c r="AK172" s="48">
        <f t="shared" si="42"/>
        <v>100</v>
      </c>
      <c r="AL172" s="355"/>
      <c r="AM172" s="357"/>
      <c r="AN172" s="173">
        <f>+IF(AND(Q172="Preventivo",AM169="Fuerte"),2,IF(AND(Q172="Preventivo",AM169="Moderado"),1,0))</f>
        <v>0</v>
      </c>
      <c r="AO172" s="173">
        <f t="shared" si="43"/>
        <v>0</v>
      </c>
      <c r="AP172" s="173">
        <f>+K169-AN172</f>
        <v>5</v>
      </c>
      <c r="AQ172" s="173">
        <f>+M169-AO172</f>
        <v>4</v>
      </c>
      <c r="AR172" s="346"/>
      <c r="AS172" s="346"/>
      <c r="AT172" s="346"/>
      <c r="AU172" s="346"/>
      <c r="AV172" s="311"/>
      <c r="AW172" s="312"/>
      <c r="AX172" s="313"/>
      <c r="AY172" s="311"/>
      <c r="AZ172" s="312"/>
      <c r="BA172" s="313"/>
      <c r="BB172" s="311"/>
      <c r="BC172" s="312"/>
      <c r="BD172" s="313"/>
    </row>
    <row r="173" spans="1:56" ht="15.75" thickBot="1">
      <c r="A173" s="329"/>
      <c r="B173" s="331"/>
      <c r="C173" s="332"/>
      <c r="D173" s="333"/>
      <c r="E173" s="203"/>
      <c r="F173" s="203"/>
      <c r="G173" s="204"/>
      <c r="H173" s="204"/>
      <c r="I173" s="204"/>
      <c r="J173" s="331"/>
      <c r="K173" s="349"/>
      <c r="L173" s="352"/>
      <c r="M173" s="349"/>
      <c r="N173" s="359"/>
      <c r="O173" s="203"/>
      <c r="P173" s="205"/>
      <c r="Q173" s="205"/>
      <c r="R173" s="215"/>
      <c r="S173" s="27" t="str">
        <f t="shared" si="32"/>
        <v/>
      </c>
      <c r="T173" s="215"/>
      <c r="U173" s="27" t="str">
        <f t="shared" si="33"/>
        <v/>
      </c>
      <c r="V173" s="208"/>
      <c r="W173" s="27" t="str">
        <f t="shared" si="34"/>
        <v/>
      </c>
      <c r="X173" s="208"/>
      <c r="Y173" s="27" t="str">
        <f t="shared" si="35"/>
        <v/>
      </c>
      <c r="Z173" s="208"/>
      <c r="AA173" s="27" t="str">
        <f t="shared" si="36"/>
        <v/>
      </c>
      <c r="AB173" s="208"/>
      <c r="AC173" s="27" t="str">
        <f t="shared" si="37"/>
        <v/>
      </c>
      <c r="AD173" s="208"/>
      <c r="AE173" s="27" t="str">
        <f t="shared" si="38"/>
        <v/>
      </c>
      <c r="AF173" s="48" t="str">
        <f t="shared" si="39"/>
        <v/>
      </c>
      <c r="AG173" s="48" t="str">
        <f t="shared" si="40"/>
        <v/>
      </c>
      <c r="AH173" s="209"/>
      <c r="AI173" s="210" t="str">
        <f t="shared" si="41"/>
        <v>Débil</v>
      </c>
      <c r="AJ173" s="21" t="str">
        <f>IFERROR(VLOOKUP((CONCATENATE(AG173,AI173)),Listados!$U$3:$V$11,2,FALSE),"")</f>
        <v/>
      </c>
      <c r="AK173" s="48">
        <f t="shared" si="42"/>
        <v>100</v>
      </c>
      <c r="AL173" s="355"/>
      <c r="AM173" s="357"/>
      <c r="AN173" s="173">
        <f>+IF(AND(Q173="Preventivo",AM169="Fuerte"),2,IF(AND(Q173="Preventivo",AM169="Moderado"),1,0))</f>
        <v>0</v>
      </c>
      <c r="AO173" s="173">
        <f t="shared" si="43"/>
        <v>0</v>
      </c>
      <c r="AP173" s="173">
        <f>+K169-AN173</f>
        <v>5</v>
      </c>
      <c r="AQ173" s="173">
        <f>+M169-AO173</f>
        <v>4</v>
      </c>
      <c r="AR173" s="346"/>
      <c r="AS173" s="346"/>
      <c r="AT173" s="346"/>
      <c r="AU173" s="346"/>
      <c r="AV173" s="311"/>
      <c r="AW173" s="312"/>
      <c r="AX173" s="313"/>
      <c r="AY173" s="311"/>
      <c r="AZ173" s="312"/>
      <c r="BA173" s="313"/>
      <c r="BB173" s="311"/>
      <c r="BC173" s="312"/>
      <c r="BD173" s="313"/>
    </row>
    <row r="174" spans="1:56" ht="15.75" thickBot="1">
      <c r="A174" s="330"/>
      <c r="B174" s="331"/>
      <c r="C174" s="332"/>
      <c r="D174" s="333"/>
      <c r="E174" s="203"/>
      <c r="F174" s="203"/>
      <c r="G174" s="204"/>
      <c r="H174" s="204"/>
      <c r="I174" s="204"/>
      <c r="J174" s="331"/>
      <c r="K174" s="350"/>
      <c r="L174" s="352"/>
      <c r="M174" s="350"/>
      <c r="N174" s="359"/>
      <c r="O174" s="203"/>
      <c r="P174" s="205"/>
      <c r="Q174" s="205"/>
      <c r="R174" s="215"/>
      <c r="S174" s="27" t="str">
        <f t="shared" si="32"/>
        <v/>
      </c>
      <c r="T174" s="215"/>
      <c r="U174" s="27" t="str">
        <f t="shared" si="33"/>
        <v/>
      </c>
      <c r="V174" s="208"/>
      <c r="W174" s="27" t="str">
        <f t="shared" si="34"/>
        <v/>
      </c>
      <c r="X174" s="208"/>
      <c r="Y174" s="27" t="str">
        <f t="shared" si="35"/>
        <v/>
      </c>
      <c r="Z174" s="208"/>
      <c r="AA174" s="27" t="str">
        <f t="shared" si="36"/>
        <v/>
      </c>
      <c r="AB174" s="208"/>
      <c r="AC174" s="27" t="str">
        <f t="shared" si="37"/>
        <v/>
      </c>
      <c r="AD174" s="208"/>
      <c r="AE174" s="27" t="str">
        <f t="shared" si="38"/>
        <v/>
      </c>
      <c r="AF174" s="48" t="str">
        <f t="shared" si="39"/>
        <v/>
      </c>
      <c r="AG174" s="48" t="str">
        <f t="shared" si="40"/>
        <v/>
      </c>
      <c r="AH174" s="209"/>
      <c r="AI174" s="210" t="str">
        <f t="shared" si="41"/>
        <v>Débil</v>
      </c>
      <c r="AJ174" s="21" t="str">
        <f>IFERROR(VLOOKUP((CONCATENATE(AG174,AI174)),Listados!$U$3:$V$11,2,FALSE),"")</f>
        <v/>
      </c>
      <c r="AK174" s="48">
        <f t="shared" si="42"/>
        <v>100</v>
      </c>
      <c r="AL174" s="356"/>
      <c r="AM174" s="357"/>
      <c r="AN174" s="173">
        <f>+IF(AND(Q174="Preventivo",AM169="Fuerte"),2,IF(AND(Q174="Preventivo",AM169="Moderado"),1,0))</f>
        <v>0</v>
      </c>
      <c r="AO174" s="173">
        <f t="shared" si="43"/>
        <v>0</v>
      </c>
      <c r="AP174" s="173">
        <f>+K169-AN174</f>
        <v>5</v>
      </c>
      <c r="AQ174" s="173">
        <f>+M169-AO174</f>
        <v>4</v>
      </c>
      <c r="AR174" s="347"/>
      <c r="AS174" s="347"/>
      <c r="AT174" s="347"/>
      <c r="AU174" s="347"/>
      <c r="AV174" s="311"/>
      <c r="AW174" s="312"/>
      <c r="AX174" s="313"/>
      <c r="AY174" s="311"/>
      <c r="AZ174" s="312"/>
      <c r="BA174" s="313"/>
      <c r="BB174" s="311"/>
      <c r="BC174" s="312"/>
      <c r="BD174" s="313"/>
    </row>
    <row r="175" spans="1:56" ht="186" thickBot="1">
      <c r="A175" s="328">
        <v>29</v>
      </c>
      <c r="B175" s="331" t="s">
        <v>68</v>
      </c>
      <c r="C175" s="332" t="str">
        <f>IFERROR(VLOOKUP(B175,Listados!B$3:C$20,2,FALSE),"")</f>
        <v>Gestión contra la Criminalidad y la Reincidencia</v>
      </c>
      <c r="D175" s="333" t="s">
        <v>440</v>
      </c>
      <c r="E175" s="203" t="s">
        <v>15</v>
      </c>
      <c r="F175" s="203" t="s">
        <v>343</v>
      </c>
      <c r="G175" s="204" t="s">
        <v>441</v>
      </c>
      <c r="H175" s="204" t="s">
        <v>30</v>
      </c>
      <c r="I175" s="204" t="s">
        <v>442</v>
      </c>
      <c r="J175" s="331" t="s">
        <v>63</v>
      </c>
      <c r="K175" s="348">
        <f>+VLOOKUP(J175,Listados!$K$8:$L$12,2,0)</f>
        <v>5</v>
      </c>
      <c r="L175" s="351" t="s">
        <v>54</v>
      </c>
      <c r="M175" s="348">
        <f>+VLOOKUP(L175,Listados!$K$13:$L$17,2,0)</f>
        <v>4</v>
      </c>
      <c r="N175" s="358" t="str">
        <f>IF(AND(J175&lt;&gt;"",L175&lt;&gt;""),VLOOKUP(J175&amp;L175,Listados!$M$3:$N$27,2,FALSE),"")</f>
        <v>Extremo</v>
      </c>
      <c r="O175" s="204" t="s">
        <v>443</v>
      </c>
      <c r="P175" s="204" t="s">
        <v>441</v>
      </c>
      <c r="Q175" s="204" t="s">
        <v>20</v>
      </c>
      <c r="R175" s="215"/>
      <c r="S175" s="27" t="str">
        <f t="shared" si="32"/>
        <v/>
      </c>
      <c r="T175" s="215"/>
      <c r="U175" s="27" t="str">
        <f t="shared" si="33"/>
        <v/>
      </c>
      <c r="V175" s="208"/>
      <c r="W175" s="27" t="str">
        <f t="shared" si="34"/>
        <v/>
      </c>
      <c r="X175" s="208"/>
      <c r="Y175" s="27" t="str">
        <f t="shared" si="35"/>
        <v/>
      </c>
      <c r="Z175" s="208"/>
      <c r="AA175" s="27" t="str">
        <f t="shared" si="36"/>
        <v/>
      </c>
      <c r="AB175" s="208"/>
      <c r="AC175" s="27" t="str">
        <f t="shared" si="37"/>
        <v/>
      </c>
      <c r="AD175" s="208"/>
      <c r="AE175" s="27" t="str">
        <f t="shared" si="38"/>
        <v/>
      </c>
      <c r="AF175" s="48" t="str">
        <f t="shared" si="39"/>
        <v/>
      </c>
      <c r="AG175" s="48" t="str">
        <f t="shared" si="40"/>
        <v/>
      </c>
      <c r="AH175" s="209"/>
      <c r="AI175" s="210" t="str">
        <f t="shared" si="41"/>
        <v>Débil</v>
      </c>
      <c r="AJ175" s="21" t="str">
        <f>IFERROR(VLOOKUP((CONCATENATE(AG175,AI175)),Listados!$U$3:$V$11,2,FALSE),"")</f>
        <v/>
      </c>
      <c r="AK175" s="48">
        <f t="shared" si="42"/>
        <v>100</v>
      </c>
      <c r="AL175" s="354">
        <f>AVERAGE(AK175:AK180)</f>
        <v>100</v>
      </c>
      <c r="AM175" s="356" t="str">
        <f>IF(AL175&lt;=50, "Débil", IF(AL175&lt;=99,"Moderado","Fuerte"))</f>
        <v>Fuerte</v>
      </c>
      <c r="AN175" s="173">
        <f>+IF(AND(Q175="Preventivo",AM175="Fuerte"),2,IF(AND(Q175="Preventivo",AM175="Moderado"),1,0))</f>
        <v>2</v>
      </c>
      <c r="AO175" s="173">
        <f t="shared" si="43"/>
        <v>1</v>
      </c>
      <c r="AP175" s="173">
        <f>+K175-AN175</f>
        <v>3</v>
      </c>
      <c r="AQ175" s="173">
        <f>+M175-AO175</f>
        <v>3</v>
      </c>
      <c r="AR175" s="345" t="str">
        <f>+VLOOKUP(MIN(AP175,AP176,AP177,AP178,AP179,AP180),Listados!$J$18:$K$24,2,TRUE)</f>
        <v>Posible</v>
      </c>
      <c r="AS175" s="345" t="str">
        <f>+VLOOKUP(MIN(AQ175,AQ176,AQ177,AQ178,AQ179,AQ180),Listados!$J$27:$K$32,2,TRUE)</f>
        <v>Moderado</v>
      </c>
      <c r="AT175" s="345" t="str">
        <f>IF(AND(AR175&lt;&gt;"",AS175&lt;&gt;""),VLOOKUP(AR175&amp;AS175,Listados!$M$3:$N$27,2,FALSE),"")</f>
        <v>Alto</v>
      </c>
      <c r="AU175" s="345" t="str">
        <f>+VLOOKUP(AT175,Listados!$P$3:$Q$6,2,FALSE)</f>
        <v>Reducir el riesgo</v>
      </c>
      <c r="AV175" s="311"/>
      <c r="AW175" s="312"/>
      <c r="AX175" s="313"/>
      <c r="AY175" s="311"/>
      <c r="AZ175" s="312"/>
      <c r="BA175" s="313"/>
      <c r="BB175" s="311"/>
      <c r="BC175" s="312"/>
      <c r="BD175" s="313"/>
    </row>
    <row r="176" spans="1:56" ht="186" thickBot="1">
      <c r="A176" s="329"/>
      <c r="B176" s="331"/>
      <c r="C176" s="332"/>
      <c r="D176" s="333"/>
      <c r="E176" s="203"/>
      <c r="F176" s="203"/>
      <c r="G176" s="204" t="s">
        <v>444</v>
      </c>
      <c r="H176" s="204" t="s">
        <v>16</v>
      </c>
      <c r="I176" s="204" t="s">
        <v>437</v>
      </c>
      <c r="J176" s="331"/>
      <c r="K176" s="349"/>
      <c r="L176" s="352"/>
      <c r="M176" s="349"/>
      <c r="N176" s="359"/>
      <c r="O176" s="204" t="s">
        <v>443</v>
      </c>
      <c r="P176" s="204" t="s">
        <v>444</v>
      </c>
      <c r="Q176" s="205"/>
      <c r="R176" s="215"/>
      <c r="S176" s="27" t="str">
        <f t="shared" si="32"/>
        <v/>
      </c>
      <c r="T176" s="215"/>
      <c r="U176" s="27" t="str">
        <f t="shared" si="33"/>
        <v/>
      </c>
      <c r="V176" s="208"/>
      <c r="W176" s="27" t="str">
        <f t="shared" si="34"/>
        <v/>
      </c>
      <c r="X176" s="208"/>
      <c r="Y176" s="27" t="str">
        <f t="shared" si="35"/>
        <v/>
      </c>
      <c r="Z176" s="208"/>
      <c r="AA176" s="27" t="str">
        <f t="shared" si="36"/>
        <v/>
      </c>
      <c r="AB176" s="208"/>
      <c r="AC176" s="27" t="str">
        <f t="shared" si="37"/>
        <v/>
      </c>
      <c r="AD176" s="208"/>
      <c r="AE176" s="27" t="str">
        <f t="shared" si="38"/>
        <v/>
      </c>
      <c r="AF176" s="48" t="str">
        <f t="shared" si="39"/>
        <v/>
      </c>
      <c r="AG176" s="48" t="str">
        <f t="shared" si="40"/>
        <v/>
      </c>
      <c r="AH176" s="209"/>
      <c r="AI176" s="210" t="str">
        <f t="shared" si="41"/>
        <v>Débil</v>
      </c>
      <c r="AJ176" s="21" t="str">
        <f>IFERROR(VLOOKUP((CONCATENATE(AG176,AI176)),Listados!$U$3:$V$11,2,FALSE),"")</f>
        <v/>
      </c>
      <c r="AK176" s="48">
        <f t="shared" si="42"/>
        <v>100</v>
      </c>
      <c r="AL176" s="355"/>
      <c r="AM176" s="357"/>
      <c r="AN176" s="173">
        <f>+IF(AND(Q176="Preventivo",AM175="Fuerte"),2,IF(AND(Q176="Preventivo",AM175="Moderado"),1,0))</f>
        <v>0</v>
      </c>
      <c r="AO176" s="173">
        <f t="shared" si="43"/>
        <v>0</v>
      </c>
      <c r="AP176" s="173">
        <f>+K175-AN176</f>
        <v>5</v>
      </c>
      <c r="AQ176" s="173">
        <f>+M175-AO176</f>
        <v>4</v>
      </c>
      <c r="AR176" s="346"/>
      <c r="AS176" s="346"/>
      <c r="AT176" s="346"/>
      <c r="AU176" s="346"/>
      <c r="AV176" s="311"/>
      <c r="AW176" s="312"/>
      <c r="AX176" s="313"/>
      <c r="AY176" s="311"/>
      <c r="AZ176" s="312"/>
      <c r="BA176" s="313"/>
      <c r="BB176" s="311"/>
      <c r="BC176" s="312"/>
      <c r="BD176" s="313"/>
    </row>
    <row r="177" spans="1:56" ht="29.25" thickBot="1">
      <c r="A177" s="329"/>
      <c r="B177" s="331"/>
      <c r="C177" s="332"/>
      <c r="D177" s="333"/>
      <c r="E177" s="203"/>
      <c r="F177" s="203"/>
      <c r="G177" s="204"/>
      <c r="H177" s="204"/>
      <c r="I177" s="204" t="s">
        <v>439</v>
      </c>
      <c r="J177" s="331"/>
      <c r="K177" s="349"/>
      <c r="L177" s="352"/>
      <c r="M177" s="349"/>
      <c r="N177" s="359"/>
      <c r="O177" s="203"/>
      <c r="P177" s="205"/>
      <c r="Q177" s="205"/>
      <c r="R177" s="215"/>
      <c r="S177" s="27" t="str">
        <f t="shared" si="32"/>
        <v/>
      </c>
      <c r="T177" s="215"/>
      <c r="U177" s="27" t="str">
        <f t="shared" si="33"/>
        <v/>
      </c>
      <c r="V177" s="208"/>
      <c r="W177" s="27" t="str">
        <f t="shared" si="34"/>
        <v/>
      </c>
      <c r="X177" s="208"/>
      <c r="Y177" s="27" t="str">
        <f t="shared" si="35"/>
        <v/>
      </c>
      <c r="Z177" s="208"/>
      <c r="AA177" s="27" t="str">
        <f t="shared" si="36"/>
        <v/>
      </c>
      <c r="AB177" s="208"/>
      <c r="AC177" s="27" t="str">
        <f t="shared" si="37"/>
        <v/>
      </c>
      <c r="AD177" s="208"/>
      <c r="AE177" s="27" t="str">
        <f t="shared" si="38"/>
        <v/>
      </c>
      <c r="AF177" s="48" t="str">
        <f t="shared" si="39"/>
        <v/>
      </c>
      <c r="AG177" s="48" t="str">
        <f t="shared" si="40"/>
        <v/>
      </c>
      <c r="AH177" s="209"/>
      <c r="AI177" s="210" t="str">
        <f t="shared" si="41"/>
        <v>Débil</v>
      </c>
      <c r="AJ177" s="21" t="str">
        <f>IFERROR(VLOOKUP((CONCATENATE(AG177,AI177)),Listados!$U$3:$V$11,2,FALSE),"")</f>
        <v/>
      </c>
      <c r="AK177" s="48">
        <f t="shared" si="42"/>
        <v>100</v>
      </c>
      <c r="AL177" s="355"/>
      <c r="AM177" s="357"/>
      <c r="AN177" s="173">
        <f>+IF(AND(Q177="Preventivo",AM175="Fuerte"),2,IF(AND(Q177="Preventivo",AM175="Moderado"),1,0))</f>
        <v>0</v>
      </c>
      <c r="AO177" s="173">
        <f t="shared" si="43"/>
        <v>0</v>
      </c>
      <c r="AP177" s="173">
        <f>+K175-AN177</f>
        <v>5</v>
      </c>
      <c r="AQ177" s="173">
        <f>+M175-AO177</f>
        <v>4</v>
      </c>
      <c r="AR177" s="346"/>
      <c r="AS177" s="346"/>
      <c r="AT177" s="346"/>
      <c r="AU177" s="346"/>
      <c r="AV177" s="311"/>
      <c r="AW177" s="312"/>
      <c r="AX177" s="313"/>
      <c r="AY177" s="311"/>
      <c r="AZ177" s="312"/>
      <c r="BA177" s="313"/>
      <c r="BB177" s="311"/>
      <c r="BC177" s="312"/>
      <c r="BD177" s="313"/>
    </row>
    <row r="178" spans="1:56" ht="15.75" thickBot="1">
      <c r="A178" s="329"/>
      <c r="B178" s="331"/>
      <c r="C178" s="332"/>
      <c r="D178" s="333"/>
      <c r="E178" s="203"/>
      <c r="F178" s="203"/>
      <c r="G178" s="204"/>
      <c r="H178" s="204"/>
      <c r="I178" s="204"/>
      <c r="J178" s="331"/>
      <c r="K178" s="349"/>
      <c r="L178" s="352"/>
      <c r="M178" s="349"/>
      <c r="N178" s="359"/>
      <c r="O178" s="203"/>
      <c r="P178" s="205"/>
      <c r="Q178" s="205"/>
      <c r="R178" s="215"/>
      <c r="S178" s="27" t="str">
        <f t="shared" si="32"/>
        <v/>
      </c>
      <c r="T178" s="215"/>
      <c r="U178" s="27" t="str">
        <f t="shared" si="33"/>
        <v/>
      </c>
      <c r="V178" s="208"/>
      <c r="W178" s="27" t="str">
        <f t="shared" si="34"/>
        <v/>
      </c>
      <c r="X178" s="208"/>
      <c r="Y178" s="27" t="str">
        <f t="shared" si="35"/>
        <v/>
      </c>
      <c r="Z178" s="208"/>
      <c r="AA178" s="27" t="str">
        <f t="shared" si="36"/>
        <v/>
      </c>
      <c r="AB178" s="208"/>
      <c r="AC178" s="27" t="str">
        <f t="shared" si="37"/>
        <v/>
      </c>
      <c r="AD178" s="208"/>
      <c r="AE178" s="27" t="str">
        <f t="shared" si="38"/>
        <v/>
      </c>
      <c r="AF178" s="48" t="str">
        <f t="shared" si="39"/>
        <v/>
      </c>
      <c r="AG178" s="48" t="str">
        <f t="shared" si="40"/>
        <v/>
      </c>
      <c r="AH178" s="209"/>
      <c r="AI178" s="210" t="str">
        <f t="shared" si="41"/>
        <v>Débil</v>
      </c>
      <c r="AJ178" s="21" t="str">
        <f>IFERROR(VLOOKUP((CONCATENATE(AG178,AI178)),Listados!$U$3:$V$11,2,FALSE),"")</f>
        <v/>
      </c>
      <c r="AK178" s="48">
        <f t="shared" si="42"/>
        <v>100</v>
      </c>
      <c r="AL178" s="355"/>
      <c r="AM178" s="357"/>
      <c r="AN178" s="173">
        <f>+IF(AND(Q178="Preventivo",AM175="Fuerte"),2,IF(AND(Q178="Preventivo",AM175="Moderado"),1,0))</f>
        <v>0</v>
      </c>
      <c r="AO178" s="173">
        <f t="shared" si="43"/>
        <v>0</v>
      </c>
      <c r="AP178" s="173">
        <f>+K175-AN178</f>
        <v>5</v>
      </c>
      <c r="AQ178" s="173">
        <f>+M175-AO178</f>
        <v>4</v>
      </c>
      <c r="AR178" s="346"/>
      <c r="AS178" s="346"/>
      <c r="AT178" s="346"/>
      <c r="AU178" s="346"/>
      <c r="AV178" s="311"/>
      <c r="AW178" s="312"/>
      <c r="AX178" s="313"/>
      <c r="AY178" s="311"/>
      <c r="AZ178" s="312"/>
      <c r="BA178" s="313"/>
      <c r="BB178" s="311"/>
      <c r="BC178" s="312"/>
      <c r="BD178" s="313"/>
    </row>
    <row r="179" spans="1:56" ht="15.75" thickBot="1">
      <c r="A179" s="329"/>
      <c r="B179" s="331"/>
      <c r="C179" s="332"/>
      <c r="D179" s="333"/>
      <c r="E179" s="203"/>
      <c r="F179" s="203"/>
      <c r="G179" s="204"/>
      <c r="H179" s="204"/>
      <c r="I179" s="204"/>
      <c r="J179" s="331"/>
      <c r="K179" s="349"/>
      <c r="L179" s="352"/>
      <c r="M179" s="349"/>
      <c r="N179" s="359"/>
      <c r="O179" s="203"/>
      <c r="P179" s="205"/>
      <c r="Q179" s="205"/>
      <c r="R179" s="215"/>
      <c r="S179" s="27" t="str">
        <f t="shared" si="32"/>
        <v/>
      </c>
      <c r="T179" s="215"/>
      <c r="U179" s="27" t="str">
        <f t="shared" si="33"/>
        <v/>
      </c>
      <c r="V179" s="208"/>
      <c r="W179" s="27" t="str">
        <f t="shared" si="34"/>
        <v/>
      </c>
      <c r="X179" s="208"/>
      <c r="Y179" s="27" t="str">
        <f t="shared" si="35"/>
        <v/>
      </c>
      <c r="Z179" s="208"/>
      <c r="AA179" s="27" t="str">
        <f t="shared" si="36"/>
        <v/>
      </c>
      <c r="AB179" s="208"/>
      <c r="AC179" s="27" t="str">
        <f t="shared" si="37"/>
        <v/>
      </c>
      <c r="AD179" s="208"/>
      <c r="AE179" s="27" t="str">
        <f t="shared" si="38"/>
        <v/>
      </c>
      <c r="AF179" s="48" t="str">
        <f t="shared" si="39"/>
        <v/>
      </c>
      <c r="AG179" s="48" t="str">
        <f t="shared" si="40"/>
        <v/>
      </c>
      <c r="AH179" s="209"/>
      <c r="AI179" s="210" t="str">
        <f t="shared" si="41"/>
        <v>Débil</v>
      </c>
      <c r="AJ179" s="21" t="str">
        <f>IFERROR(VLOOKUP((CONCATENATE(AG179,AI179)),Listados!$U$3:$V$11,2,FALSE),"")</f>
        <v/>
      </c>
      <c r="AK179" s="48">
        <f t="shared" si="42"/>
        <v>100</v>
      </c>
      <c r="AL179" s="355"/>
      <c r="AM179" s="357"/>
      <c r="AN179" s="173">
        <f>+IF(AND(Q179="Preventivo",AM175="Fuerte"),2,IF(AND(Q179="Preventivo",AM175="Moderado"),1,0))</f>
        <v>0</v>
      </c>
      <c r="AO179" s="173">
        <f t="shared" si="43"/>
        <v>0</v>
      </c>
      <c r="AP179" s="173">
        <f>+K175-AN179</f>
        <v>5</v>
      </c>
      <c r="AQ179" s="173">
        <f>+M175-AO179</f>
        <v>4</v>
      </c>
      <c r="AR179" s="346"/>
      <c r="AS179" s="346"/>
      <c r="AT179" s="346"/>
      <c r="AU179" s="346"/>
      <c r="AV179" s="311"/>
      <c r="AW179" s="312"/>
      <c r="AX179" s="313"/>
      <c r="AY179" s="311"/>
      <c r="AZ179" s="312"/>
      <c r="BA179" s="313"/>
      <c r="BB179" s="311"/>
      <c r="BC179" s="312"/>
      <c r="BD179" s="313"/>
    </row>
    <row r="180" spans="1:56" ht="15.75" thickBot="1">
      <c r="A180" s="330"/>
      <c r="B180" s="331"/>
      <c r="C180" s="332"/>
      <c r="D180" s="333"/>
      <c r="E180" s="203"/>
      <c r="F180" s="203"/>
      <c r="G180" s="204"/>
      <c r="H180" s="204"/>
      <c r="I180" s="204"/>
      <c r="J180" s="331"/>
      <c r="K180" s="350"/>
      <c r="L180" s="352"/>
      <c r="M180" s="350"/>
      <c r="N180" s="359"/>
      <c r="O180" s="203"/>
      <c r="P180" s="205"/>
      <c r="Q180" s="205"/>
      <c r="R180" s="215"/>
      <c r="S180" s="27" t="str">
        <f t="shared" si="32"/>
        <v/>
      </c>
      <c r="T180" s="215"/>
      <c r="U180" s="27" t="str">
        <f t="shared" si="33"/>
        <v/>
      </c>
      <c r="V180" s="208"/>
      <c r="W180" s="27" t="str">
        <f t="shared" si="34"/>
        <v/>
      </c>
      <c r="X180" s="208"/>
      <c r="Y180" s="27" t="str">
        <f t="shared" si="35"/>
        <v/>
      </c>
      <c r="Z180" s="208"/>
      <c r="AA180" s="27" t="str">
        <f t="shared" si="36"/>
        <v/>
      </c>
      <c r="AB180" s="208"/>
      <c r="AC180" s="27" t="str">
        <f t="shared" si="37"/>
        <v/>
      </c>
      <c r="AD180" s="208"/>
      <c r="AE180" s="27" t="str">
        <f t="shared" si="38"/>
        <v/>
      </c>
      <c r="AF180" s="48" t="str">
        <f t="shared" si="39"/>
        <v/>
      </c>
      <c r="AG180" s="48" t="str">
        <f t="shared" si="40"/>
        <v/>
      </c>
      <c r="AH180" s="209"/>
      <c r="AI180" s="210" t="str">
        <f t="shared" si="41"/>
        <v>Débil</v>
      </c>
      <c r="AJ180" s="21" t="str">
        <f>IFERROR(VLOOKUP((CONCATENATE(AG180,AI180)),Listados!$U$3:$V$11,2,FALSE),"")</f>
        <v/>
      </c>
      <c r="AK180" s="48">
        <f t="shared" si="42"/>
        <v>100</v>
      </c>
      <c r="AL180" s="356"/>
      <c r="AM180" s="357"/>
      <c r="AN180" s="173">
        <f>+IF(AND(Q180="Preventivo",AM175="Fuerte"),2,IF(AND(Q180="Preventivo",AM175="Moderado"),1,0))</f>
        <v>0</v>
      </c>
      <c r="AO180" s="173">
        <f t="shared" si="43"/>
        <v>0</v>
      </c>
      <c r="AP180" s="173">
        <f>+K175-AN180</f>
        <v>5</v>
      </c>
      <c r="AQ180" s="173">
        <f>+M175-AO180</f>
        <v>4</v>
      </c>
      <c r="AR180" s="347"/>
      <c r="AS180" s="347"/>
      <c r="AT180" s="347"/>
      <c r="AU180" s="347"/>
      <c r="AV180" s="311"/>
      <c r="AW180" s="312"/>
      <c r="AX180" s="313"/>
      <c r="AY180" s="311"/>
      <c r="AZ180" s="312"/>
      <c r="BA180" s="313"/>
      <c r="BB180" s="311"/>
      <c r="BC180" s="312"/>
      <c r="BD180" s="313"/>
    </row>
    <row r="181" spans="1:56" ht="200.25" thickBot="1">
      <c r="A181" s="328">
        <v>30</v>
      </c>
      <c r="B181" s="331" t="s">
        <v>68</v>
      </c>
      <c r="C181" s="332" t="str">
        <f>IFERROR(VLOOKUP(B181,Listados!B$3:C$20,2,FALSE),"")</f>
        <v>Gestión contra la Criminalidad y la Reincidencia</v>
      </c>
      <c r="D181" s="333" t="s">
        <v>445</v>
      </c>
      <c r="E181" s="203" t="s">
        <v>15</v>
      </c>
      <c r="F181" s="203" t="s">
        <v>343</v>
      </c>
      <c r="G181" s="204" t="s">
        <v>446</v>
      </c>
      <c r="H181" s="204" t="s">
        <v>16</v>
      </c>
      <c r="I181" s="204" t="s">
        <v>447</v>
      </c>
      <c r="J181" s="331" t="s">
        <v>31</v>
      </c>
      <c r="K181" s="348">
        <f>+VLOOKUP(J181,Listados!$K$8:$L$12,2,0)</f>
        <v>2</v>
      </c>
      <c r="L181" s="351" t="s">
        <v>36</v>
      </c>
      <c r="M181" s="348">
        <f>+VLOOKUP(L181,Listados!$K$13:$L$17,2,0)</f>
        <v>3</v>
      </c>
      <c r="N181" s="358" t="str">
        <f>IF(AND(J181&lt;&gt;"",L181&lt;&gt;""),VLOOKUP(J181&amp;L181,Listados!$M$3:$N$27,2,FALSE),"")</f>
        <v>Moderado</v>
      </c>
      <c r="O181" s="204" t="s">
        <v>448</v>
      </c>
      <c r="P181" s="204" t="s">
        <v>446</v>
      </c>
      <c r="Q181" s="204" t="s">
        <v>20</v>
      </c>
      <c r="R181" s="215"/>
      <c r="S181" s="27" t="str">
        <f t="shared" si="32"/>
        <v/>
      </c>
      <c r="T181" s="215"/>
      <c r="U181" s="27" t="str">
        <f t="shared" si="33"/>
        <v/>
      </c>
      <c r="V181" s="208"/>
      <c r="W181" s="27" t="str">
        <f t="shared" si="34"/>
        <v/>
      </c>
      <c r="X181" s="208"/>
      <c r="Y181" s="27" t="str">
        <f t="shared" si="35"/>
        <v/>
      </c>
      <c r="Z181" s="208"/>
      <c r="AA181" s="27" t="str">
        <f t="shared" si="36"/>
        <v/>
      </c>
      <c r="AB181" s="208"/>
      <c r="AC181" s="27" t="str">
        <f t="shared" si="37"/>
        <v/>
      </c>
      <c r="AD181" s="208"/>
      <c r="AE181" s="27" t="str">
        <f t="shared" si="38"/>
        <v/>
      </c>
      <c r="AF181" s="48" t="str">
        <f t="shared" si="39"/>
        <v/>
      </c>
      <c r="AG181" s="48" t="str">
        <f t="shared" si="40"/>
        <v/>
      </c>
      <c r="AH181" s="209"/>
      <c r="AI181" s="210" t="str">
        <f t="shared" si="41"/>
        <v>Débil</v>
      </c>
      <c r="AJ181" s="21" t="str">
        <f>IFERROR(VLOOKUP((CONCATENATE(AG181,AI181)),Listados!$U$3:$V$11,2,FALSE),"")</f>
        <v/>
      </c>
      <c r="AK181" s="48">
        <f t="shared" si="42"/>
        <v>100</v>
      </c>
      <c r="AL181" s="354">
        <f>AVERAGE(AK181:AK186)</f>
        <v>100</v>
      </c>
      <c r="AM181" s="356" t="str">
        <f>IF(AL181&lt;=50, "Débil", IF(AL181&lt;=99,"Moderado","Fuerte"))</f>
        <v>Fuerte</v>
      </c>
      <c r="AN181" s="173">
        <f>+IF(AND(Q181="Preventivo",AM181="Fuerte"),2,IF(AND(Q181="Preventivo",AM181="Moderado"),1,0))</f>
        <v>2</v>
      </c>
      <c r="AO181" s="173">
        <f t="shared" si="43"/>
        <v>1</v>
      </c>
      <c r="AP181" s="173">
        <f>+K181-AN181</f>
        <v>0</v>
      </c>
      <c r="AQ181" s="173">
        <f>+M181-AO181</f>
        <v>2</v>
      </c>
      <c r="AR181" s="345" t="str">
        <f>+VLOOKUP(MIN(AP181,AP182,AP183,AP184,AP185,AP186),Listados!$J$18:$K$24,2,TRUE)</f>
        <v>Rara Vez</v>
      </c>
      <c r="AS181" s="345" t="str">
        <f>+VLOOKUP(MIN(AQ181,AQ182,AQ183,AQ184,AQ185,AQ186),Listados!$J$27:$K$32,2,TRUE)</f>
        <v>Insignificante</v>
      </c>
      <c r="AT181" s="345" t="str">
        <f>IF(AND(AR181&lt;&gt;"",AS181&lt;&gt;""),VLOOKUP(AR181&amp;AS181,Listados!$M$3:$N$27,2,FALSE),"")</f>
        <v>Bajo</v>
      </c>
      <c r="AU181" s="345" t="str">
        <f>+VLOOKUP(AT181,Listados!$P$3:$Q$6,2,FALSE)</f>
        <v>Asumir el riesgo</v>
      </c>
      <c r="AV181" s="311"/>
      <c r="AW181" s="312"/>
      <c r="AX181" s="313"/>
      <c r="AY181" s="311"/>
      <c r="AZ181" s="312"/>
      <c r="BA181" s="313"/>
      <c r="BB181" s="311"/>
      <c r="BC181" s="312"/>
      <c r="BD181" s="313"/>
    </row>
    <row r="182" spans="1:56" ht="143.25" thickBot="1">
      <c r="A182" s="329"/>
      <c r="B182" s="331"/>
      <c r="C182" s="332"/>
      <c r="D182" s="333"/>
      <c r="E182" s="203"/>
      <c r="F182" s="203"/>
      <c r="G182" s="204" t="s">
        <v>449</v>
      </c>
      <c r="H182" s="204" t="s">
        <v>30</v>
      </c>
      <c r="I182" s="204" t="s">
        <v>450</v>
      </c>
      <c r="J182" s="331"/>
      <c r="K182" s="349"/>
      <c r="L182" s="352"/>
      <c r="M182" s="349"/>
      <c r="N182" s="359"/>
      <c r="O182" s="204" t="s">
        <v>451</v>
      </c>
      <c r="P182" s="204" t="s">
        <v>449</v>
      </c>
      <c r="Q182" s="204" t="s">
        <v>123</v>
      </c>
      <c r="R182" s="215"/>
      <c r="S182" s="27" t="str">
        <f t="shared" si="32"/>
        <v/>
      </c>
      <c r="T182" s="215"/>
      <c r="U182" s="27" t="str">
        <f t="shared" si="33"/>
        <v/>
      </c>
      <c r="V182" s="208"/>
      <c r="W182" s="27" t="str">
        <f t="shared" si="34"/>
        <v/>
      </c>
      <c r="X182" s="208"/>
      <c r="Y182" s="27" t="str">
        <f t="shared" si="35"/>
        <v/>
      </c>
      <c r="Z182" s="208"/>
      <c r="AA182" s="27" t="str">
        <f t="shared" si="36"/>
        <v/>
      </c>
      <c r="AB182" s="208"/>
      <c r="AC182" s="27" t="str">
        <f t="shared" si="37"/>
        <v/>
      </c>
      <c r="AD182" s="208"/>
      <c r="AE182" s="27" t="str">
        <f t="shared" si="38"/>
        <v/>
      </c>
      <c r="AF182" s="48" t="str">
        <f t="shared" si="39"/>
        <v/>
      </c>
      <c r="AG182" s="48" t="str">
        <f t="shared" si="40"/>
        <v/>
      </c>
      <c r="AH182" s="209"/>
      <c r="AI182" s="210" t="str">
        <f t="shared" si="41"/>
        <v>Débil</v>
      </c>
      <c r="AJ182" s="21" t="str">
        <f>IFERROR(VLOOKUP((CONCATENATE(AG182,AI182)),Listados!$U$3:$V$11,2,FALSE),"")</f>
        <v/>
      </c>
      <c r="AK182" s="48">
        <f t="shared" si="42"/>
        <v>100</v>
      </c>
      <c r="AL182" s="355"/>
      <c r="AM182" s="357"/>
      <c r="AN182" s="173">
        <f>+IF(AND(Q182="Preventivo",AM181="Fuerte"),2,IF(AND(Q182="Preventivo",AM181="Moderado"),1,0))</f>
        <v>0</v>
      </c>
      <c r="AO182" s="173">
        <f t="shared" si="43"/>
        <v>2</v>
      </c>
      <c r="AP182" s="173">
        <f>+K181-AN182</f>
        <v>2</v>
      </c>
      <c r="AQ182" s="173">
        <f>+M181-AO182</f>
        <v>1</v>
      </c>
      <c r="AR182" s="346"/>
      <c r="AS182" s="346"/>
      <c r="AT182" s="346"/>
      <c r="AU182" s="346"/>
      <c r="AV182" s="311"/>
      <c r="AW182" s="312"/>
      <c r="AX182" s="313"/>
      <c r="AY182" s="311"/>
      <c r="AZ182" s="312"/>
      <c r="BA182" s="313"/>
      <c r="BB182" s="311"/>
      <c r="BC182" s="312"/>
      <c r="BD182" s="313"/>
    </row>
    <row r="183" spans="1:56" ht="57.75" thickBot="1">
      <c r="A183" s="329"/>
      <c r="B183" s="331"/>
      <c r="C183" s="332"/>
      <c r="D183" s="333"/>
      <c r="E183" s="203"/>
      <c r="F183" s="203"/>
      <c r="G183" s="204"/>
      <c r="H183" s="204"/>
      <c r="I183" s="204" t="s">
        <v>452</v>
      </c>
      <c r="J183" s="331"/>
      <c r="K183" s="349"/>
      <c r="L183" s="352"/>
      <c r="M183" s="349"/>
      <c r="N183" s="359"/>
      <c r="O183" s="203"/>
      <c r="P183" s="205"/>
      <c r="Q183" s="205"/>
      <c r="R183" s="215"/>
      <c r="S183" s="27" t="str">
        <f t="shared" si="32"/>
        <v/>
      </c>
      <c r="T183" s="215"/>
      <c r="U183" s="27" t="str">
        <f t="shared" si="33"/>
        <v/>
      </c>
      <c r="V183" s="208"/>
      <c r="W183" s="27" t="str">
        <f t="shared" si="34"/>
        <v/>
      </c>
      <c r="X183" s="208"/>
      <c r="Y183" s="27" t="str">
        <f t="shared" si="35"/>
        <v/>
      </c>
      <c r="Z183" s="208"/>
      <c r="AA183" s="27" t="str">
        <f t="shared" si="36"/>
        <v/>
      </c>
      <c r="AB183" s="208"/>
      <c r="AC183" s="27" t="str">
        <f t="shared" si="37"/>
        <v/>
      </c>
      <c r="AD183" s="208"/>
      <c r="AE183" s="27" t="str">
        <f t="shared" si="38"/>
        <v/>
      </c>
      <c r="AF183" s="48" t="str">
        <f t="shared" si="39"/>
        <v/>
      </c>
      <c r="AG183" s="48" t="str">
        <f t="shared" si="40"/>
        <v/>
      </c>
      <c r="AH183" s="209"/>
      <c r="AI183" s="210" t="str">
        <f t="shared" si="41"/>
        <v>Débil</v>
      </c>
      <c r="AJ183" s="21" t="str">
        <f>IFERROR(VLOOKUP((CONCATENATE(AG183,AI183)),Listados!$U$3:$V$11,2,FALSE),"")</f>
        <v/>
      </c>
      <c r="AK183" s="48">
        <f t="shared" si="42"/>
        <v>100</v>
      </c>
      <c r="AL183" s="355"/>
      <c r="AM183" s="357"/>
      <c r="AN183" s="173">
        <f>+IF(AND(Q183="Preventivo",AM181="Fuerte"),2,IF(AND(Q183="Preventivo",AM181="Moderado"),1,0))</f>
        <v>0</v>
      </c>
      <c r="AO183" s="173">
        <f t="shared" si="43"/>
        <v>0</v>
      </c>
      <c r="AP183" s="173">
        <f>+K181-AN183</f>
        <v>2</v>
      </c>
      <c r="AQ183" s="173">
        <f>+M181-AO183</f>
        <v>3</v>
      </c>
      <c r="AR183" s="346"/>
      <c r="AS183" s="346"/>
      <c r="AT183" s="346"/>
      <c r="AU183" s="346"/>
      <c r="AV183" s="311"/>
      <c r="AW183" s="312"/>
      <c r="AX183" s="313"/>
      <c r="AY183" s="311"/>
      <c r="AZ183" s="312"/>
      <c r="BA183" s="313"/>
      <c r="BB183" s="311"/>
      <c r="BC183" s="312"/>
      <c r="BD183" s="313"/>
    </row>
    <row r="184" spans="1:56" ht="15.75" thickBot="1">
      <c r="A184" s="329"/>
      <c r="B184" s="331"/>
      <c r="C184" s="332"/>
      <c r="D184" s="333"/>
      <c r="E184" s="203"/>
      <c r="F184" s="203"/>
      <c r="G184" s="204"/>
      <c r="H184" s="204"/>
      <c r="I184" s="204"/>
      <c r="J184" s="331"/>
      <c r="K184" s="349"/>
      <c r="L184" s="352"/>
      <c r="M184" s="349"/>
      <c r="N184" s="359"/>
      <c r="O184" s="203"/>
      <c r="P184" s="205"/>
      <c r="Q184" s="205"/>
      <c r="R184" s="215"/>
      <c r="S184" s="27" t="str">
        <f t="shared" si="32"/>
        <v/>
      </c>
      <c r="T184" s="215"/>
      <c r="U184" s="27" t="str">
        <f t="shared" si="33"/>
        <v/>
      </c>
      <c r="V184" s="208"/>
      <c r="W184" s="27" t="str">
        <f t="shared" si="34"/>
        <v/>
      </c>
      <c r="X184" s="208"/>
      <c r="Y184" s="27" t="str">
        <f t="shared" si="35"/>
        <v/>
      </c>
      <c r="Z184" s="208"/>
      <c r="AA184" s="27" t="str">
        <f t="shared" si="36"/>
        <v/>
      </c>
      <c r="AB184" s="208"/>
      <c r="AC184" s="27" t="str">
        <f t="shared" si="37"/>
        <v/>
      </c>
      <c r="AD184" s="208"/>
      <c r="AE184" s="27" t="str">
        <f t="shared" si="38"/>
        <v/>
      </c>
      <c r="AF184" s="48" t="str">
        <f t="shared" si="39"/>
        <v/>
      </c>
      <c r="AG184" s="48" t="str">
        <f t="shared" si="40"/>
        <v/>
      </c>
      <c r="AH184" s="209"/>
      <c r="AI184" s="210" t="str">
        <f t="shared" si="41"/>
        <v>Débil</v>
      </c>
      <c r="AJ184" s="21" t="str">
        <f>IFERROR(VLOOKUP((CONCATENATE(AG184,AI184)),Listados!$U$3:$V$11,2,FALSE),"")</f>
        <v/>
      </c>
      <c r="AK184" s="48">
        <f t="shared" si="42"/>
        <v>100</v>
      </c>
      <c r="AL184" s="355"/>
      <c r="AM184" s="357"/>
      <c r="AN184" s="173">
        <f>+IF(AND(Q184="Preventivo",AM181="Fuerte"),2,IF(AND(Q184="Preventivo",AM181="Moderado"),1,0))</f>
        <v>0</v>
      </c>
      <c r="AO184" s="173">
        <f t="shared" si="43"/>
        <v>0</v>
      </c>
      <c r="AP184" s="173">
        <f>+K181-AN184</f>
        <v>2</v>
      </c>
      <c r="AQ184" s="173">
        <f>+M181-AO184</f>
        <v>3</v>
      </c>
      <c r="AR184" s="346"/>
      <c r="AS184" s="346"/>
      <c r="AT184" s="346"/>
      <c r="AU184" s="346"/>
      <c r="AV184" s="311"/>
      <c r="AW184" s="312"/>
      <c r="AX184" s="313"/>
      <c r="AY184" s="311"/>
      <c r="AZ184" s="312"/>
      <c r="BA184" s="313"/>
      <c r="BB184" s="311"/>
      <c r="BC184" s="312"/>
      <c r="BD184" s="313"/>
    </row>
    <row r="185" spans="1:56" ht="15.75" thickBot="1">
      <c r="A185" s="329"/>
      <c r="B185" s="331"/>
      <c r="C185" s="332"/>
      <c r="D185" s="333"/>
      <c r="E185" s="203"/>
      <c r="F185" s="203"/>
      <c r="G185" s="204"/>
      <c r="H185" s="204"/>
      <c r="I185" s="204"/>
      <c r="J185" s="331"/>
      <c r="K185" s="349"/>
      <c r="L185" s="352"/>
      <c r="M185" s="349"/>
      <c r="N185" s="359"/>
      <c r="O185" s="203"/>
      <c r="P185" s="205"/>
      <c r="Q185" s="205"/>
      <c r="R185" s="215"/>
      <c r="S185" s="27" t="str">
        <f t="shared" si="32"/>
        <v/>
      </c>
      <c r="T185" s="215"/>
      <c r="U185" s="27" t="str">
        <f t="shared" si="33"/>
        <v/>
      </c>
      <c r="V185" s="208"/>
      <c r="W185" s="27" t="str">
        <f t="shared" si="34"/>
        <v/>
      </c>
      <c r="X185" s="208"/>
      <c r="Y185" s="27" t="str">
        <f t="shared" si="35"/>
        <v/>
      </c>
      <c r="Z185" s="208"/>
      <c r="AA185" s="27" t="str">
        <f t="shared" si="36"/>
        <v/>
      </c>
      <c r="AB185" s="208"/>
      <c r="AC185" s="27" t="str">
        <f t="shared" si="37"/>
        <v/>
      </c>
      <c r="AD185" s="208"/>
      <c r="AE185" s="27" t="str">
        <f t="shared" si="38"/>
        <v/>
      </c>
      <c r="AF185" s="48" t="str">
        <f t="shared" si="39"/>
        <v/>
      </c>
      <c r="AG185" s="48" t="str">
        <f t="shared" si="40"/>
        <v/>
      </c>
      <c r="AH185" s="209"/>
      <c r="AI185" s="210" t="str">
        <f t="shared" si="41"/>
        <v>Débil</v>
      </c>
      <c r="AJ185" s="21" t="str">
        <f>IFERROR(VLOOKUP((CONCATENATE(AG185,AI185)),Listados!$U$3:$V$11,2,FALSE),"")</f>
        <v/>
      </c>
      <c r="AK185" s="48">
        <f t="shared" si="42"/>
        <v>100</v>
      </c>
      <c r="AL185" s="355"/>
      <c r="AM185" s="357"/>
      <c r="AN185" s="173">
        <f>+IF(AND(Q185="Preventivo",AM181="Fuerte"),2,IF(AND(Q185="Preventivo",AM181="Moderado"),1,0))</f>
        <v>0</v>
      </c>
      <c r="AO185" s="173">
        <f t="shared" si="43"/>
        <v>0</v>
      </c>
      <c r="AP185" s="173">
        <f>+K181-AN185</f>
        <v>2</v>
      </c>
      <c r="AQ185" s="173">
        <f>+M181-AO185</f>
        <v>3</v>
      </c>
      <c r="AR185" s="346"/>
      <c r="AS185" s="346"/>
      <c r="AT185" s="346"/>
      <c r="AU185" s="346"/>
      <c r="AV185" s="311"/>
      <c r="AW185" s="312"/>
      <c r="AX185" s="313"/>
      <c r="AY185" s="311"/>
      <c r="AZ185" s="312"/>
      <c r="BA185" s="313"/>
      <c r="BB185" s="311"/>
      <c r="BC185" s="312"/>
      <c r="BD185" s="313"/>
    </row>
    <row r="186" spans="1:56" ht="15.75" thickBot="1">
      <c r="A186" s="330"/>
      <c r="B186" s="331"/>
      <c r="C186" s="332"/>
      <c r="D186" s="333"/>
      <c r="E186" s="203"/>
      <c r="F186" s="203"/>
      <c r="G186" s="204"/>
      <c r="H186" s="204"/>
      <c r="I186" s="204"/>
      <c r="J186" s="331"/>
      <c r="K186" s="350"/>
      <c r="L186" s="352"/>
      <c r="M186" s="350"/>
      <c r="N186" s="359"/>
      <c r="O186" s="203"/>
      <c r="P186" s="205"/>
      <c r="Q186" s="205"/>
      <c r="R186" s="215"/>
      <c r="S186" s="27" t="str">
        <f t="shared" si="32"/>
        <v/>
      </c>
      <c r="T186" s="215"/>
      <c r="U186" s="27" t="str">
        <f t="shared" si="33"/>
        <v/>
      </c>
      <c r="V186" s="208"/>
      <c r="W186" s="27" t="str">
        <f t="shared" si="34"/>
        <v/>
      </c>
      <c r="X186" s="208"/>
      <c r="Y186" s="27" t="str">
        <f t="shared" si="35"/>
        <v/>
      </c>
      <c r="Z186" s="208"/>
      <c r="AA186" s="27" t="str">
        <f t="shared" si="36"/>
        <v/>
      </c>
      <c r="AB186" s="208"/>
      <c r="AC186" s="27" t="str">
        <f t="shared" si="37"/>
        <v/>
      </c>
      <c r="AD186" s="208"/>
      <c r="AE186" s="27" t="str">
        <f t="shared" si="38"/>
        <v/>
      </c>
      <c r="AF186" s="48" t="str">
        <f t="shared" si="39"/>
        <v/>
      </c>
      <c r="AG186" s="48" t="str">
        <f t="shared" si="40"/>
        <v/>
      </c>
      <c r="AH186" s="209"/>
      <c r="AI186" s="210" t="str">
        <f t="shared" si="41"/>
        <v>Débil</v>
      </c>
      <c r="AJ186" s="21" t="str">
        <f>IFERROR(VLOOKUP((CONCATENATE(AG186,AI186)),Listados!$U$3:$V$11,2,FALSE),"")</f>
        <v/>
      </c>
      <c r="AK186" s="48">
        <f t="shared" si="42"/>
        <v>100</v>
      </c>
      <c r="AL186" s="356"/>
      <c r="AM186" s="357"/>
      <c r="AN186" s="173">
        <f>+IF(AND(Q186="Preventivo",AM181="Fuerte"),2,IF(AND(Q186="Preventivo",AM181="Moderado"),1,0))</f>
        <v>0</v>
      </c>
      <c r="AO186" s="173">
        <f t="shared" si="43"/>
        <v>0</v>
      </c>
      <c r="AP186" s="173">
        <f>+K181-AN186</f>
        <v>2</v>
      </c>
      <c r="AQ186" s="173">
        <f>+M181-AO186</f>
        <v>3</v>
      </c>
      <c r="AR186" s="347"/>
      <c r="AS186" s="347"/>
      <c r="AT186" s="347"/>
      <c r="AU186" s="347"/>
      <c r="AV186" s="311"/>
      <c r="AW186" s="312"/>
      <c r="AX186" s="313"/>
      <c r="AY186" s="311"/>
      <c r="AZ186" s="312"/>
      <c r="BA186" s="313"/>
      <c r="BB186" s="311"/>
      <c r="BC186" s="312"/>
      <c r="BD186" s="313"/>
    </row>
    <row r="187" spans="1:56" ht="214.5" thickBot="1">
      <c r="A187" s="328">
        <v>31</v>
      </c>
      <c r="B187" s="331" t="s">
        <v>68</v>
      </c>
      <c r="C187" s="332" t="str">
        <f>IFERROR(VLOOKUP(B187,Listados!B$3:C$20,2,FALSE),"")</f>
        <v>Gestión contra la Criminalidad y la Reincidencia</v>
      </c>
      <c r="D187" s="333" t="s">
        <v>453</v>
      </c>
      <c r="E187" s="203" t="s">
        <v>52</v>
      </c>
      <c r="F187" s="203"/>
      <c r="G187" s="204" t="s">
        <v>454</v>
      </c>
      <c r="H187" s="204" t="s">
        <v>16</v>
      </c>
      <c r="I187" s="204" t="s">
        <v>455</v>
      </c>
      <c r="J187" s="331" t="s">
        <v>31</v>
      </c>
      <c r="K187" s="348">
        <f>+VLOOKUP(J187,Listados!$K$8:$L$12,2,0)</f>
        <v>2</v>
      </c>
      <c r="L187" s="351" t="s">
        <v>54</v>
      </c>
      <c r="M187" s="348">
        <f>+VLOOKUP(L187,Listados!$K$13:$L$17,2,0)</f>
        <v>4</v>
      </c>
      <c r="N187" s="358" t="str">
        <f>IF(AND(J187&lt;&gt;"",L187&lt;&gt;""),VLOOKUP(J187&amp;L187,Listados!$M$3:$N$27,2,FALSE),"")</f>
        <v>Alto</v>
      </c>
      <c r="O187" s="204" t="s">
        <v>456</v>
      </c>
      <c r="P187" s="204" t="s">
        <v>454</v>
      </c>
      <c r="Q187" s="204" t="s">
        <v>20</v>
      </c>
      <c r="R187" s="215"/>
      <c r="S187" s="27" t="str">
        <f t="shared" si="32"/>
        <v/>
      </c>
      <c r="T187" s="215"/>
      <c r="U187" s="27" t="str">
        <f t="shared" si="33"/>
        <v/>
      </c>
      <c r="V187" s="208"/>
      <c r="W187" s="27" t="str">
        <f t="shared" si="34"/>
        <v/>
      </c>
      <c r="X187" s="208"/>
      <c r="Y187" s="27" t="str">
        <f t="shared" si="35"/>
        <v/>
      </c>
      <c r="Z187" s="208"/>
      <c r="AA187" s="27" t="str">
        <f t="shared" si="36"/>
        <v/>
      </c>
      <c r="AB187" s="208"/>
      <c r="AC187" s="27" t="str">
        <f t="shared" si="37"/>
        <v/>
      </c>
      <c r="AD187" s="208"/>
      <c r="AE187" s="27" t="str">
        <f t="shared" si="38"/>
        <v/>
      </c>
      <c r="AF187" s="48" t="str">
        <f t="shared" si="39"/>
        <v/>
      </c>
      <c r="AG187" s="48" t="str">
        <f t="shared" si="40"/>
        <v/>
      </c>
      <c r="AH187" s="209"/>
      <c r="AI187" s="210" t="str">
        <f t="shared" si="41"/>
        <v>Débil</v>
      </c>
      <c r="AJ187" s="21" t="str">
        <f>IFERROR(VLOOKUP((CONCATENATE(AG187,AI187)),Listados!$U$3:$V$11,2,FALSE),"")</f>
        <v/>
      </c>
      <c r="AK187" s="48">
        <f t="shared" si="42"/>
        <v>100</v>
      </c>
      <c r="AL187" s="354">
        <f>AVERAGE(AK187:AK192)</f>
        <v>100</v>
      </c>
      <c r="AM187" s="356" t="str">
        <f>IF(AL187&lt;=50, "Débil", IF(AL187&lt;=99,"Moderado","Fuerte"))</f>
        <v>Fuerte</v>
      </c>
      <c r="AN187" s="173">
        <f>+IF(AND(Q187="Preventivo",AM187="Fuerte"),2,IF(AND(Q187="Preventivo",AM187="Moderado"),1,0))</f>
        <v>2</v>
      </c>
      <c r="AO187" s="173">
        <f t="shared" si="43"/>
        <v>1</v>
      </c>
      <c r="AP187" s="173">
        <f>+K187-AN187</f>
        <v>0</v>
      </c>
      <c r="AQ187" s="173">
        <f>+M187-AO187</f>
        <v>3</v>
      </c>
      <c r="AR187" s="345" t="str">
        <f>+VLOOKUP(MIN(AP187,AP188,AP189,AP190,AP191,AP192),Listados!$J$18:$K$24,2,TRUE)</f>
        <v>Rara Vez</v>
      </c>
      <c r="AS187" s="345" t="str">
        <f>+VLOOKUP(MIN(AQ187,AQ188,AQ189,AQ190,AQ191,AQ192),Listados!$J$27:$K$32,2,TRUE)</f>
        <v>Moderado</v>
      </c>
      <c r="AT187" s="345" t="str">
        <f>IF(AND(AR187&lt;&gt;"",AS187&lt;&gt;""),VLOOKUP(AR187&amp;AS187,Listados!$M$3:$N$27,2,FALSE),"")</f>
        <v>Moderado</v>
      </c>
      <c r="AU187" s="345" t="str">
        <f>+VLOOKUP(AT187,Listados!$P$3:$Q$6,2,FALSE)</f>
        <v xml:space="preserve"> Reducir el riesgo</v>
      </c>
      <c r="AV187" s="311"/>
      <c r="AW187" s="312"/>
      <c r="AX187" s="313"/>
      <c r="AY187" s="311"/>
      <c r="AZ187" s="312"/>
      <c r="BA187" s="313"/>
      <c r="BB187" s="311"/>
      <c r="BC187" s="312"/>
      <c r="BD187" s="313"/>
    </row>
    <row r="188" spans="1:56" ht="228.75" thickBot="1">
      <c r="A188" s="329"/>
      <c r="B188" s="331"/>
      <c r="C188" s="332"/>
      <c r="D188" s="333"/>
      <c r="E188" s="203"/>
      <c r="F188" s="203"/>
      <c r="G188" s="204" t="s">
        <v>446</v>
      </c>
      <c r="H188" s="204" t="s">
        <v>16</v>
      </c>
      <c r="I188" s="204"/>
      <c r="J188" s="331"/>
      <c r="K188" s="349"/>
      <c r="L188" s="352"/>
      <c r="M188" s="349"/>
      <c r="N188" s="359"/>
      <c r="O188" s="204" t="s">
        <v>457</v>
      </c>
      <c r="P188" s="204" t="s">
        <v>454</v>
      </c>
      <c r="Q188" s="204" t="s">
        <v>20</v>
      </c>
      <c r="R188" s="215"/>
      <c r="S188" s="27" t="str">
        <f t="shared" si="32"/>
        <v/>
      </c>
      <c r="T188" s="215"/>
      <c r="U188" s="27" t="str">
        <f t="shared" si="33"/>
        <v/>
      </c>
      <c r="V188" s="208"/>
      <c r="W188" s="27" t="str">
        <f t="shared" si="34"/>
        <v/>
      </c>
      <c r="X188" s="208"/>
      <c r="Y188" s="27" t="str">
        <f t="shared" si="35"/>
        <v/>
      </c>
      <c r="Z188" s="208"/>
      <c r="AA188" s="27" t="str">
        <f t="shared" si="36"/>
        <v/>
      </c>
      <c r="AB188" s="208"/>
      <c r="AC188" s="27" t="str">
        <f t="shared" si="37"/>
        <v/>
      </c>
      <c r="AD188" s="208"/>
      <c r="AE188" s="27" t="str">
        <f t="shared" si="38"/>
        <v/>
      </c>
      <c r="AF188" s="48" t="str">
        <f t="shared" si="39"/>
        <v/>
      </c>
      <c r="AG188" s="48" t="str">
        <f t="shared" si="40"/>
        <v/>
      </c>
      <c r="AH188" s="209"/>
      <c r="AI188" s="210" t="str">
        <f t="shared" si="41"/>
        <v>Débil</v>
      </c>
      <c r="AJ188" s="21" t="str">
        <f>IFERROR(VLOOKUP((CONCATENATE(AG188,AI188)),Listados!$U$3:$V$11,2,FALSE),"")</f>
        <v/>
      </c>
      <c r="AK188" s="48">
        <f t="shared" si="42"/>
        <v>100</v>
      </c>
      <c r="AL188" s="355"/>
      <c r="AM188" s="357"/>
      <c r="AN188" s="173">
        <f>+IF(AND(Q188="Preventivo",AM187="Fuerte"),2,IF(AND(Q188="Preventivo",AM187="Moderado"),1,0))</f>
        <v>2</v>
      </c>
      <c r="AO188" s="173">
        <f t="shared" si="43"/>
        <v>1</v>
      </c>
      <c r="AP188" s="173">
        <f>+K187-AN188</f>
        <v>0</v>
      </c>
      <c r="AQ188" s="173">
        <f>+M187-AO188</f>
        <v>3</v>
      </c>
      <c r="AR188" s="346"/>
      <c r="AS188" s="346"/>
      <c r="AT188" s="346"/>
      <c r="AU188" s="346"/>
      <c r="AV188" s="311"/>
      <c r="AW188" s="312"/>
      <c r="AX188" s="313"/>
      <c r="AY188" s="311"/>
      <c r="AZ188" s="312"/>
      <c r="BA188" s="313"/>
      <c r="BB188" s="311"/>
      <c r="BC188" s="312"/>
      <c r="BD188" s="313"/>
    </row>
    <row r="189" spans="1:56" ht="271.5" thickBot="1">
      <c r="A189" s="329"/>
      <c r="B189" s="331"/>
      <c r="C189" s="332"/>
      <c r="D189" s="333"/>
      <c r="E189" s="203"/>
      <c r="F189" s="203"/>
      <c r="G189" s="204"/>
      <c r="H189" s="204"/>
      <c r="I189" s="204"/>
      <c r="J189" s="331"/>
      <c r="K189" s="349"/>
      <c r="L189" s="352"/>
      <c r="M189" s="349"/>
      <c r="N189" s="359"/>
      <c r="O189" s="204" t="s">
        <v>458</v>
      </c>
      <c r="P189" s="204" t="s">
        <v>446</v>
      </c>
      <c r="Q189" s="204" t="s">
        <v>20</v>
      </c>
      <c r="R189" s="215"/>
      <c r="S189" s="27" t="str">
        <f t="shared" si="32"/>
        <v/>
      </c>
      <c r="T189" s="215"/>
      <c r="U189" s="27" t="str">
        <f t="shared" si="33"/>
        <v/>
      </c>
      <c r="V189" s="208"/>
      <c r="W189" s="27" t="str">
        <f t="shared" si="34"/>
        <v/>
      </c>
      <c r="X189" s="208"/>
      <c r="Y189" s="27" t="str">
        <f t="shared" si="35"/>
        <v/>
      </c>
      <c r="Z189" s="208"/>
      <c r="AA189" s="27" t="str">
        <f t="shared" si="36"/>
        <v/>
      </c>
      <c r="AB189" s="208"/>
      <c r="AC189" s="27" t="str">
        <f t="shared" si="37"/>
        <v/>
      </c>
      <c r="AD189" s="208"/>
      <c r="AE189" s="27" t="str">
        <f t="shared" si="38"/>
        <v/>
      </c>
      <c r="AF189" s="48" t="str">
        <f t="shared" si="39"/>
        <v/>
      </c>
      <c r="AG189" s="48" t="str">
        <f t="shared" si="40"/>
        <v/>
      </c>
      <c r="AH189" s="209"/>
      <c r="AI189" s="210" t="str">
        <f t="shared" si="41"/>
        <v>Débil</v>
      </c>
      <c r="AJ189" s="21" t="str">
        <f>IFERROR(VLOOKUP((CONCATENATE(AG189,AI189)),Listados!$U$3:$V$11,2,FALSE),"")</f>
        <v/>
      </c>
      <c r="AK189" s="48">
        <f t="shared" si="42"/>
        <v>100</v>
      </c>
      <c r="AL189" s="355"/>
      <c r="AM189" s="357"/>
      <c r="AN189" s="173">
        <f>+IF(AND(Q189="Preventivo",AM187="Fuerte"),2,IF(AND(Q189="Preventivo",AM187="Moderado"),1,0))</f>
        <v>2</v>
      </c>
      <c r="AO189" s="173">
        <f t="shared" si="43"/>
        <v>1</v>
      </c>
      <c r="AP189" s="173">
        <f>+K187-AN189</f>
        <v>0</v>
      </c>
      <c r="AQ189" s="173">
        <f>+M187-AO189</f>
        <v>3</v>
      </c>
      <c r="AR189" s="346"/>
      <c r="AS189" s="346"/>
      <c r="AT189" s="346"/>
      <c r="AU189" s="346"/>
      <c r="AV189" s="311"/>
      <c r="AW189" s="312"/>
      <c r="AX189" s="313"/>
      <c r="AY189" s="311"/>
      <c r="AZ189" s="312"/>
      <c r="BA189" s="313"/>
      <c r="BB189" s="311"/>
      <c r="BC189" s="312"/>
      <c r="BD189" s="313"/>
    </row>
    <row r="190" spans="1:56" ht="15.75" thickBot="1">
      <c r="A190" s="329"/>
      <c r="B190" s="331"/>
      <c r="C190" s="332"/>
      <c r="D190" s="333"/>
      <c r="E190" s="203"/>
      <c r="F190" s="203"/>
      <c r="G190" s="204"/>
      <c r="H190" s="204"/>
      <c r="I190" s="204"/>
      <c r="J190" s="331"/>
      <c r="K190" s="349"/>
      <c r="L190" s="352"/>
      <c r="M190" s="349"/>
      <c r="N190" s="359"/>
      <c r="O190" s="203"/>
      <c r="P190" s="205"/>
      <c r="Q190" s="205"/>
      <c r="R190" s="215"/>
      <c r="S190" s="27" t="str">
        <f t="shared" si="32"/>
        <v/>
      </c>
      <c r="T190" s="215"/>
      <c r="U190" s="27" t="str">
        <f t="shared" si="33"/>
        <v/>
      </c>
      <c r="V190" s="208"/>
      <c r="W190" s="27" t="str">
        <f t="shared" si="34"/>
        <v/>
      </c>
      <c r="X190" s="208"/>
      <c r="Y190" s="27" t="str">
        <f t="shared" si="35"/>
        <v/>
      </c>
      <c r="Z190" s="208"/>
      <c r="AA190" s="27" t="str">
        <f t="shared" si="36"/>
        <v/>
      </c>
      <c r="AB190" s="208"/>
      <c r="AC190" s="27" t="str">
        <f t="shared" si="37"/>
        <v/>
      </c>
      <c r="AD190" s="208"/>
      <c r="AE190" s="27" t="str">
        <f t="shared" si="38"/>
        <v/>
      </c>
      <c r="AF190" s="48" t="str">
        <f t="shared" si="39"/>
        <v/>
      </c>
      <c r="AG190" s="48" t="str">
        <f t="shared" si="40"/>
        <v/>
      </c>
      <c r="AH190" s="209"/>
      <c r="AI190" s="210" t="str">
        <f t="shared" si="41"/>
        <v>Débil</v>
      </c>
      <c r="AJ190" s="21" t="str">
        <f>IFERROR(VLOOKUP((CONCATENATE(AG190,AI190)),Listados!$U$3:$V$11,2,FALSE),"")</f>
        <v/>
      </c>
      <c r="AK190" s="48">
        <f t="shared" si="42"/>
        <v>100</v>
      </c>
      <c r="AL190" s="355"/>
      <c r="AM190" s="357"/>
      <c r="AN190" s="173">
        <f>+IF(AND(Q190="Preventivo",AM187="Fuerte"),2,IF(AND(Q190="Preventivo",AM187="Moderado"),1,0))</f>
        <v>0</v>
      </c>
      <c r="AO190" s="173">
        <f t="shared" si="43"/>
        <v>0</v>
      </c>
      <c r="AP190" s="173">
        <f>+K187-AN190</f>
        <v>2</v>
      </c>
      <c r="AQ190" s="173">
        <f>+M187-AO190</f>
        <v>4</v>
      </c>
      <c r="AR190" s="346"/>
      <c r="AS190" s="346"/>
      <c r="AT190" s="346"/>
      <c r="AU190" s="346"/>
      <c r="AV190" s="311"/>
      <c r="AW190" s="312"/>
      <c r="AX190" s="313"/>
      <c r="AY190" s="311"/>
      <c r="AZ190" s="312"/>
      <c r="BA190" s="313"/>
      <c r="BB190" s="311"/>
      <c r="BC190" s="312"/>
      <c r="BD190" s="313"/>
    </row>
    <row r="191" spans="1:56" ht="15.75" thickBot="1">
      <c r="A191" s="329"/>
      <c r="B191" s="331"/>
      <c r="C191" s="332"/>
      <c r="D191" s="333"/>
      <c r="E191" s="203"/>
      <c r="F191" s="203"/>
      <c r="G191" s="204"/>
      <c r="H191" s="204"/>
      <c r="I191" s="204"/>
      <c r="J191" s="331"/>
      <c r="K191" s="349"/>
      <c r="L191" s="352"/>
      <c r="M191" s="349"/>
      <c r="N191" s="359"/>
      <c r="O191" s="203"/>
      <c r="P191" s="205"/>
      <c r="Q191" s="205"/>
      <c r="R191" s="215"/>
      <c r="S191" s="27" t="str">
        <f t="shared" si="32"/>
        <v/>
      </c>
      <c r="T191" s="215"/>
      <c r="U191" s="27" t="str">
        <f t="shared" si="33"/>
        <v/>
      </c>
      <c r="V191" s="208"/>
      <c r="W191" s="27" t="str">
        <f t="shared" si="34"/>
        <v/>
      </c>
      <c r="X191" s="208"/>
      <c r="Y191" s="27" t="str">
        <f t="shared" si="35"/>
        <v/>
      </c>
      <c r="Z191" s="208"/>
      <c r="AA191" s="27" t="str">
        <f t="shared" si="36"/>
        <v/>
      </c>
      <c r="AB191" s="208"/>
      <c r="AC191" s="27" t="str">
        <f t="shared" si="37"/>
        <v/>
      </c>
      <c r="AD191" s="208"/>
      <c r="AE191" s="27" t="str">
        <f t="shared" si="38"/>
        <v/>
      </c>
      <c r="AF191" s="48" t="str">
        <f t="shared" si="39"/>
        <v/>
      </c>
      <c r="AG191" s="48" t="str">
        <f t="shared" si="40"/>
        <v/>
      </c>
      <c r="AH191" s="209"/>
      <c r="AI191" s="210" t="str">
        <f t="shared" si="41"/>
        <v>Débil</v>
      </c>
      <c r="AJ191" s="21" t="str">
        <f>IFERROR(VLOOKUP((CONCATENATE(AG191,AI191)),Listados!$U$3:$V$11,2,FALSE),"")</f>
        <v/>
      </c>
      <c r="AK191" s="48">
        <f t="shared" si="42"/>
        <v>100</v>
      </c>
      <c r="AL191" s="355"/>
      <c r="AM191" s="357"/>
      <c r="AN191" s="173">
        <f>+IF(AND(Q191="Preventivo",AM187="Fuerte"),2,IF(AND(Q191="Preventivo",AM187="Moderado"),1,0))</f>
        <v>0</v>
      </c>
      <c r="AO191" s="173">
        <f t="shared" si="43"/>
        <v>0</v>
      </c>
      <c r="AP191" s="173">
        <f>+K187-AN191</f>
        <v>2</v>
      </c>
      <c r="AQ191" s="173">
        <f>+M187-AO191</f>
        <v>4</v>
      </c>
      <c r="AR191" s="346"/>
      <c r="AS191" s="346"/>
      <c r="AT191" s="346"/>
      <c r="AU191" s="346"/>
      <c r="AV191" s="311"/>
      <c r="AW191" s="312"/>
      <c r="AX191" s="313"/>
      <c r="AY191" s="311"/>
      <c r="AZ191" s="312"/>
      <c r="BA191" s="313"/>
      <c r="BB191" s="311"/>
      <c r="BC191" s="312"/>
      <c r="BD191" s="313"/>
    </row>
    <row r="192" spans="1:56" ht="15.75" thickBot="1">
      <c r="A192" s="330"/>
      <c r="B192" s="331"/>
      <c r="C192" s="332"/>
      <c r="D192" s="333"/>
      <c r="E192" s="203"/>
      <c r="F192" s="203"/>
      <c r="G192" s="204"/>
      <c r="H192" s="204"/>
      <c r="I192" s="204"/>
      <c r="J192" s="331"/>
      <c r="K192" s="350"/>
      <c r="L192" s="352"/>
      <c r="M192" s="350"/>
      <c r="N192" s="359"/>
      <c r="O192" s="203"/>
      <c r="P192" s="205"/>
      <c r="Q192" s="205"/>
      <c r="R192" s="215"/>
      <c r="S192" s="27" t="str">
        <f t="shared" si="32"/>
        <v/>
      </c>
      <c r="T192" s="215"/>
      <c r="U192" s="27" t="str">
        <f t="shared" si="33"/>
        <v/>
      </c>
      <c r="V192" s="208"/>
      <c r="W192" s="27" t="str">
        <f t="shared" si="34"/>
        <v/>
      </c>
      <c r="X192" s="208"/>
      <c r="Y192" s="27" t="str">
        <f t="shared" si="35"/>
        <v/>
      </c>
      <c r="Z192" s="208"/>
      <c r="AA192" s="27" t="str">
        <f t="shared" si="36"/>
        <v/>
      </c>
      <c r="AB192" s="208"/>
      <c r="AC192" s="27" t="str">
        <f t="shared" si="37"/>
        <v/>
      </c>
      <c r="AD192" s="208"/>
      <c r="AE192" s="27" t="str">
        <f t="shared" si="38"/>
        <v/>
      </c>
      <c r="AF192" s="48" t="str">
        <f t="shared" si="39"/>
        <v/>
      </c>
      <c r="AG192" s="48" t="str">
        <f t="shared" si="40"/>
        <v/>
      </c>
      <c r="AH192" s="209"/>
      <c r="AI192" s="210" t="str">
        <f t="shared" si="41"/>
        <v>Débil</v>
      </c>
      <c r="AJ192" s="21" t="str">
        <f>IFERROR(VLOOKUP((CONCATENATE(AG192,AI192)),Listados!$U$3:$V$11,2,FALSE),"")</f>
        <v/>
      </c>
      <c r="AK192" s="48">
        <f t="shared" si="42"/>
        <v>100</v>
      </c>
      <c r="AL192" s="356"/>
      <c r="AM192" s="357"/>
      <c r="AN192" s="173">
        <f>+IF(AND(Q192="Preventivo",AM187="Fuerte"),2,IF(AND(Q192="Preventivo",AM187="Moderado"),1,0))</f>
        <v>0</v>
      </c>
      <c r="AO192" s="173">
        <f t="shared" si="43"/>
        <v>0</v>
      </c>
      <c r="AP192" s="173">
        <f>+K187-AN192</f>
        <v>2</v>
      </c>
      <c r="AQ192" s="173">
        <f>+M187-AO192</f>
        <v>4</v>
      </c>
      <c r="AR192" s="347"/>
      <c r="AS192" s="347"/>
      <c r="AT192" s="347"/>
      <c r="AU192" s="347"/>
      <c r="AV192" s="311"/>
      <c r="AW192" s="312"/>
      <c r="AX192" s="313"/>
      <c r="AY192" s="311"/>
      <c r="AZ192" s="312"/>
      <c r="BA192" s="313"/>
      <c r="BB192" s="311"/>
      <c r="BC192" s="312"/>
      <c r="BD192" s="313"/>
    </row>
    <row r="193" spans="1:56" ht="186" thickBot="1">
      <c r="A193" s="328">
        <v>32</v>
      </c>
      <c r="B193" s="331" t="s">
        <v>68</v>
      </c>
      <c r="C193" s="332" t="str">
        <f>IFERROR(VLOOKUP(B193,Listados!B$3:C$20,2,FALSE),"")</f>
        <v>Gestión contra la Criminalidad y la Reincidencia</v>
      </c>
      <c r="D193" s="333" t="s">
        <v>459</v>
      </c>
      <c r="E193" s="203" t="s">
        <v>15</v>
      </c>
      <c r="F193" s="203" t="s">
        <v>178</v>
      </c>
      <c r="G193" s="204" t="s">
        <v>460</v>
      </c>
      <c r="H193" s="204" t="s">
        <v>30</v>
      </c>
      <c r="I193" s="204" t="s">
        <v>461</v>
      </c>
      <c r="J193" s="331" t="s">
        <v>53</v>
      </c>
      <c r="K193" s="348">
        <f>+VLOOKUP(J193,Listados!$K$8:$L$12,2,0)</f>
        <v>4</v>
      </c>
      <c r="L193" s="351" t="s">
        <v>36</v>
      </c>
      <c r="M193" s="348">
        <f>+VLOOKUP(L193,Listados!$K$13:$L$17,2,0)</f>
        <v>3</v>
      </c>
      <c r="N193" s="358" t="str">
        <f>IF(AND(J193&lt;&gt;"",L193&lt;&gt;""),VLOOKUP(J193&amp;L193,Listados!$M$3:$N$27,2,FALSE),"")</f>
        <v>Alto</v>
      </c>
      <c r="O193" s="204" t="s">
        <v>462</v>
      </c>
      <c r="P193" s="204" t="s">
        <v>460</v>
      </c>
      <c r="Q193" s="204" t="s">
        <v>123</v>
      </c>
      <c r="R193" s="215"/>
      <c r="S193" s="27" t="str">
        <f t="shared" si="32"/>
        <v/>
      </c>
      <c r="T193" s="215"/>
      <c r="U193" s="27" t="str">
        <f t="shared" si="33"/>
        <v/>
      </c>
      <c r="V193" s="208"/>
      <c r="W193" s="27" t="str">
        <f t="shared" si="34"/>
        <v/>
      </c>
      <c r="X193" s="208"/>
      <c r="Y193" s="27" t="str">
        <f t="shared" si="35"/>
        <v/>
      </c>
      <c r="Z193" s="208"/>
      <c r="AA193" s="27" t="str">
        <f t="shared" si="36"/>
        <v/>
      </c>
      <c r="AB193" s="208"/>
      <c r="AC193" s="27" t="str">
        <f t="shared" si="37"/>
        <v/>
      </c>
      <c r="AD193" s="208"/>
      <c r="AE193" s="27" t="str">
        <f t="shared" si="38"/>
        <v/>
      </c>
      <c r="AF193" s="48" t="str">
        <f t="shared" si="39"/>
        <v/>
      </c>
      <c r="AG193" s="48" t="str">
        <f t="shared" si="40"/>
        <v/>
      </c>
      <c r="AH193" s="209"/>
      <c r="AI193" s="210" t="str">
        <f t="shared" si="41"/>
        <v>Débil</v>
      </c>
      <c r="AJ193" s="21" t="str">
        <f>IFERROR(VLOOKUP((CONCATENATE(AG193,AI193)),Listados!$U$3:$V$11,2,FALSE),"")</f>
        <v/>
      </c>
      <c r="AK193" s="48">
        <f t="shared" si="42"/>
        <v>100</v>
      </c>
      <c r="AL193" s="354">
        <f>AVERAGE(AK193:AK198)</f>
        <v>100</v>
      </c>
      <c r="AM193" s="356" t="str">
        <f>IF(AL193&lt;=50, "Débil", IF(AL193&lt;=99,"Moderado","Fuerte"))</f>
        <v>Fuerte</v>
      </c>
      <c r="AN193" s="173">
        <f>+IF(AND(Q193="Preventivo",AM193="Fuerte"),2,IF(AND(Q193="Preventivo",AM193="Moderado"),1,0))</f>
        <v>0</v>
      </c>
      <c r="AO193" s="173">
        <f t="shared" si="43"/>
        <v>2</v>
      </c>
      <c r="AP193" s="173">
        <f>+K193-AN193</f>
        <v>4</v>
      </c>
      <c r="AQ193" s="173">
        <f>+M193-AO193</f>
        <v>1</v>
      </c>
      <c r="AR193" s="345" t="str">
        <f>+VLOOKUP(MIN(AP193,AP194,AP195,AP196,AP197,AP198),Listados!$J$18:$K$24,2,TRUE)</f>
        <v>Probable</v>
      </c>
      <c r="AS193" s="345" t="str">
        <f>+VLOOKUP(MIN(AQ193,AQ194,AQ195,AQ196,AQ197,AQ198),Listados!$J$27:$K$32,2,TRUE)</f>
        <v>Insignificante</v>
      </c>
      <c r="AT193" s="345" t="str">
        <f>IF(AND(AR193&lt;&gt;"",AS193&lt;&gt;""),VLOOKUP(AR193&amp;AS193,Listados!$M$3:$N$27,2,FALSE),"")</f>
        <v>Moderado</v>
      </c>
      <c r="AU193" s="345" t="str">
        <f>+VLOOKUP(AT193,Listados!$P$3:$Q$6,2,FALSE)</f>
        <v xml:space="preserve"> Reducir el riesgo</v>
      </c>
      <c r="AV193" s="311"/>
      <c r="AW193" s="312"/>
      <c r="AX193" s="313"/>
      <c r="AY193" s="311"/>
      <c r="AZ193" s="312"/>
      <c r="BA193" s="313"/>
      <c r="BB193" s="311"/>
      <c r="BC193" s="312"/>
      <c r="BD193" s="313"/>
    </row>
    <row r="194" spans="1:56" ht="15.75" thickBot="1">
      <c r="A194" s="329"/>
      <c r="B194" s="331"/>
      <c r="C194" s="332"/>
      <c r="D194" s="333"/>
      <c r="E194" s="203"/>
      <c r="F194" s="203"/>
      <c r="G194" s="204"/>
      <c r="H194" s="204"/>
      <c r="I194" s="204"/>
      <c r="J194" s="331"/>
      <c r="K194" s="349"/>
      <c r="L194" s="352"/>
      <c r="M194" s="349"/>
      <c r="N194" s="359"/>
      <c r="O194" s="203"/>
      <c r="P194" s="205"/>
      <c r="Q194" s="205"/>
      <c r="R194" s="215"/>
      <c r="S194" s="27" t="str">
        <f t="shared" si="32"/>
        <v/>
      </c>
      <c r="T194" s="215"/>
      <c r="U194" s="27" t="str">
        <f t="shared" si="33"/>
        <v/>
      </c>
      <c r="V194" s="208"/>
      <c r="W194" s="27" t="str">
        <f t="shared" si="34"/>
        <v/>
      </c>
      <c r="X194" s="208"/>
      <c r="Y194" s="27" t="str">
        <f t="shared" si="35"/>
        <v/>
      </c>
      <c r="Z194" s="208"/>
      <c r="AA194" s="27" t="str">
        <f t="shared" si="36"/>
        <v/>
      </c>
      <c r="AB194" s="208"/>
      <c r="AC194" s="27" t="str">
        <f t="shared" si="37"/>
        <v/>
      </c>
      <c r="AD194" s="208"/>
      <c r="AE194" s="27" t="str">
        <f t="shared" si="38"/>
        <v/>
      </c>
      <c r="AF194" s="48" t="str">
        <f t="shared" si="39"/>
        <v/>
      </c>
      <c r="AG194" s="48" t="str">
        <f t="shared" si="40"/>
        <v/>
      </c>
      <c r="AH194" s="209"/>
      <c r="AI194" s="210" t="str">
        <f t="shared" si="41"/>
        <v>Débil</v>
      </c>
      <c r="AJ194" s="21" t="str">
        <f>IFERROR(VLOOKUP((CONCATENATE(AG194,AI194)),Listados!$U$3:$V$11,2,FALSE),"")</f>
        <v/>
      </c>
      <c r="AK194" s="48">
        <f t="shared" si="42"/>
        <v>100</v>
      </c>
      <c r="AL194" s="355"/>
      <c r="AM194" s="357"/>
      <c r="AN194" s="173">
        <f>+IF(AND(Q194="Preventivo",AM193="Fuerte"),2,IF(AND(Q194="Preventivo",AM193="Moderado"),1,0))</f>
        <v>0</v>
      </c>
      <c r="AO194" s="173">
        <f t="shared" si="43"/>
        <v>0</v>
      </c>
      <c r="AP194" s="173">
        <f>+K193-AN194</f>
        <v>4</v>
      </c>
      <c r="AQ194" s="173">
        <f>+M193-AO194</f>
        <v>3</v>
      </c>
      <c r="AR194" s="346"/>
      <c r="AS194" s="346"/>
      <c r="AT194" s="346"/>
      <c r="AU194" s="346"/>
      <c r="AV194" s="311"/>
      <c r="AW194" s="312"/>
      <c r="AX194" s="313"/>
      <c r="AY194" s="311"/>
      <c r="AZ194" s="312"/>
      <c r="BA194" s="313"/>
      <c r="BB194" s="311"/>
      <c r="BC194" s="312"/>
      <c r="BD194" s="313"/>
    </row>
    <row r="195" spans="1:56" ht="15.75" thickBot="1">
      <c r="A195" s="329"/>
      <c r="B195" s="331"/>
      <c r="C195" s="332"/>
      <c r="D195" s="333"/>
      <c r="E195" s="203"/>
      <c r="F195" s="203"/>
      <c r="G195" s="204"/>
      <c r="H195" s="204"/>
      <c r="I195" s="204"/>
      <c r="J195" s="331"/>
      <c r="K195" s="349"/>
      <c r="L195" s="352"/>
      <c r="M195" s="349"/>
      <c r="N195" s="359"/>
      <c r="O195" s="203"/>
      <c r="P195" s="205"/>
      <c r="Q195" s="205"/>
      <c r="R195" s="215"/>
      <c r="S195" s="27" t="str">
        <f t="shared" si="32"/>
        <v/>
      </c>
      <c r="T195" s="215"/>
      <c r="U195" s="27" t="str">
        <f t="shared" si="33"/>
        <v/>
      </c>
      <c r="V195" s="208"/>
      <c r="W195" s="27" t="str">
        <f t="shared" si="34"/>
        <v/>
      </c>
      <c r="X195" s="208"/>
      <c r="Y195" s="27" t="str">
        <f t="shared" si="35"/>
        <v/>
      </c>
      <c r="Z195" s="208"/>
      <c r="AA195" s="27" t="str">
        <f t="shared" si="36"/>
        <v/>
      </c>
      <c r="AB195" s="208"/>
      <c r="AC195" s="27" t="str">
        <f t="shared" si="37"/>
        <v/>
      </c>
      <c r="AD195" s="208"/>
      <c r="AE195" s="27" t="str">
        <f t="shared" si="38"/>
        <v/>
      </c>
      <c r="AF195" s="48" t="str">
        <f t="shared" si="39"/>
        <v/>
      </c>
      <c r="AG195" s="48" t="str">
        <f t="shared" si="40"/>
        <v/>
      </c>
      <c r="AH195" s="209"/>
      <c r="AI195" s="210" t="str">
        <f t="shared" si="41"/>
        <v>Débil</v>
      </c>
      <c r="AJ195" s="21" t="str">
        <f>IFERROR(VLOOKUP((CONCATENATE(AG195,AI195)),Listados!$U$3:$V$11,2,FALSE),"")</f>
        <v/>
      </c>
      <c r="AK195" s="48">
        <f t="shared" si="42"/>
        <v>100</v>
      </c>
      <c r="AL195" s="355"/>
      <c r="AM195" s="357"/>
      <c r="AN195" s="173">
        <f>+IF(AND(Q195="Preventivo",AM193="Fuerte"),2,IF(AND(Q195="Preventivo",AM193="Moderado"),1,0))</f>
        <v>0</v>
      </c>
      <c r="AO195" s="173">
        <f t="shared" si="43"/>
        <v>0</v>
      </c>
      <c r="AP195" s="173">
        <f>+K193-AN195</f>
        <v>4</v>
      </c>
      <c r="AQ195" s="173">
        <f>+M193-AO195</f>
        <v>3</v>
      </c>
      <c r="AR195" s="346"/>
      <c r="AS195" s="346"/>
      <c r="AT195" s="346"/>
      <c r="AU195" s="346"/>
      <c r="AV195" s="311"/>
      <c r="AW195" s="312"/>
      <c r="AX195" s="313"/>
      <c r="AY195" s="311"/>
      <c r="AZ195" s="312"/>
      <c r="BA195" s="313"/>
      <c r="BB195" s="311"/>
      <c r="BC195" s="312"/>
      <c r="BD195" s="313"/>
    </row>
    <row r="196" spans="1:56" ht="15.75" thickBot="1">
      <c r="A196" s="329"/>
      <c r="B196" s="331"/>
      <c r="C196" s="332"/>
      <c r="D196" s="333"/>
      <c r="E196" s="203"/>
      <c r="F196" s="203"/>
      <c r="G196" s="204"/>
      <c r="H196" s="204"/>
      <c r="I196" s="204"/>
      <c r="J196" s="331"/>
      <c r="K196" s="349"/>
      <c r="L196" s="352"/>
      <c r="M196" s="349"/>
      <c r="N196" s="359"/>
      <c r="O196" s="203"/>
      <c r="P196" s="205"/>
      <c r="Q196" s="205"/>
      <c r="R196" s="215"/>
      <c r="S196" s="27" t="str">
        <f t="shared" si="32"/>
        <v/>
      </c>
      <c r="T196" s="215"/>
      <c r="U196" s="27" t="str">
        <f t="shared" si="33"/>
        <v/>
      </c>
      <c r="V196" s="208"/>
      <c r="W196" s="27" t="str">
        <f t="shared" si="34"/>
        <v/>
      </c>
      <c r="X196" s="208"/>
      <c r="Y196" s="27" t="str">
        <f t="shared" si="35"/>
        <v/>
      </c>
      <c r="Z196" s="208"/>
      <c r="AA196" s="27" t="str">
        <f t="shared" si="36"/>
        <v/>
      </c>
      <c r="AB196" s="208"/>
      <c r="AC196" s="27" t="str">
        <f t="shared" si="37"/>
        <v/>
      </c>
      <c r="AD196" s="208"/>
      <c r="AE196" s="27" t="str">
        <f t="shared" si="38"/>
        <v/>
      </c>
      <c r="AF196" s="48" t="str">
        <f t="shared" si="39"/>
        <v/>
      </c>
      <c r="AG196" s="48" t="str">
        <f t="shared" si="40"/>
        <v/>
      </c>
      <c r="AH196" s="209"/>
      <c r="AI196" s="210" t="str">
        <f t="shared" si="41"/>
        <v>Débil</v>
      </c>
      <c r="AJ196" s="21" t="str">
        <f>IFERROR(VLOOKUP((CONCATENATE(AG196,AI196)),Listados!$U$3:$V$11,2,FALSE),"")</f>
        <v/>
      </c>
      <c r="AK196" s="48">
        <f t="shared" si="42"/>
        <v>100</v>
      </c>
      <c r="AL196" s="355"/>
      <c r="AM196" s="357"/>
      <c r="AN196" s="173">
        <f>+IF(AND(Q196="Preventivo",AM193="Fuerte"),2,IF(AND(Q196="Preventivo",AM193="Moderado"),1,0))</f>
        <v>0</v>
      </c>
      <c r="AO196" s="173">
        <f t="shared" si="43"/>
        <v>0</v>
      </c>
      <c r="AP196" s="173">
        <f>+K193-AN196</f>
        <v>4</v>
      </c>
      <c r="AQ196" s="173">
        <f>+M193-AO196</f>
        <v>3</v>
      </c>
      <c r="AR196" s="346"/>
      <c r="AS196" s="346"/>
      <c r="AT196" s="346"/>
      <c r="AU196" s="346"/>
      <c r="AV196" s="311"/>
      <c r="AW196" s="312"/>
      <c r="AX196" s="313"/>
      <c r="AY196" s="311"/>
      <c r="AZ196" s="312"/>
      <c r="BA196" s="313"/>
      <c r="BB196" s="311"/>
      <c r="BC196" s="312"/>
      <c r="BD196" s="313"/>
    </row>
    <row r="197" spans="1:56" ht="15.75" thickBot="1">
      <c r="A197" s="329"/>
      <c r="B197" s="331"/>
      <c r="C197" s="332"/>
      <c r="D197" s="333"/>
      <c r="E197" s="203"/>
      <c r="F197" s="203"/>
      <c r="G197" s="204"/>
      <c r="H197" s="204"/>
      <c r="I197" s="204"/>
      <c r="J197" s="331"/>
      <c r="K197" s="349"/>
      <c r="L197" s="352"/>
      <c r="M197" s="349"/>
      <c r="N197" s="359"/>
      <c r="O197" s="203"/>
      <c r="P197" s="205"/>
      <c r="Q197" s="205"/>
      <c r="R197" s="215"/>
      <c r="S197" s="27" t="str">
        <f t="shared" si="32"/>
        <v/>
      </c>
      <c r="T197" s="215"/>
      <c r="U197" s="27" t="str">
        <f t="shared" si="33"/>
        <v/>
      </c>
      <c r="V197" s="208"/>
      <c r="W197" s="27" t="str">
        <f t="shared" si="34"/>
        <v/>
      </c>
      <c r="X197" s="208"/>
      <c r="Y197" s="27" t="str">
        <f t="shared" si="35"/>
        <v/>
      </c>
      <c r="Z197" s="208"/>
      <c r="AA197" s="27" t="str">
        <f t="shared" si="36"/>
        <v/>
      </c>
      <c r="AB197" s="208"/>
      <c r="AC197" s="27" t="str">
        <f t="shared" si="37"/>
        <v/>
      </c>
      <c r="AD197" s="208"/>
      <c r="AE197" s="27" t="str">
        <f t="shared" si="38"/>
        <v/>
      </c>
      <c r="AF197" s="48" t="str">
        <f t="shared" si="39"/>
        <v/>
      </c>
      <c r="AG197" s="48" t="str">
        <f t="shared" si="40"/>
        <v/>
      </c>
      <c r="AH197" s="209"/>
      <c r="AI197" s="210" t="str">
        <f t="shared" si="41"/>
        <v>Débil</v>
      </c>
      <c r="AJ197" s="21" t="str">
        <f>IFERROR(VLOOKUP((CONCATENATE(AG197,AI197)),Listados!$U$3:$V$11,2,FALSE),"")</f>
        <v/>
      </c>
      <c r="AK197" s="48">
        <f t="shared" si="42"/>
        <v>100</v>
      </c>
      <c r="AL197" s="355"/>
      <c r="AM197" s="357"/>
      <c r="AN197" s="173">
        <f>+IF(AND(Q197="Preventivo",AM193="Fuerte"),2,IF(AND(Q197="Preventivo",AM193="Moderado"),1,0))</f>
        <v>0</v>
      </c>
      <c r="AO197" s="173">
        <f t="shared" si="43"/>
        <v>0</v>
      </c>
      <c r="AP197" s="173">
        <f>+K193-AN197</f>
        <v>4</v>
      </c>
      <c r="AQ197" s="173">
        <f>+M193-AO197</f>
        <v>3</v>
      </c>
      <c r="AR197" s="346"/>
      <c r="AS197" s="346"/>
      <c r="AT197" s="346"/>
      <c r="AU197" s="346"/>
      <c r="AV197" s="311"/>
      <c r="AW197" s="312"/>
      <c r="AX197" s="313"/>
      <c r="AY197" s="311"/>
      <c r="AZ197" s="312"/>
      <c r="BA197" s="313"/>
      <c r="BB197" s="311"/>
      <c r="BC197" s="312"/>
      <c r="BD197" s="313"/>
    </row>
    <row r="198" spans="1:56" ht="15.75" thickBot="1">
      <c r="A198" s="330"/>
      <c r="B198" s="331"/>
      <c r="C198" s="332"/>
      <c r="D198" s="333"/>
      <c r="E198" s="203"/>
      <c r="F198" s="203"/>
      <c r="G198" s="204"/>
      <c r="H198" s="204"/>
      <c r="I198" s="204"/>
      <c r="J198" s="331"/>
      <c r="K198" s="350"/>
      <c r="L198" s="352"/>
      <c r="M198" s="350"/>
      <c r="N198" s="359"/>
      <c r="O198" s="203"/>
      <c r="P198" s="205"/>
      <c r="Q198" s="205"/>
      <c r="R198" s="215"/>
      <c r="S198" s="27" t="str">
        <f t="shared" si="32"/>
        <v/>
      </c>
      <c r="T198" s="215"/>
      <c r="U198" s="27" t="str">
        <f t="shared" si="33"/>
        <v/>
      </c>
      <c r="V198" s="208"/>
      <c r="W198" s="27" t="str">
        <f t="shared" si="34"/>
        <v/>
      </c>
      <c r="X198" s="208"/>
      <c r="Y198" s="27" t="str">
        <f t="shared" si="35"/>
        <v/>
      </c>
      <c r="Z198" s="208"/>
      <c r="AA198" s="27" t="str">
        <f t="shared" si="36"/>
        <v/>
      </c>
      <c r="AB198" s="208"/>
      <c r="AC198" s="27" t="str">
        <f t="shared" si="37"/>
        <v/>
      </c>
      <c r="AD198" s="208"/>
      <c r="AE198" s="27" t="str">
        <f t="shared" si="38"/>
        <v/>
      </c>
      <c r="AF198" s="48" t="str">
        <f t="shared" si="39"/>
        <v/>
      </c>
      <c r="AG198" s="48" t="str">
        <f t="shared" si="40"/>
        <v/>
      </c>
      <c r="AH198" s="209"/>
      <c r="AI198" s="210" t="str">
        <f t="shared" si="41"/>
        <v>Débil</v>
      </c>
      <c r="AJ198" s="21" t="str">
        <f>IFERROR(VLOOKUP((CONCATENATE(AG198,AI198)),Listados!$U$3:$V$11,2,FALSE),"")</f>
        <v/>
      </c>
      <c r="AK198" s="48">
        <f t="shared" si="42"/>
        <v>100</v>
      </c>
      <c r="AL198" s="356"/>
      <c r="AM198" s="357"/>
      <c r="AN198" s="173">
        <f>+IF(AND(Q198="Preventivo",AM193="Fuerte"),2,IF(AND(Q198="Preventivo",AM193="Moderado"),1,0))</f>
        <v>0</v>
      </c>
      <c r="AO198" s="173">
        <f t="shared" si="43"/>
        <v>0</v>
      </c>
      <c r="AP198" s="173">
        <f>+K193-AN198</f>
        <v>4</v>
      </c>
      <c r="AQ198" s="173">
        <f>+M193-AO198</f>
        <v>3</v>
      </c>
      <c r="AR198" s="347"/>
      <c r="AS198" s="347"/>
      <c r="AT198" s="347"/>
      <c r="AU198" s="347"/>
      <c r="AV198" s="311"/>
      <c r="AW198" s="312"/>
      <c r="AX198" s="313"/>
      <c r="AY198" s="311"/>
      <c r="AZ198" s="312"/>
      <c r="BA198" s="313"/>
      <c r="BB198" s="311"/>
      <c r="BC198" s="312"/>
      <c r="BD198" s="313"/>
    </row>
    <row r="199" spans="1:56" ht="157.5" thickBot="1">
      <c r="A199" s="328">
        <v>33</v>
      </c>
      <c r="B199" s="331" t="s">
        <v>86</v>
      </c>
      <c r="C199" s="332" t="str">
        <f>IFERROR(VLOOKUP(B199,Listados!B$3:C$20,2,FALSE),"")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99" s="333" t="s">
        <v>186</v>
      </c>
      <c r="E199" s="203" t="s">
        <v>41</v>
      </c>
      <c r="F199" s="203"/>
      <c r="G199" s="202" t="s">
        <v>187</v>
      </c>
      <c r="H199" s="204" t="s">
        <v>16</v>
      </c>
      <c r="I199" s="204" t="s">
        <v>188</v>
      </c>
      <c r="J199" s="331" t="s">
        <v>21</v>
      </c>
      <c r="K199" s="348">
        <f>+VLOOKUP(J199,Listados!$K$8:$L$12,2,0)</f>
        <v>1</v>
      </c>
      <c r="L199" s="351" t="s">
        <v>18</v>
      </c>
      <c r="M199" s="348">
        <f>+VLOOKUP(L199,Listados!$K$13:$L$17,2,0)</f>
        <v>1</v>
      </c>
      <c r="N199" s="358" t="str">
        <f>IF(AND(J199&lt;&gt;"",L199&lt;&gt;""),VLOOKUP(J199&amp;L199,Listados!$M$3:$N$27,2,FALSE),"")</f>
        <v>Bajo</v>
      </c>
      <c r="O199" s="204" t="s">
        <v>189</v>
      </c>
      <c r="P199" s="203" t="s">
        <v>187</v>
      </c>
      <c r="Q199" s="204" t="s">
        <v>20</v>
      </c>
      <c r="R199" s="215"/>
      <c r="S199" s="27" t="str">
        <f t="shared" si="32"/>
        <v/>
      </c>
      <c r="T199" s="215"/>
      <c r="U199" s="27" t="str">
        <f t="shared" si="33"/>
        <v/>
      </c>
      <c r="V199" s="208"/>
      <c r="W199" s="27" t="str">
        <f t="shared" si="34"/>
        <v/>
      </c>
      <c r="X199" s="208"/>
      <c r="Y199" s="27" t="str">
        <f t="shared" si="35"/>
        <v/>
      </c>
      <c r="Z199" s="208"/>
      <c r="AA199" s="27" t="str">
        <f t="shared" si="36"/>
        <v/>
      </c>
      <c r="AB199" s="208"/>
      <c r="AC199" s="27" t="str">
        <f t="shared" si="37"/>
        <v/>
      </c>
      <c r="AD199" s="208"/>
      <c r="AE199" s="27" t="str">
        <f t="shared" si="38"/>
        <v/>
      </c>
      <c r="AF199" s="48" t="str">
        <f t="shared" si="39"/>
        <v/>
      </c>
      <c r="AG199" s="48" t="str">
        <f t="shared" si="40"/>
        <v/>
      </c>
      <c r="AH199" s="209"/>
      <c r="AI199" s="210" t="str">
        <f t="shared" si="41"/>
        <v>Débil</v>
      </c>
      <c r="AJ199" s="21" t="str">
        <f>IFERROR(VLOOKUP((CONCATENATE(AG199,AI199)),Listados!$U$3:$V$11,2,FALSE),"")</f>
        <v/>
      </c>
      <c r="AK199" s="48">
        <f t="shared" si="42"/>
        <v>100</v>
      </c>
      <c r="AL199" s="354">
        <f>AVERAGE(AK199:AK204)</f>
        <v>100</v>
      </c>
      <c r="AM199" s="356" t="str">
        <f>IF(AL199&lt;=50, "Débil", IF(AL199&lt;=99,"Moderado","Fuerte"))</f>
        <v>Fuerte</v>
      </c>
      <c r="AN199" s="173">
        <f>+IF(AND(Q199="Preventivo",AM199="Fuerte"),2,IF(AND(Q199="Preventivo",AM199="Moderado"),1,0))</f>
        <v>2</v>
      </c>
      <c r="AO199" s="173">
        <f t="shared" si="43"/>
        <v>1</v>
      </c>
      <c r="AP199" s="173">
        <f>+K199-AN199</f>
        <v>-1</v>
      </c>
      <c r="AQ199" s="173">
        <f>+M199-AO199</f>
        <v>0</v>
      </c>
      <c r="AR199" s="345" t="str">
        <f>+VLOOKUP(MIN(AP199,AP200,AP201,AP202,AP203,AP204),Listados!$J$18:$K$24,2,TRUE)</f>
        <v>Rara Vez</v>
      </c>
      <c r="AS199" s="345" t="str">
        <f>+VLOOKUP(MIN(AQ199,AQ200,AQ201,AQ202,AQ203,AQ204),Listados!$J$27:$K$32,2,TRUE)</f>
        <v>Insignificante</v>
      </c>
      <c r="AT199" s="345" t="str">
        <f>IF(AND(AR199&lt;&gt;"",AS199&lt;&gt;""),VLOOKUP(AR199&amp;AS199,Listados!$M$3:$N$27,2,FALSE),"")</f>
        <v>Bajo</v>
      </c>
      <c r="AU199" s="345" t="str">
        <f>+VLOOKUP(AT199,Listados!$P$3:$Q$6,2,FALSE)</f>
        <v>Asumir el riesgo</v>
      </c>
      <c r="AV199" s="311"/>
      <c r="AW199" s="312"/>
      <c r="AX199" s="313"/>
      <c r="AY199" s="311"/>
      <c r="AZ199" s="312"/>
      <c r="BA199" s="313"/>
      <c r="BB199" s="311"/>
      <c r="BC199" s="312"/>
      <c r="BD199" s="313"/>
    </row>
    <row r="200" spans="1:56" ht="186" thickBot="1">
      <c r="A200" s="329"/>
      <c r="B200" s="331"/>
      <c r="C200" s="332"/>
      <c r="D200" s="333"/>
      <c r="E200" s="203"/>
      <c r="F200" s="203"/>
      <c r="G200" s="204" t="s">
        <v>190</v>
      </c>
      <c r="H200" s="204" t="s">
        <v>16</v>
      </c>
      <c r="I200" s="204" t="s">
        <v>191</v>
      </c>
      <c r="J200" s="331"/>
      <c r="K200" s="349"/>
      <c r="L200" s="352"/>
      <c r="M200" s="349"/>
      <c r="N200" s="359"/>
      <c r="O200" s="204" t="s">
        <v>192</v>
      </c>
      <c r="P200" s="203" t="s">
        <v>190</v>
      </c>
      <c r="Q200" s="204" t="s">
        <v>20</v>
      </c>
      <c r="R200" s="215"/>
      <c r="S200" s="27" t="str">
        <f t="shared" ref="S200:S263" si="44">+IF(R200="si",15,"")</f>
        <v/>
      </c>
      <c r="T200" s="215"/>
      <c r="U200" s="27" t="str">
        <f t="shared" ref="U200:U263" si="45">+IF(T200="si",15,"")</f>
        <v/>
      </c>
      <c r="V200" s="208"/>
      <c r="W200" s="27" t="str">
        <f t="shared" ref="W200:W263" si="46">+IF(V200="si",15,"")</f>
        <v/>
      </c>
      <c r="X200" s="208"/>
      <c r="Y200" s="27" t="str">
        <f t="shared" ref="Y200:Y263" si="47">+IF(X200="Preventivo",15,IF(X200="Detectivo",10,""))</f>
        <v/>
      </c>
      <c r="Z200" s="208"/>
      <c r="AA200" s="27" t="str">
        <f t="shared" ref="AA200:AA263" si="48">+IF(Z200="si",15,"")</f>
        <v/>
      </c>
      <c r="AB200" s="208"/>
      <c r="AC200" s="27" t="str">
        <f t="shared" ref="AC200:AC263" si="49">+IF(AB200="si",15,"")</f>
        <v/>
      </c>
      <c r="AD200" s="208"/>
      <c r="AE200" s="27" t="str">
        <f t="shared" ref="AE200:AE263" si="50">+IF(AD200="Completa",10,IF(AD200="Incompleta",5,""))</f>
        <v/>
      </c>
      <c r="AF200" s="48" t="str">
        <f t="shared" ref="AF200:AF263" si="51">IF((SUM(S200,U200,W200,Y200,AA200,AC200,AE200)=0),"",(SUM(S200,U200,W200,Y200,AA200,AC200,AE200)))</f>
        <v/>
      </c>
      <c r="AG200" s="48" t="str">
        <f t="shared" ref="AG200:AG263" si="52">IF(AF200&lt;=85,"Débil",IF(AF200&lt;=95,"Moderado",IF(AF200=100,"Fuerte","")))</f>
        <v/>
      </c>
      <c r="AH200" s="209"/>
      <c r="AI200" s="210" t="str">
        <f t="shared" si="41"/>
        <v>Débil</v>
      </c>
      <c r="AJ200" s="21" t="str">
        <f>IFERROR(VLOOKUP((CONCATENATE(AG200,AI200)),Listados!$U$3:$V$11,2,FALSE),"")</f>
        <v/>
      </c>
      <c r="AK200" s="48">
        <f t="shared" si="42"/>
        <v>100</v>
      </c>
      <c r="AL200" s="355"/>
      <c r="AM200" s="357"/>
      <c r="AN200" s="173">
        <f>+IF(AND(Q200="Preventivo",AM199="Fuerte"),2,IF(AND(Q200="Preventivo",AM199="Moderado"),1,0))</f>
        <v>2</v>
      </c>
      <c r="AO200" s="173">
        <f t="shared" si="43"/>
        <v>1</v>
      </c>
      <c r="AP200" s="173">
        <f>+K199-AN200</f>
        <v>-1</v>
      </c>
      <c r="AQ200" s="173">
        <f>+M199-AO200</f>
        <v>0</v>
      </c>
      <c r="AR200" s="346"/>
      <c r="AS200" s="346"/>
      <c r="AT200" s="346"/>
      <c r="AU200" s="346"/>
      <c r="AV200" s="311"/>
      <c r="AW200" s="312"/>
      <c r="AX200" s="313"/>
      <c r="AY200" s="311"/>
      <c r="AZ200" s="312"/>
      <c r="BA200" s="313"/>
      <c r="BB200" s="311"/>
      <c r="BC200" s="312"/>
      <c r="BD200" s="313"/>
    </row>
    <row r="201" spans="1:56" ht="186" thickBot="1">
      <c r="A201" s="329"/>
      <c r="B201" s="331"/>
      <c r="C201" s="332"/>
      <c r="D201" s="333"/>
      <c r="E201" s="203"/>
      <c r="F201" s="203"/>
      <c r="G201" s="202" t="s">
        <v>193</v>
      </c>
      <c r="H201" s="204" t="s">
        <v>30</v>
      </c>
      <c r="I201" s="204" t="s">
        <v>194</v>
      </c>
      <c r="J201" s="331"/>
      <c r="K201" s="349"/>
      <c r="L201" s="352"/>
      <c r="M201" s="349"/>
      <c r="N201" s="359"/>
      <c r="O201" s="204" t="s">
        <v>195</v>
      </c>
      <c r="P201" s="203" t="s">
        <v>193</v>
      </c>
      <c r="Q201" s="204" t="s">
        <v>20</v>
      </c>
      <c r="R201" s="215"/>
      <c r="S201" s="27" t="str">
        <f t="shared" si="44"/>
        <v/>
      </c>
      <c r="T201" s="215"/>
      <c r="U201" s="27" t="str">
        <f t="shared" si="45"/>
        <v/>
      </c>
      <c r="V201" s="208"/>
      <c r="W201" s="27" t="str">
        <f t="shared" si="46"/>
        <v/>
      </c>
      <c r="X201" s="208"/>
      <c r="Y201" s="27" t="str">
        <f t="shared" si="47"/>
        <v/>
      </c>
      <c r="Z201" s="208"/>
      <c r="AA201" s="27" t="str">
        <f t="shared" si="48"/>
        <v/>
      </c>
      <c r="AB201" s="208"/>
      <c r="AC201" s="27" t="str">
        <f t="shared" si="49"/>
        <v/>
      </c>
      <c r="AD201" s="208"/>
      <c r="AE201" s="27" t="str">
        <f t="shared" si="50"/>
        <v/>
      </c>
      <c r="AF201" s="48" t="str">
        <f t="shared" si="51"/>
        <v/>
      </c>
      <c r="AG201" s="48" t="str">
        <f t="shared" si="52"/>
        <v/>
      </c>
      <c r="AH201" s="209"/>
      <c r="AI201" s="210" t="str">
        <f t="shared" ref="AI201:AI264" si="53">+IF(AH201="siempre","Fuerte",IF(AH201="Algunas veces","Moderado","Débil"))</f>
        <v>Débil</v>
      </c>
      <c r="AJ201" s="21" t="str">
        <f>IFERROR(VLOOKUP((CONCATENATE(AG201,AI201)),Listados!$U$3:$V$11,2,FALSE),"")</f>
        <v/>
      </c>
      <c r="AK201" s="48">
        <f t="shared" ref="AK201:AK264" si="54">IF(ISBLANK(AJ201),"",IF(AJ201="Débil", 0, IF(AJ201="Moderado",50,100)))</f>
        <v>100</v>
      </c>
      <c r="AL201" s="355"/>
      <c r="AM201" s="357"/>
      <c r="AN201" s="173">
        <f>+IF(AND(Q201="Preventivo",AM199="Fuerte"),2,IF(AND(Q201="Preventivo",AM199="Moderado"),1,0))</f>
        <v>2</v>
      </c>
      <c r="AO201" s="173">
        <f t="shared" si="43"/>
        <v>1</v>
      </c>
      <c r="AP201" s="173">
        <f>+K199-AN201</f>
        <v>-1</v>
      </c>
      <c r="AQ201" s="173">
        <f>+M199-AO201</f>
        <v>0</v>
      </c>
      <c r="AR201" s="346"/>
      <c r="AS201" s="346"/>
      <c r="AT201" s="346"/>
      <c r="AU201" s="346"/>
      <c r="AV201" s="311"/>
      <c r="AW201" s="312"/>
      <c r="AX201" s="313"/>
      <c r="AY201" s="311"/>
      <c r="AZ201" s="312"/>
      <c r="BA201" s="313"/>
      <c r="BB201" s="311"/>
      <c r="BC201" s="312"/>
      <c r="BD201" s="313"/>
    </row>
    <row r="202" spans="1:56" ht="257.25" thickBot="1">
      <c r="A202" s="329"/>
      <c r="B202" s="331"/>
      <c r="C202" s="332"/>
      <c r="D202" s="333"/>
      <c r="E202" s="203"/>
      <c r="F202" s="203"/>
      <c r="G202" s="204" t="s">
        <v>196</v>
      </c>
      <c r="H202" s="204" t="s">
        <v>16</v>
      </c>
      <c r="I202" s="204"/>
      <c r="J202" s="331"/>
      <c r="K202" s="349"/>
      <c r="L202" s="352"/>
      <c r="M202" s="349"/>
      <c r="N202" s="359"/>
      <c r="O202" s="204" t="s">
        <v>463</v>
      </c>
      <c r="P202" s="203" t="s">
        <v>196</v>
      </c>
      <c r="Q202" s="204" t="s">
        <v>20</v>
      </c>
      <c r="R202" s="215"/>
      <c r="S202" s="27" t="str">
        <f t="shared" si="44"/>
        <v/>
      </c>
      <c r="T202" s="215"/>
      <c r="U202" s="27" t="str">
        <f t="shared" si="45"/>
        <v/>
      </c>
      <c r="V202" s="208"/>
      <c r="W202" s="27" t="str">
        <f t="shared" si="46"/>
        <v/>
      </c>
      <c r="X202" s="208"/>
      <c r="Y202" s="27" t="str">
        <f t="shared" si="47"/>
        <v/>
      </c>
      <c r="Z202" s="208"/>
      <c r="AA202" s="27" t="str">
        <f t="shared" si="48"/>
        <v/>
      </c>
      <c r="AB202" s="208"/>
      <c r="AC202" s="27" t="str">
        <f t="shared" si="49"/>
        <v/>
      </c>
      <c r="AD202" s="208"/>
      <c r="AE202" s="27" t="str">
        <f t="shared" si="50"/>
        <v/>
      </c>
      <c r="AF202" s="48" t="str">
        <f t="shared" si="51"/>
        <v/>
      </c>
      <c r="AG202" s="48" t="str">
        <f t="shared" si="52"/>
        <v/>
      </c>
      <c r="AH202" s="209"/>
      <c r="AI202" s="210" t="str">
        <f t="shared" si="53"/>
        <v>Débil</v>
      </c>
      <c r="AJ202" s="21" t="str">
        <f>IFERROR(VLOOKUP((CONCATENATE(AG202,AI202)),Listados!$U$3:$V$11,2,FALSE),"")</f>
        <v/>
      </c>
      <c r="AK202" s="48">
        <f t="shared" si="54"/>
        <v>100</v>
      </c>
      <c r="AL202" s="355"/>
      <c r="AM202" s="357"/>
      <c r="AN202" s="173">
        <f>+IF(AND(Q202="Preventivo",AM199="Fuerte"),2,IF(AND(Q202="Preventivo",AM199="Moderado"),1,0))</f>
        <v>2</v>
      </c>
      <c r="AO202" s="173">
        <f t="shared" si="43"/>
        <v>1</v>
      </c>
      <c r="AP202" s="173">
        <f>+K199-AN202</f>
        <v>-1</v>
      </c>
      <c r="AQ202" s="173">
        <f>+M199-AO202</f>
        <v>0</v>
      </c>
      <c r="AR202" s="346"/>
      <c r="AS202" s="346"/>
      <c r="AT202" s="346"/>
      <c r="AU202" s="346"/>
      <c r="AV202" s="311"/>
      <c r="AW202" s="312"/>
      <c r="AX202" s="313"/>
      <c r="AY202" s="311"/>
      <c r="AZ202" s="312"/>
      <c r="BA202" s="313"/>
      <c r="BB202" s="311"/>
      <c r="BC202" s="312"/>
      <c r="BD202" s="313"/>
    </row>
    <row r="203" spans="1:56" ht="15.75" thickBot="1">
      <c r="A203" s="329"/>
      <c r="B203" s="331"/>
      <c r="C203" s="332"/>
      <c r="D203" s="333"/>
      <c r="E203" s="203"/>
      <c r="F203" s="203"/>
      <c r="G203" s="204"/>
      <c r="H203" s="204"/>
      <c r="I203" s="204"/>
      <c r="J203" s="331"/>
      <c r="K203" s="349"/>
      <c r="L203" s="352"/>
      <c r="M203" s="349"/>
      <c r="N203" s="359"/>
      <c r="O203" s="203"/>
      <c r="P203" s="205"/>
      <c r="Q203" s="205"/>
      <c r="R203" s="215"/>
      <c r="S203" s="27" t="str">
        <f t="shared" si="44"/>
        <v/>
      </c>
      <c r="T203" s="215"/>
      <c r="U203" s="27" t="str">
        <f t="shared" si="45"/>
        <v/>
      </c>
      <c r="V203" s="208"/>
      <c r="W203" s="27" t="str">
        <f t="shared" si="46"/>
        <v/>
      </c>
      <c r="X203" s="208"/>
      <c r="Y203" s="27" t="str">
        <f t="shared" si="47"/>
        <v/>
      </c>
      <c r="Z203" s="208"/>
      <c r="AA203" s="27" t="str">
        <f t="shared" si="48"/>
        <v/>
      </c>
      <c r="AB203" s="208"/>
      <c r="AC203" s="27" t="str">
        <f t="shared" si="49"/>
        <v/>
      </c>
      <c r="AD203" s="208"/>
      <c r="AE203" s="27" t="str">
        <f t="shared" si="50"/>
        <v/>
      </c>
      <c r="AF203" s="48" t="str">
        <f t="shared" si="51"/>
        <v/>
      </c>
      <c r="AG203" s="48" t="str">
        <f t="shared" si="52"/>
        <v/>
      </c>
      <c r="AH203" s="209"/>
      <c r="AI203" s="210" t="str">
        <f t="shared" si="53"/>
        <v>Débil</v>
      </c>
      <c r="AJ203" s="21" t="str">
        <f>IFERROR(VLOOKUP((CONCATENATE(AG203,AI203)),Listados!$U$3:$V$11,2,FALSE),"")</f>
        <v/>
      </c>
      <c r="AK203" s="48">
        <f t="shared" si="54"/>
        <v>100</v>
      </c>
      <c r="AL203" s="355"/>
      <c r="AM203" s="357"/>
      <c r="AN203" s="173">
        <f>+IF(AND(Q203="Preventivo",AM199="Fuerte"),2,IF(AND(Q203="Preventivo",AM199="Moderado"),1,0))</f>
        <v>0</v>
      </c>
      <c r="AO203" s="173">
        <f t="shared" si="43"/>
        <v>0</v>
      </c>
      <c r="AP203" s="173">
        <f>+K199-AN203</f>
        <v>1</v>
      </c>
      <c r="AQ203" s="173">
        <f>+M199-AO203</f>
        <v>1</v>
      </c>
      <c r="AR203" s="346"/>
      <c r="AS203" s="346"/>
      <c r="AT203" s="346"/>
      <c r="AU203" s="346"/>
      <c r="AV203" s="311"/>
      <c r="AW203" s="312"/>
      <c r="AX203" s="313"/>
      <c r="AY203" s="311"/>
      <c r="AZ203" s="312"/>
      <c r="BA203" s="313"/>
      <c r="BB203" s="311"/>
      <c r="BC203" s="312"/>
      <c r="BD203" s="313"/>
    </row>
    <row r="204" spans="1:56" ht="15.75" thickBot="1">
      <c r="A204" s="330"/>
      <c r="B204" s="331"/>
      <c r="C204" s="332"/>
      <c r="D204" s="333"/>
      <c r="E204" s="203"/>
      <c r="F204" s="203"/>
      <c r="G204" s="204"/>
      <c r="H204" s="204"/>
      <c r="I204" s="204"/>
      <c r="J204" s="331"/>
      <c r="K204" s="350"/>
      <c r="L204" s="352"/>
      <c r="M204" s="350"/>
      <c r="N204" s="359"/>
      <c r="O204" s="203"/>
      <c r="P204" s="205"/>
      <c r="Q204" s="205"/>
      <c r="R204" s="215"/>
      <c r="S204" s="27" t="str">
        <f t="shared" si="44"/>
        <v/>
      </c>
      <c r="T204" s="215"/>
      <c r="U204" s="27" t="str">
        <f t="shared" si="45"/>
        <v/>
      </c>
      <c r="V204" s="208"/>
      <c r="W204" s="27" t="str">
        <f t="shared" si="46"/>
        <v/>
      </c>
      <c r="X204" s="208"/>
      <c r="Y204" s="27" t="str">
        <f t="shared" si="47"/>
        <v/>
      </c>
      <c r="Z204" s="208"/>
      <c r="AA204" s="27" t="str">
        <f t="shared" si="48"/>
        <v/>
      </c>
      <c r="AB204" s="208"/>
      <c r="AC204" s="27" t="str">
        <f t="shared" si="49"/>
        <v/>
      </c>
      <c r="AD204" s="208"/>
      <c r="AE204" s="27" t="str">
        <f t="shared" si="50"/>
        <v/>
      </c>
      <c r="AF204" s="48" t="str">
        <f t="shared" si="51"/>
        <v/>
      </c>
      <c r="AG204" s="48" t="str">
        <f t="shared" si="52"/>
        <v/>
      </c>
      <c r="AH204" s="209"/>
      <c r="AI204" s="210" t="str">
        <f t="shared" si="53"/>
        <v>Débil</v>
      </c>
      <c r="AJ204" s="21" t="str">
        <f>IFERROR(VLOOKUP((CONCATENATE(AG204,AI204)),Listados!$U$3:$V$11,2,FALSE),"")</f>
        <v/>
      </c>
      <c r="AK204" s="48">
        <f t="shared" si="54"/>
        <v>100</v>
      </c>
      <c r="AL204" s="356"/>
      <c r="AM204" s="357"/>
      <c r="AN204" s="173">
        <f>+IF(AND(Q204="Preventivo",AM199="Fuerte"),2,IF(AND(Q204="Preventivo",AM199="Moderado"),1,0))</f>
        <v>0</v>
      </c>
      <c r="AO204" s="173">
        <f t="shared" si="43"/>
        <v>0</v>
      </c>
      <c r="AP204" s="173">
        <f>+K199-AN204</f>
        <v>1</v>
      </c>
      <c r="AQ204" s="173">
        <f>+M199-AO204</f>
        <v>1</v>
      </c>
      <c r="AR204" s="347"/>
      <c r="AS204" s="347"/>
      <c r="AT204" s="347"/>
      <c r="AU204" s="347"/>
      <c r="AV204" s="311"/>
      <c r="AW204" s="312"/>
      <c r="AX204" s="313"/>
      <c r="AY204" s="311"/>
      <c r="AZ204" s="312"/>
      <c r="BA204" s="313"/>
      <c r="BB204" s="311"/>
      <c r="BC204" s="312"/>
      <c r="BD204" s="313"/>
    </row>
    <row r="205" spans="1:56" ht="200.25" thickBot="1">
      <c r="A205" s="328">
        <v>34</v>
      </c>
      <c r="B205" s="331" t="s">
        <v>86</v>
      </c>
      <c r="C205" s="332" t="str">
        <f>IFERROR(VLOOKUP(B205,Listados!B$3:C$20,2,FALSE),"")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205" s="333" t="s">
        <v>198</v>
      </c>
      <c r="E205" s="203" t="s">
        <v>52</v>
      </c>
      <c r="F205" s="203"/>
      <c r="G205" s="204" t="s">
        <v>199</v>
      </c>
      <c r="H205" s="204" t="s">
        <v>30</v>
      </c>
      <c r="I205" s="204" t="s">
        <v>200</v>
      </c>
      <c r="J205" s="331" t="s">
        <v>53</v>
      </c>
      <c r="K205" s="348">
        <f>+VLOOKUP(J205,Listados!$K$8:$L$12,2,0)</f>
        <v>4</v>
      </c>
      <c r="L205" s="351" t="s">
        <v>36</v>
      </c>
      <c r="M205" s="348">
        <f>+VLOOKUP(L205,Listados!$K$13:$L$17,2,0)</f>
        <v>3</v>
      </c>
      <c r="N205" s="358" t="str">
        <f>IF(AND(J205&lt;&gt;"",L205&lt;&gt;""),VLOOKUP(J205&amp;L205,Listados!$M$3:$N$27,2,FALSE),"")</f>
        <v>Alto</v>
      </c>
      <c r="O205" s="204" t="s">
        <v>201</v>
      </c>
      <c r="P205" s="204" t="s">
        <v>199</v>
      </c>
      <c r="Q205" s="204" t="s">
        <v>20</v>
      </c>
      <c r="R205" s="215"/>
      <c r="S205" s="27" t="str">
        <f t="shared" si="44"/>
        <v/>
      </c>
      <c r="T205" s="215"/>
      <c r="U205" s="27" t="str">
        <f t="shared" si="45"/>
        <v/>
      </c>
      <c r="V205" s="208"/>
      <c r="W205" s="27" t="str">
        <f t="shared" si="46"/>
        <v/>
      </c>
      <c r="X205" s="208"/>
      <c r="Y205" s="27" t="str">
        <f t="shared" si="47"/>
        <v/>
      </c>
      <c r="Z205" s="208"/>
      <c r="AA205" s="27" t="str">
        <f t="shared" si="48"/>
        <v/>
      </c>
      <c r="AB205" s="208"/>
      <c r="AC205" s="27" t="str">
        <f t="shared" si="49"/>
        <v/>
      </c>
      <c r="AD205" s="208"/>
      <c r="AE205" s="27" t="str">
        <f t="shared" si="50"/>
        <v/>
      </c>
      <c r="AF205" s="48" t="str">
        <f t="shared" si="51"/>
        <v/>
      </c>
      <c r="AG205" s="48" t="str">
        <f t="shared" si="52"/>
        <v/>
      </c>
      <c r="AH205" s="209"/>
      <c r="AI205" s="210" t="str">
        <f t="shared" si="53"/>
        <v>Débil</v>
      </c>
      <c r="AJ205" s="21" t="str">
        <f>IFERROR(VLOOKUP((CONCATENATE(AG205,AI205)),Listados!$U$3:$V$11,2,FALSE),"")</f>
        <v/>
      </c>
      <c r="AK205" s="48">
        <f t="shared" si="54"/>
        <v>100</v>
      </c>
      <c r="AL205" s="354">
        <f>AVERAGE(AK205:AK210)</f>
        <v>100</v>
      </c>
      <c r="AM205" s="356" t="str">
        <f>IF(AL205&lt;=50, "Débil", IF(AL205&lt;=99,"Moderado","Fuerte"))</f>
        <v>Fuerte</v>
      </c>
      <c r="AN205" s="173">
        <f>+IF(AND(Q205="Preventivo",AM205="Fuerte"),2,IF(AND(Q205="Preventivo",AM205="Moderado"),1,0))</f>
        <v>2</v>
      </c>
      <c r="AO205" s="173">
        <f t="shared" si="43"/>
        <v>1</v>
      </c>
      <c r="AP205" s="173">
        <f>+K205-AN205</f>
        <v>2</v>
      </c>
      <c r="AQ205" s="173">
        <f>+M205-AO205</f>
        <v>2</v>
      </c>
      <c r="AR205" s="345" t="str">
        <f>+VLOOKUP(MIN(AP205,AP206,AP207,AP208,AP209,AP210),Listados!$J$18:$K$24,2,TRUE)</f>
        <v>Improbable</v>
      </c>
      <c r="AS205" s="345" t="str">
        <f>+VLOOKUP(MIN(AQ205,AQ206,AQ207,AQ208,AQ209,AQ210),Listados!$J$27:$K$32,2,TRUE)</f>
        <v>Insignificante</v>
      </c>
      <c r="AT205" s="345" t="str">
        <f>IF(AND(AR205&lt;&gt;"",AS205&lt;&gt;""),VLOOKUP(AR205&amp;AS205,Listados!$M$3:$N$27,2,FALSE),"")</f>
        <v>Bajo</v>
      </c>
      <c r="AU205" s="345" t="str">
        <f>+VLOOKUP(AT205,Listados!$P$3:$Q$6,2,FALSE)</f>
        <v>Asumir el riesgo</v>
      </c>
      <c r="AV205" s="311"/>
      <c r="AW205" s="312"/>
      <c r="AX205" s="313"/>
      <c r="AY205" s="311"/>
      <c r="AZ205" s="312"/>
      <c r="BA205" s="313"/>
      <c r="BB205" s="311"/>
      <c r="BC205" s="312"/>
      <c r="BD205" s="313"/>
    </row>
    <row r="206" spans="1:56" ht="157.5" thickBot="1">
      <c r="A206" s="329"/>
      <c r="B206" s="331"/>
      <c r="C206" s="332"/>
      <c r="D206" s="333"/>
      <c r="E206" s="203"/>
      <c r="F206" s="203"/>
      <c r="G206" s="204" t="s">
        <v>202</v>
      </c>
      <c r="H206" s="204" t="s">
        <v>30</v>
      </c>
      <c r="I206" s="204" t="s">
        <v>203</v>
      </c>
      <c r="J206" s="331"/>
      <c r="K206" s="349"/>
      <c r="L206" s="352"/>
      <c r="M206" s="349"/>
      <c r="N206" s="359"/>
      <c r="O206" s="204" t="s">
        <v>204</v>
      </c>
      <c r="P206" s="204" t="s">
        <v>202</v>
      </c>
      <c r="Q206" s="204" t="s">
        <v>123</v>
      </c>
      <c r="R206" s="215"/>
      <c r="S206" s="27" t="str">
        <f t="shared" si="44"/>
        <v/>
      </c>
      <c r="T206" s="215"/>
      <c r="U206" s="27" t="str">
        <f t="shared" si="45"/>
        <v/>
      </c>
      <c r="V206" s="208"/>
      <c r="W206" s="27" t="str">
        <f t="shared" si="46"/>
        <v/>
      </c>
      <c r="X206" s="208"/>
      <c r="Y206" s="27" t="str">
        <f t="shared" si="47"/>
        <v/>
      </c>
      <c r="Z206" s="208"/>
      <c r="AA206" s="27" t="str">
        <f t="shared" si="48"/>
        <v/>
      </c>
      <c r="AB206" s="208"/>
      <c r="AC206" s="27" t="str">
        <f t="shared" si="49"/>
        <v/>
      </c>
      <c r="AD206" s="208"/>
      <c r="AE206" s="27" t="str">
        <f t="shared" si="50"/>
        <v/>
      </c>
      <c r="AF206" s="48" t="str">
        <f t="shared" si="51"/>
        <v/>
      </c>
      <c r="AG206" s="48" t="str">
        <f t="shared" si="52"/>
        <v/>
      </c>
      <c r="AH206" s="209"/>
      <c r="AI206" s="210" t="str">
        <f t="shared" si="53"/>
        <v>Débil</v>
      </c>
      <c r="AJ206" s="21" t="str">
        <f>IFERROR(VLOOKUP((CONCATENATE(AG206,AI206)),Listados!$U$3:$V$11,2,FALSE),"")</f>
        <v/>
      </c>
      <c r="AK206" s="48">
        <f t="shared" si="54"/>
        <v>100</v>
      </c>
      <c r="AL206" s="355"/>
      <c r="AM206" s="357"/>
      <c r="AN206" s="173">
        <f>+IF(AND(Q206="Preventivo",AM205="Fuerte"),2,IF(AND(Q206="Preventivo",AM205="Moderado"),1,0))</f>
        <v>0</v>
      </c>
      <c r="AO206" s="173">
        <f t="shared" ref="AO206:AO269" si="55">+IF(AND(Q206="Detectivo",$AM$7="Fuerte"),2,IF(AND(Q206="Detectivo",$AM$7="Moderado"),1,IF(AND(Q206="Preventivo",$AM$7="Fuerte"),1,0)))</f>
        <v>2</v>
      </c>
      <c r="AP206" s="173">
        <f>+K205-AN206</f>
        <v>4</v>
      </c>
      <c r="AQ206" s="173">
        <f>+M205-AO206</f>
        <v>1</v>
      </c>
      <c r="AR206" s="346"/>
      <c r="AS206" s="346"/>
      <c r="AT206" s="346"/>
      <c r="AU206" s="346"/>
      <c r="AV206" s="311"/>
      <c r="AW206" s="312"/>
      <c r="AX206" s="313"/>
      <c r="AY206" s="311"/>
      <c r="AZ206" s="312"/>
      <c r="BA206" s="313"/>
      <c r="BB206" s="311"/>
      <c r="BC206" s="312"/>
      <c r="BD206" s="313"/>
    </row>
    <row r="207" spans="1:56" ht="15.75" thickBot="1">
      <c r="A207" s="329"/>
      <c r="B207" s="331"/>
      <c r="C207" s="332"/>
      <c r="D207" s="333"/>
      <c r="E207" s="203"/>
      <c r="F207" s="203"/>
      <c r="G207" s="204"/>
      <c r="H207" s="204"/>
      <c r="I207" s="204"/>
      <c r="J207" s="331"/>
      <c r="K207" s="349"/>
      <c r="L207" s="352"/>
      <c r="M207" s="349"/>
      <c r="N207" s="359"/>
      <c r="O207" s="203"/>
      <c r="P207" s="205"/>
      <c r="Q207" s="205"/>
      <c r="R207" s="215"/>
      <c r="S207" s="27" t="str">
        <f t="shared" si="44"/>
        <v/>
      </c>
      <c r="T207" s="215"/>
      <c r="U207" s="27" t="str">
        <f t="shared" si="45"/>
        <v/>
      </c>
      <c r="V207" s="208"/>
      <c r="W207" s="27" t="str">
        <f t="shared" si="46"/>
        <v/>
      </c>
      <c r="X207" s="208"/>
      <c r="Y207" s="27" t="str">
        <f t="shared" si="47"/>
        <v/>
      </c>
      <c r="Z207" s="208"/>
      <c r="AA207" s="27" t="str">
        <f t="shared" si="48"/>
        <v/>
      </c>
      <c r="AB207" s="208"/>
      <c r="AC207" s="27" t="str">
        <f t="shared" si="49"/>
        <v/>
      </c>
      <c r="AD207" s="208"/>
      <c r="AE207" s="27" t="str">
        <f t="shared" si="50"/>
        <v/>
      </c>
      <c r="AF207" s="48" t="str">
        <f t="shared" si="51"/>
        <v/>
      </c>
      <c r="AG207" s="48" t="str">
        <f t="shared" si="52"/>
        <v/>
      </c>
      <c r="AH207" s="209"/>
      <c r="AI207" s="210" t="str">
        <f t="shared" si="53"/>
        <v>Débil</v>
      </c>
      <c r="AJ207" s="21" t="str">
        <f>IFERROR(VLOOKUP((CONCATENATE(AG207,AI207)),Listados!$U$3:$V$11,2,FALSE),"")</f>
        <v/>
      </c>
      <c r="AK207" s="48">
        <f t="shared" si="54"/>
        <v>100</v>
      </c>
      <c r="AL207" s="355"/>
      <c r="AM207" s="357"/>
      <c r="AN207" s="173">
        <f>+IF(AND(Q207="Preventivo",AM205="Fuerte"),2,IF(AND(Q207="Preventivo",AM205="Moderado"),1,0))</f>
        <v>0</v>
      </c>
      <c r="AO207" s="173">
        <f t="shared" si="55"/>
        <v>0</v>
      </c>
      <c r="AP207" s="173">
        <f>+K205-AN207</f>
        <v>4</v>
      </c>
      <c r="AQ207" s="173">
        <f>+M205-AO207</f>
        <v>3</v>
      </c>
      <c r="AR207" s="346"/>
      <c r="AS207" s="346"/>
      <c r="AT207" s="346"/>
      <c r="AU207" s="346"/>
      <c r="AV207" s="311"/>
      <c r="AW207" s="312"/>
      <c r="AX207" s="313"/>
      <c r="AY207" s="311"/>
      <c r="AZ207" s="312"/>
      <c r="BA207" s="313"/>
      <c r="BB207" s="311"/>
      <c r="BC207" s="312"/>
      <c r="BD207" s="313"/>
    </row>
    <row r="208" spans="1:56" ht="15.75" thickBot="1">
      <c r="A208" s="329"/>
      <c r="B208" s="331"/>
      <c r="C208" s="332"/>
      <c r="D208" s="333"/>
      <c r="E208" s="203"/>
      <c r="F208" s="203"/>
      <c r="G208" s="204"/>
      <c r="H208" s="204"/>
      <c r="I208" s="204"/>
      <c r="J208" s="331"/>
      <c r="K208" s="349"/>
      <c r="L208" s="352"/>
      <c r="M208" s="349"/>
      <c r="N208" s="359"/>
      <c r="O208" s="203"/>
      <c r="P208" s="205"/>
      <c r="Q208" s="205"/>
      <c r="R208" s="215"/>
      <c r="S208" s="27" t="str">
        <f t="shared" si="44"/>
        <v/>
      </c>
      <c r="T208" s="215"/>
      <c r="U208" s="27" t="str">
        <f t="shared" si="45"/>
        <v/>
      </c>
      <c r="V208" s="208"/>
      <c r="W208" s="27" t="str">
        <f t="shared" si="46"/>
        <v/>
      </c>
      <c r="X208" s="208"/>
      <c r="Y208" s="27" t="str">
        <f t="shared" si="47"/>
        <v/>
      </c>
      <c r="Z208" s="208"/>
      <c r="AA208" s="27" t="str">
        <f t="shared" si="48"/>
        <v/>
      </c>
      <c r="AB208" s="208"/>
      <c r="AC208" s="27" t="str">
        <f t="shared" si="49"/>
        <v/>
      </c>
      <c r="AD208" s="208"/>
      <c r="AE208" s="27" t="str">
        <f t="shared" si="50"/>
        <v/>
      </c>
      <c r="AF208" s="48" t="str">
        <f t="shared" si="51"/>
        <v/>
      </c>
      <c r="AG208" s="48" t="str">
        <f t="shared" si="52"/>
        <v/>
      </c>
      <c r="AH208" s="209"/>
      <c r="AI208" s="210" t="str">
        <f t="shared" si="53"/>
        <v>Débil</v>
      </c>
      <c r="AJ208" s="21" t="str">
        <f>IFERROR(VLOOKUP((CONCATENATE(AG208,AI208)),Listados!$U$3:$V$11,2,FALSE),"")</f>
        <v/>
      </c>
      <c r="AK208" s="48">
        <f t="shared" si="54"/>
        <v>100</v>
      </c>
      <c r="AL208" s="355"/>
      <c r="AM208" s="357"/>
      <c r="AN208" s="173">
        <f>+IF(AND(Q208="Preventivo",AM205="Fuerte"),2,IF(AND(Q208="Preventivo",AM205="Moderado"),1,0))</f>
        <v>0</v>
      </c>
      <c r="AO208" s="173">
        <f t="shared" si="55"/>
        <v>0</v>
      </c>
      <c r="AP208" s="173">
        <f>+K205-AN208</f>
        <v>4</v>
      </c>
      <c r="AQ208" s="173">
        <f>+M205-AO208</f>
        <v>3</v>
      </c>
      <c r="AR208" s="346"/>
      <c r="AS208" s="346"/>
      <c r="AT208" s="346"/>
      <c r="AU208" s="346"/>
      <c r="AV208" s="311"/>
      <c r="AW208" s="312"/>
      <c r="AX208" s="313"/>
      <c r="AY208" s="311"/>
      <c r="AZ208" s="312"/>
      <c r="BA208" s="313"/>
      <c r="BB208" s="311"/>
      <c r="BC208" s="312"/>
      <c r="BD208" s="313"/>
    </row>
    <row r="209" spans="1:56" ht="15.75" thickBot="1">
      <c r="A209" s="329"/>
      <c r="B209" s="331"/>
      <c r="C209" s="332"/>
      <c r="D209" s="333"/>
      <c r="E209" s="203"/>
      <c r="F209" s="203"/>
      <c r="G209" s="204"/>
      <c r="H209" s="204"/>
      <c r="I209" s="204"/>
      <c r="J209" s="331"/>
      <c r="K209" s="349"/>
      <c r="L209" s="352"/>
      <c r="M209" s="349"/>
      <c r="N209" s="359"/>
      <c r="O209" s="203"/>
      <c r="P209" s="205"/>
      <c r="Q209" s="205"/>
      <c r="R209" s="215"/>
      <c r="S209" s="27" t="str">
        <f t="shared" si="44"/>
        <v/>
      </c>
      <c r="T209" s="215"/>
      <c r="U209" s="27" t="str">
        <f t="shared" si="45"/>
        <v/>
      </c>
      <c r="V209" s="208"/>
      <c r="W209" s="27" t="str">
        <f t="shared" si="46"/>
        <v/>
      </c>
      <c r="X209" s="208"/>
      <c r="Y209" s="27" t="str">
        <f t="shared" si="47"/>
        <v/>
      </c>
      <c r="Z209" s="208"/>
      <c r="AA209" s="27" t="str">
        <f t="shared" si="48"/>
        <v/>
      </c>
      <c r="AB209" s="208"/>
      <c r="AC209" s="27" t="str">
        <f t="shared" si="49"/>
        <v/>
      </c>
      <c r="AD209" s="208"/>
      <c r="AE209" s="27" t="str">
        <f t="shared" si="50"/>
        <v/>
      </c>
      <c r="AF209" s="48" t="str">
        <f t="shared" si="51"/>
        <v/>
      </c>
      <c r="AG209" s="48" t="str">
        <f t="shared" si="52"/>
        <v/>
      </c>
      <c r="AH209" s="209"/>
      <c r="AI209" s="210" t="str">
        <f t="shared" si="53"/>
        <v>Débil</v>
      </c>
      <c r="AJ209" s="21" t="str">
        <f>IFERROR(VLOOKUP((CONCATENATE(AG209,AI209)),Listados!$U$3:$V$11,2,FALSE),"")</f>
        <v/>
      </c>
      <c r="AK209" s="48">
        <f t="shared" si="54"/>
        <v>100</v>
      </c>
      <c r="AL209" s="355"/>
      <c r="AM209" s="357"/>
      <c r="AN209" s="173">
        <f>+IF(AND(Q209="Preventivo",AM205="Fuerte"),2,IF(AND(Q209="Preventivo",AM205="Moderado"),1,0))</f>
        <v>0</v>
      </c>
      <c r="AO209" s="173">
        <f t="shared" si="55"/>
        <v>0</v>
      </c>
      <c r="AP209" s="173">
        <f>+K205-AN209</f>
        <v>4</v>
      </c>
      <c r="AQ209" s="173">
        <f>+M205-AO209</f>
        <v>3</v>
      </c>
      <c r="AR209" s="346"/>
      <c r="AS209" s="346"/>
      <c r="AT209" s="346"/>
      <c r="AU209" s="346"/>
      <c r="AV209" s="311"/>
      <c r="AW209" s="312"/>
      <c r="AX209" s="313"/>
      <c r="AY209" s="311"/>
      <c r="AZ209" s="312"/>
      <c r="BA209" s="313"/>
      <c r="BB209" s="311"/>
      <c r="BC209" s="312"/>
      <c r="BD209" s="313"/>
    </row>
    <row r="210" spans="1:56" ht="15.75" thickBot="1">
      <c r="A210" s="330"/>
      <c r="B210" s="331"/>
      <c r="C210" s="332"/>
      <c r="D210" s="333"/>
      <c r="E210" s="203"/>
      <c r="F210" s="203"/>
      <c r="G210" s="204"/>
      <c r="H210" s="204"/>
      <c r="I210" s="204"/>
      <c r="J210" s="331"/>
      <c r="K210" s="350"/>
      <c r="L210" s="352"/>
      <c r="M210" s="350"/>
      <c r="N210" s="359"/>
      <c r="O210" s="203"/>
      <c r="P210" s="205"/>
      <c r="Q210" s="205"/>
      <c r="R210" s="215"/>
      <c r="S210" s="27" t="str">
        <f t="shared" si="44"/>
        <v/>
      </c>
      <c r="T210" s="215"/>
      <c r="U210" s="27" t="str">
        <f t="shared" si="45"/>
        <v/>
      </c>
      <c r="V210" s="208"/>
      <c r="W210" s="27" t="str">
        <f t="shared" si="46"/>
        <v/>
      </c>
      <c r="X210" s="208"/>
      <c r="Y210" s="27" t="str">
        <f t="shared" si="47"/>
        <v/>
      </c>
      <c r="Z210" s="208"/>
      <c r="AA210" s="27" t="str">
        <f t="shared" si="48"/>
        <v/>
      </c>
      <c r="AB210" s="208"/>
      <c r="AC210" s="27" t="str">
        <f t="shared" si="49"/>
        <v/>
      </c>
      <c r="AD210" s="208"/>
      <c r="AE210" s="27" t="str">
        <f t="shared" si="50"/>
        <v/>
      </c>
      <c r="AF210" s="48" t="str">
        <f t="shared" si="51"/>
        <v/>
      </c>
      <c r="AG210" s="48" t="str">
        <f t="shared" si="52"/>
        <v/>
      </c>
      <c r="AH210" s="209"/>
      <c r="AI210" s="210" t="str">
        <f t="shared" si="53"/>
        <v>Débil</v>
      </c>
      <c r="AJ210" s="21" t="str">
        <f>IFERROR(VLOOKUP((CONCATENATE(AG210,AI210)),Listados!$U$3:$V$11,2,FALSE),"")</f>
        <v/>
      </c>
      <c r="AK210" s="48">
        <f t="shared" si="54"/>
        <v>100</v>
      </c>
      <c r="AL210" s="356"/>
      <c r="AM210" s="357"/>
      <c r="AN210" s="173">
        <f>+IF(AND(Q210="Preventivo",AM205="Fuerte"),2,IF(AND(Q210="Preventivo",AM205="Moderado"),1,0))</f>
        <v>0</v>
      </c>
      <c r="AO210" s="173">
        <f t="shared" si="55"/>
        <v>0</v>
      </c>
      <c r="AP210" s="173">
        <f>+K205-AN210</f>
        <v>4</v>
      </c>
      <c r="AQ210" s="173">
        <f>+M205-AO210</f>
        <v>3</v>
      </c>
      <c r="AR210" s="347"/>
      <c r="AS210" s="347"/>
      <c r="AT210" s="347"/>
      <c r="AU210" s="347"/>
      <c r="AV210" s="311"/>
      <c r="AW210" s="312"/>
      <c r="AX210" s="313"/>
      <c r="AY210" s="311"/>
      <c r="AZ210" s="312"/>
      <c r="BA210" s="313"/>
      <c r="BB210" s="311"/>
      <c r="BC210" s="312"/>
      <c r="BD210" s="313"/>
    </row>
    <row r="211" spans="1:56" ht="144" thickBot="1">
      <c r="A211" s="328">
        <v>35</v>
      </c>
      <c r="B211" s="331" t="s">
        <v>101</v>
      </c>
      <c r="C211" s="332" t="str">
        <f>IFERROR(VLOOKUP(B211,Listados!B$3:C$20,2,FALSE),"")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211" s="333" t="s">
        <v>464</v>
      </c>
      <c r="E211" s="203" t="s">
        <v>41</v>
      </c>
      <c r="F211" s="203"/>
      <c r="G211" s="204" t="s">
        <v>465</v>
      </c>
      <c r="H211" s="204" t="s">
        <v>16</v>
      </c>
      <c r="I211" s="204" t="s">
        <v>402</v>
      </c>
      <c r="J211" s="331" t="s">
        <v>31</v>
      </c>
      <c r="K211" s="348">
        <f>+VLOOKUP(J211,Listados!$K$8:$L$12,2,0)</f>
        <v>2</v>
      </c>
      <c r="L211" s="351" t="s">
        <v>32</v>
      </c>
      <c r="M211" s="348">
        <f>+VLOOKUP(L211,Listados!$K$13:$L$17,2,0)</f>
        <v>2</v>
      </c>
      <c r="N211" s="358" t="str">
        <f>IF(AND(J211&lt;&gt;"",L211&lt;&gt;""),VLOOKUP(J211&amp;L211,Listados!$M$3:$N$27,2,FALSE),"")</f>
        <v>Bajo</v>
      </c>
      <c r="O211" s="205" t="s">
        <v>466</v>
      </c>
      <c r="P211" s="203" t="s">
        <v>465</v>
      </c>
      <c r="Q211" s="204" t="s">
        <v>20</v>
      </c>
      <c r="R211" s="215"/>
      <c r="S211" s="27" t="str">
        <f t="shared" si="44"/>
        <v/>
      </c>
      <c r="T211" s="215"/>
      <c r="U211" s="27" t="str">
        <f t="shared" si="45"/>
        <v/>
      </c>
      <c r="V211" s="208"/>
      <c r="W211" s="27" t="str">
        <f t="shared" si="46"/>
        <v/>
      </c>
      <c r="X211" s="208"/>
      <c r="Y211" s="27" t="str">
        <f t="shared" si="47"/>
        <v/>
      </c>
      <c r="Z211" s="208"/>
      <c r="AA211" s="27" t="str">
        <f t="shared" si="48"/>
        <v/>
      </c>
      <c r="AB211" s="208"/>
      <c r="AC211" s="27" t="str">
        <f t="shared" si="49"/>
        <v/>
      </c>
      <c r="AD211" s="208"/>
      <c r="AE211" s="27" t="str">
        <f t="shared" si="50"/>
        <v/>
      </c>
      <c r="AF211" s="48" t="str">
        <f t="shared" si="51"/>
        <v/>
      </c>
      <c r="AG211" s="48" t="str">
        <f t="shared" si="52"/>
        <v/>
      </c>
      <c r="AH211" s="209"/>
      <c r="AI211" s="210" t="str">
        <f t="shared" si="53"/>
        <v>Débil</v>
      </c>
      <c r="AJ211" s="21" t="str">
        <f>IFERROR(VLOOKUP((CONCATENATE(AG211,AI211)),Listados!$U$3:$V$11,2,FALSE),"")</f>
        <v/>
      </c>
      <c r="AK211" s="48">
        <f t="shared" si="54"/>
        <v>100</v>
      </c>
      <c r="AL211" s="354">
        <f>AVERAGE(AK211:AK216)</f>
        <v>100</v>
      </c>
      <c r="AM211" s="356" t="str">
        <f>IF(AL211&lt;=50, "Débil", IF(AL211&lt;=99,"Moderado","Fuerte"))</f>
        <v>Fuerte</v>
      </c>
      <c r="AN211" s="173">
        <f>+IF(AND(Q211="Preventivo",AM211="Fuerte"),2,IF(AND(Q211="Preventivo",AM211="Moderado"),1,0))</f>
        <v>2</v>
      </c>
      <c r="AO211" s="173">
        <f t="shared" si="55"/>
        <v>1</v>
      </c>
      <c r="AP211" s="173">
        <f>+K211-AN211</f>
        <v>0</v>
      </c>
      <c r="AQ211" s="173">
        <f>+M211-AO211</f>
        <v>1</v>
      </c>
      <c r="AR211" s="345" t="str">
        <f>+VLOOKUP(MIN(AP211,AP212,AP213,AP214,AP215,AP216),Listados!$J$18:$K$24,2,TRUE)</f>
        <v>Rara Vez</v>
      </c>
      <c r="AS211" s="345" t="str">
        <f>+VLOOKUP(MIN(AQ211,AQ212,AQ213,AQ214,AQ215,AQ216),Listados!$J$27:$K$32,2,TRUE)</f>
        <v>Insignificante</v>
      </c>
      <c r="AT211" s="345" t="str">
        <f>IF(AND(AR211&lt;&gt;"",AS211&lt;&gt;""),VLOOKUP(AR211&amp;AS211,Listados!$M$3:$N$27,2,FALSE),"")</f>
        <v>Bajo</v>
      </c>
      <c r="AU211" s="345" t="str">
        <f>+VLOOKUP(AT211,Listados!$P$3:$Q$6,2,FALSE)</f>
        <v>Asumir el riesgo</v>
      </c>
      <c r="AV211" s="311"/>
      <c r="AW211" s="312"/>
      <c r="AX211" s="313"/>
      <c r="AY211" s="311"/>
      <c r="AZ211" s="312"/>
      <c r="BA211" s="313"/>
      <c r="BB211" s="311"/>
      <c r="BC211" s="312"/>
      <c r="BD211" s="313"/>
    </row>
    <row r="212" spans="1:56" ht="129.75" thickBot="1">
      <c r="A212" s="329"/>
      <c r="B212" s="331"/>
      <c r="C212" s="332"/>
      <c r="D212" s="333"/>
      <c r="E212" s="203"/>
      <c r="F212" s="203"/>
      <c r="G212" s="204" t="s">
        <v>467</v>
      </c>
      <c r="H212" s="204" t="s">
        <v>30</v>
      </c>
      <c r="I212" s="204" t="s">
        <v>468</v>
      </c>
      <c r="J212" s="331"/>
      <c r="K212" s="349"/>
      <c r="L212" s="352"/>
      <c r="M212" s="349"/>
      <c r="N212" s="359"/>
      <c r="O212" s="205" t="s">
        <v>469</v>
      </c>
      <c r="P212" s="203" t="s">
        <v>467</v>
      </c>
      <c r="Q212" s="204" t="s">
        <v>20</v>
      </c>
      <c r="R212" s="215"/>
      <c r="S212" s="27" t="str">
        <f t="shared" si="44"/>
        <v/>
      </c>
      <c r="T212" s="215"/>
      <c r="U212" s="27" t="str">
        <f t="shared" si="45"/>
        <v/>
      </c>
      <c r="V212" s="208"/>
      <c r="W212" s="27" t="str">
        <f t="shared" si="46"/>
        <v/>
      </c>
      <c r="X212" s="208"/>
      <c r="Y212" s="27" t="str">
        <f t="shared" si="47"/>
        <v/>
      </c>
      <c r="Z212" s="208"/>
      <c r="AA212" s="27" t="str">
        <f t="shared" si="48"/>
        <v/>
      </c>
      <c r="AB212" s="208"/>
      <c r="AC212" s="27" t="str">
        <f t="shared" si="49"/>
        <v/>
      </c>
      <c r="AD212" s="208"/>
      <c r="AE212" s="27" t="str">
        <f t="shared" si="50"/>
        <v/>
      </c>
      <c r="AF212" s="48" t="str">
        <f t="shared" si="51"/>
        <v/>
      </c>
      <c r="AG212" s="48" t="str">
        <f t="shared" si="52"/>
        <v/>
      </c>
      <c r="AH212" s="209"/>
      <c r="AI212" s="210" t="str">
        <f t="shared" si="53"/>
        <v>Débil</v>
      </c>
      <c r="AJ212" s="21" t="str">
        <f>IFERROR(VLOOKUP((CONCATENATE(AG212,AI212)),Listados!$U$3:$V$11,2,FALSE),"")</f>
        <v/>
      </c>
      <c r="AK212" s="48">
        <f t="shared" si="54"/>
        <v>100</v>
      </c>
      <c r="AL212" s="355"/>
      <c r="AM212" s="357"/>
      <c r="AN212" s="173">
        <f>+IF(AND(Q212="Preventivo",AM211="Fuerte"),2,IF(AND(Q212="Preventivo",AM211="Moderado"),1,0))</f>
        <v>2</v>
      </c>
      <c r="AO212" s="173">
        <f t="shared" si="55"/>
        <v>1</v>
      </c>
      <c r="AP212" s="173">
        <f>+K211-AN212</f>
        <v>0</v>
      </c>
      <c r="AQ212" s="173">
        <f>+M211-AO212</f>
        <v>1</v>
      </c>
      <c r="AR212" s="346"/>
      <c r="AS212" s="346"/>
      <c r="AT212" s="346"/>
      <c r="AU212" s="346"/>
      <c r="AV212" s="311"/>
      <c r="AW212" s="312"/>
      <c r="AX212" s="313"/>
      <c r="AY212" s="311"/>
      <c r="AZ212" s="312"/>
      <c r="BA212" s="313"/>
      <c r="BB212" s="311"/>
      <c r="BC212" s="312"/>
      <c r="BD212" s="313"/>
    </row>
    <row r="213" spans="1:56" ht="144" thickBot="1">
      <c r="A213" s="329"/>
      <c r="B213" s="331"/>
      <c r="C213" s="332"/>
      <c r="D213" s="333"/>
      <c r="E213" s="203"/>
      <c r="F213" s="203"/>
      <c r="G213" s="204" t="s">
        <v>470</v>
      </c>
      <c r="H213" s="204" t="s">
        <v>16</v>
      </c>
      <c r="I213" s="204" t="s">
        <v>471</v>
      </c>
      <c r="J213" s="331"/>
      <c r="K213" s="349"/>
      <c r="L213" s="352"/>
      <c r="M213" s="349"/>
      <c r="N213" s="359"/>
      <c r="O213" s="205" t="s">
        <v>472</v>
      </c>
      <c r="P213" s="203" t="s">
        <v>470</v>
      </c>
      <c r="Q213" s="204" t="s">
        <v>20</v>
      </c>
      <c r="R213" s="215"/>
      <c r="S213" s="27" t="str">
        <f t="shared" si="44"/>
        <v/>
      </c>
      <c r="T213" s="215"/>
      <c r="U213" s="27" t="str">
        <f t="shared" si="45"/>
        <v/>
      </c>
      <c r="V213" s="208"/>
      <c r="W213" s="27" t="str">
        <f t="shared" si="46"/>
        <v/>
      </c>
      <c r="X213" s="208"/>
      <c r="Y213" s="27" t="str">
        <f t="shared" si="47"/>
        <v/>
      </c>
      <c r="Z213" s="208"/>
      <c r="AA213" s="27" t="str">
        <f t="shared" si="48"/>
        <v/>
      </c>
      <c r="AB213" s="208"/>
      <c r="AC213" s="27" t="str">
        <f t="shared" si="49"/>
        <v/>
      </c>
      <c r="AD213" s="208"/>
      <c r="AE213" s="27" t="str">
        <f t="shared" si="50"/>
        <v/>
      </c>
      <c r="AF213" s="48" t="str">
        <f t="shared" si="51"/>
        <v/>
      </c>
      <c r="AG213" s="48" t="str">
        <f t="shared" si="52"/>
        <v/>
      </c>
      <c r="AH213" s="209"/>
      <c r="AI213" s="210" t="str">
        <f t="shared" si="53"/>
        <v>Débil</v>
      </c>
      <c r="AJ213" s="21" t="str">
        <f>IFERROR(VLOOKUP((CONCATENATE(AG213,AI213)),Listados!$U$3:$V$11,2,FALSE),"")</f>
        <v/>
      </c>
      <c r="AK213" s="48">
        <f t="shared" si="54"/>
        <v>100</v>
      </c>
      <c r="AL213" s="355"/>
      <c r="AM213" s="357"/>
      <c r="AN213" s="173">
        <f>+IF(AND(Q213="Preventivo",AM211="Fuerte"),2,IF(AND(Q213="Preventivo",AM211="Moderado"),1,0))</f>
        <v>2</v>
      </c>
      <c r="AO213" s="173">
        <f t="shared" si="55"/>
        <v>1</v>
      </c>
      <c r="AP213" s="173">
        <f>+K211-AN213</f>
        <v>0</v>
      </c>
      <c r="AQ213" s="173">
        <f>+M211-AO213</f>
        <v>1</v>
      </c>
      <c r="AR213" s="346"/>
      <c r="AS213" s="346"/>
      <c r="AT213" s="346"/>
      <c r="AU213" s="346"/>
      <c r="AV213" s="311"/>
      <c r="AW213" s="312"/>
      <c r="AX213" s="313"/>
      <c r="AY213" s="311"/>
      <c r="AZ213" s="312"/>
      <c r="BA213" s="313"/>
      <c r="BB213" s="311"/>
      <c r="BC213" s="312"/>
      <c r="BD213" s="313"/>
    </row>
    <row r="214" spans="1:56" ht="144" thickBot="1">
      <c r="A214" s="329"/>
      <c r="B214" s="331"/>
      <c r="C214" s="332"/>
      <c r="D214" s="333"/>
      <c r="E214" s="203"/>
      <c r="F214" s="203"/>
      <c r="G214" s="204" t="s">
        <v>473</v>
      </c>
      <c r="H214" s="204" t="s">
        <v>16</v>
      </c>
      <c r="I214" s="204"/>
      <c r="J214" s="331"/>
      <c r="K214" s="349"/>
      <c r="L214" s="352"/>
      <c r="M214" s="349"/>
      <c r="N214" s="359"/>
      <c r="O214" s="205" t="s">
        <v>466</v>
      </c>
      <c r="P214" s="203" t="s">
        <v>473</v>
      </c>
      <c r="Q214" s="204" t="s">
        <v>20</v>
      </c>
      <c r="R214" s="215"/>
      <c r="S214" s="27" t="str">
        <f t="shared" si="44"/>
        <v/>
      </c>
      <c r="T214" s="215"/>
      <c r="U214" s="27" t="str">
        <f t="shared" si="45"/>
        <v/>
      </c>
      <c r="V214" s="208"/>
      <c r="W214" s="27" t="str">
        <f t="shared" si="46"/>
        <v/>
      </c>
      <c r="X214" s="208"/>
      <c r="Y214" s="27" t="str">
        <f t="shared" si="47"/>
        <v/>
      </c>
      <c r="Z214" s="208"/>
      <c r="AA214" s="27" t="str">
        <f t="shared" si="48"/>
        <v/>
      </c>
      <c r="AB214" s="208"/>
      <c r="AC214" s="27" t="str">
        <f t="shared" si="49"/>
        <v/>
      </c>
      <c r="AD214" s="208"/>
      <c r="AE214" s="27" t="str">
        <f t="shared" si="50"/>
        <v/>
      </c>
      <c r="AF214" s="48" t="str">
        <f t="shared" si="51"/>
        <v/>
      </c>
      <c r="AG214" s="48" t="str">
        <f t="shared" si="52"/>
        <v/>
      </c>
      <c r="AH214" s="209"/>
      <c r="AI214" s="210" t="str">
        <f t="shared" si="53"/>
        <v>Débil</v>
      </c>
      <c r="AJ214" s="21" t="str">
        <f>IFERROR(VLOOKUP((CONCATENATE(AG214,AI214)),Listados!$U$3:$V$11,2,FALSE),"")</f>
        <v/>
      </c>
      <c r="AK214" s="48">
        <f t="shared" si="54"/>
        <v>100</v>
      </c>
      <c r="AL214" s="355"/>
      <c r="AM214" s="357"/>
      <c r="AN214" s="173">
        <f>+IF(AND(Q214="Preventivo",AM211="Fuerte"),2,IF(AND(Q214="Preventivo",AM211="Moderado"),1,0))</f>
        <v>2</v>
      </c>
      <c r="AO214" s="173">
        <f t="shared" si="55"/>
        <v>1</v>
      </c>
      <c r="AP214" s="173">
        <f>+K211-AN214</f>
        <v>0</v>
      </c>
      <c r="AQ214" s="173">
        <f>+M211-AO214</f>
        <v>1</v>
      </c>
      <c r="AR214" s="346"/>
      <c r="AS214" s="346"/>
      <c r="AT214" s="346"/>
      <c r="AU214" s="346"/>
      <c r="AV214" s="311"/>
      <c r="AW214" s="312"/>
      <c r="AX214" s="313"/>
      <c r="AY214" s="311"/>
      <c r="AZ214" s="312"/>
      <c r="BA214" s="313"/>
      <c r="BB214" s="311"/>
      <c r="BC214" s="312"/>
      <c r="BD214" s="313"/>
    </row>
    <row r="215" spans="1:56" ht="15.75" thickBot="1">
      <c r="A215" s="329"/>
      <c r="B215" s="331"/>
      <c r="C215" s="332"/>
      <c r="D215" s="333"/>
      <c r="E215" s="203"/>
      <c r="F215" s="203"/>
      <c r="G215" s="204"/>
      <c r="H215" s="204"/>
      <c r="I215" s="204"/>
      <c r="J215" s="331"/>
      <c r="K215" s="349"/>
      <c r="L215" s="352"/>
      <c r="M215" s="349"/>
      <c r="N215" s="359"/>
      <c r="O215" s="203"/>
      <c r="P215" s="205"/>
      <c r="Q215" s="205"/>
      <c r="R215" s="215"/>
      <c r="S215" s="27" t="str">
        <f t="shared" si="44"/>
        <v/>
      </c>
      <c r="T215" s="215"/>
      <c r="U215" s="27" t="str">
        <f t="shared" si="45"/>
        <v/>
      </c>
      <c r="V215" s="208"/>
      <c r="W215" s="27" t="str">
        <f t="shared" si="46"/>
        <v/>
      </c>
      <c r="X215" s="208"/>
      <c r="Y215" s="27" t="str">
        <f t="shared" si="47"/>
        <v/>
      </c>
      <c r="Z215" s="208"/>
      <c r="AA215" s="27" t="str">
        <f t="shared" si="48"/>
        <v/>
      </c>
      <c r="AB215" s="208"/>
      <c r="AC215" s="27" t="str">
        <f t="shared" si="49"/>
        <v/>
      </c>
      <c r="AD215" s="208"/>
      <c r="AE215" s="27" t="str">
        <f t="shared" si="50"/>
        <v/>
      </c>
      <c r="AF215" s="48" t="str">
        <f t="shared" si="51"/>
        <v/>
      </c>
      <c r="AG215" s="48" t="str">
        <f t="shared" si="52"/>
        <v/>
      </c>
      <c r="AH215" s="209"/>
      <c r="AI215" s="210" t="str">
        <f t="shared" si="53"/>
        <v>Débil</v>
      </c>
      <c r="AJ215" s="21" t="str">
        <f>IFERROR(VLOOKUP((CONCATENATE(AG215,AI215)),Listados!$U$3:$V$11,2,FALSE),"")</f>
        <v/>
      </c>
      <c r="AK215" s="48">
        <f t="shared" si="54"/>
        <v>100</v>
      </c>
      <c r="AL215" s="355"/>
      <c r="AM215" s="357"/>
      <c r="AN215" s="173">
        <f>+IF(AND(Q215="Preventivo",AM211="Fuerte"),2,IF(AND(Q215="Preventivo",AM211="Moderado"),1,0))</f>
        <v>0</v>
      </c>
      <c r="AO215" s="173">
        <f t="shared" si="55"/>
        <v>0</v>
      </c>
      <c r="AP215" s="173">
        <f>+K211-AN215</f>
        <v>2</v>
      </c>
      <c r="AQ215" s="173">
        <f>+M211-AO215</f>
        <v>2</v>
      </c>
      <c r="AR215" s="346"/>
      <c r="AS215" s="346"/>
      <c r="AT215" s="346"/>
      <c r="AU215" s="346"/>
      <c r="AV215" s="311"/>
      <c r="AW215" s="312"/>
      <c r="AX215" s="313"/>
      <c r="AY215" s="311"/>
      <c r="AZ215" s="312"/>
      <c r="BA215" s="313"/>
      <c r="BB215" s="311"/>
      <c r="BC215" s="312"/>
      <c r="BD215" s="313"/>
    </row>
    <row r="216" spans="1:56" ht="15.75" thickBot="1">
      <c r="A216" s="330"/>
      <c r="B216" s="331"/>
      <c r="C216" s="332"/>
      <c r="D216" s="333"/>
      <c r="E216" s="203"/>
      <c r="F216" s="203"/>
      <c r="G216" s="204"/>
      <c r="H216" s="204"/>
      <c r="I216" s="204"/>
      <c r="J216" s="331"/>
      <c r="K216" s="350"/>
      <c r="L216" s="352"/>
      <c r="M216" s="350"/>
      <c r="N216" s="359"/>
      <c r="O216" s="203"/>
      <c r="P216" s="205"/>
      <c r="Q216" s="205"/>
      <c r="R216" s="215"/>
      <c r="S216" s="27" t="str">
        <f t="shared" si="44"/>
        <v/>
      </c>
      <c r="T216" s="215"/>
      <c r="U216" s="27" t="str">
        <f t="shared" si="45"/>
        <v/>
      </c>
      <c r="V216" s="208"/>
      <c r="W216" s="27" t="str">
        <f t="shared" si="46"/>
        <v/>
      </c>
      <c r="X216" s="208"/>
      <c r="Y216" s="27" t="str">
        <f t="shared" si="47"/>
        <v/>
      </c>
      <c r="Z216" s="208"/>
      <c r="AA216" s="27" t="str">
        <f t="shared" si="48"/>
        <v/>
      </c>
      <c r="AB216" s="208"/>
      <c r="AC216" s="27" t="str">
        <f t="shared" si="49"/>
        <v/>
      </c>
      <c r="AD216" s="208"/>
      <c r="AE216" s="27" t="str">
        <f t="shared" si="50"/>
        <v/>
      </c>
      <c r="AF216" s="48" t="str">
        <f t="shared" si="51"/>
        <v/>
      </c>
      <c r="AG216" s="48" t="str">
        <f t="shared" si="52"/>
        <v/>
      </c>
      <c r="AH216" s="209"/>
      <c r="AI216" s="210" t="str">
        <f t="shared" si="53"/>
        <v>Débil</v>
      </c>
      <c r="AJ216" s="21" t="str">
        <f>IFERROR(VLOOKUP((CONCATENATE(AG216,AI216)),Listados!$U$3:$V$11,2,FALSE),"")</f>
        <v/>
      </c>
      <c r="AK216" s="48">
        <f t="shared" si="54"/>
        <v>100</v>
      </c>
      <c r="AL216" s="356"/>
      <c r="AM216" s="357"/>
      <c r="AN216" s="173">
        <f>+IF(AND(Q216="Preventivo",AM211="Fuerte"),2,IF(AND(Q216="Preventivo",AM211="Moderado"),1,0))</f>
        <v>0</v>
      </c>
      <c r="AO216" s="173">
        <f t="shared" si="55"/>
        <v>0</v>
      </c>
      <c r="AP216" s="173">
        <f>+K211-AN216</f>
        <v>2</v>
      </c>
      <c r="AQ216" s="173">
        <f>+M211-AO216</f>
        <v>2</v>
      </c>
      <c r="AR216" s="347"/>
      <c r="AS216" s="347"/>
      <c r="AT216" s="347"/>
      <c r="AU216" s="347"/>
      <c r="AV216" s="311"/>
      <c r="AW216" s="312"/>
      <c r="AX216" s="313"/>
      <c r="AY216" s="311"/>
      <c r="AZ216" s="312"/>
      <c r="BA216" s="313"/>
      <c r="BB216" s="311"/>
      <c r="BC216" s="312"/>
      <c r="BD216" s="313"/>
    </row>
    <row r="217" spans="1:56" ht="171.75" thickBot="1">
      <c r="A217" s="328">
        <v>36</v>
      </c>
      <c r="B217" s="331" t="s">
        <v>101</v>
      </c>
      <c r="C217" s="332" t="str">
        <f>IFERROR(VLOOKUP(B217,Listados!B$3:C$20,2,FALSE),"")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217" s="333" t="s">
        <v>474</v>
      </c>
      <c r="E217" s="203" t="s">
        <v>15</v>
      </c>
      <c r="F217" s="203" t="s">
        <v>209</v>
      </c>
      <c r="G217" s="204" t="s">
        <v>475</v>
      </c>
      <c r="H217" s="204" t="s">
        <v>30</v>
      </c>
      <c r="I217" s="204" t="s">
        <v>476</v>
      </c>
      <c r="J217" s="331" t="s">
        <v>53</v>
      </c>
      <c r="K217" s="348">
        <f>+VLOOKUP(J217,Listados!$K$8:$L$12,2,0)</f>
        <v>4</v>
      </c>
      <c r="L217" s="351" t="s">
        <v>54</v>
      </c>
      <c r="M217" s="348">
        <f>+VLOOKUP(L217,Listados!$K$13:$L$17,2,0)</f>
        <v>4</v>
      </c>
      <c r="N217" s="358" t="str">
        <f>IF(AND(J217&lt;&gt;"",L217&lt;&gt;""),VLOOKUP(J217&amp;L217,Listados!$M$3:$N$27,2,FALSE),"")</f>
        <v>Extremo</v>
      </c>
      <c r="O217" s="204" t="s">
        <v>477</v>
      </c>
      <c r="P217" s="204" t="s">
        <v>475</v>
      </c>
      <c r="Q217" s="204" t="s">
        <v>20</v>
      </c>
      <c r="R217" s="215"/>
      <c r="S217" s="27" t="str">
        <f t="shared" si="44"/>
        <v/>
      </c>
      <c r="T217" s="215"/>
      <c r="U217" s="27" t="str">
        <f t="shared" si="45"/>
        <v/>
      </c>
      <c r="V217" s="208"/>
      <c r="W217" s="27" t="str">
        <f t="shared" si="46"/>
        <v/>
      </c>
      <c r="X217" s="208"/>
      <c r="Y217" s="27" t="str">
        <f t="shared" si="47"/>
        <v/>
      </c>
      <c r="Z217" s="208"/>
      <c r="AA217" s="27" t="str">
        <f t="shared" si="48"/>
        <v/>
      </c>
      <c r="AB217" s="208"/>
      <c r="AC217" s="27" t="str">
        <f t="shared" si="49"/>
        <v/>
      </c>
      <c r="AD217" s="208"/>
      <c r="AE217" s="27" t="str">
        <f t="shared" si="50"/>
        <v/>
      </c>
      <c r="AF217" s="48" t="str">
        <f t="shared" si="51"/>
        <v/>
      </c>
      <c r="AG217" s="48" t="str">
        <f t="shared" si="52"/>
        <v/>
      </c>
      <c r="AH217" s="209"/>
      <c r="AI217" s="210" t="str">
        <f t="shared" si="53"/>
        <v>Débil</v>
      </c>
      <c r="AJ217" s="21" t="str">
        <f>IFERROR(VLOOKUP((CONCATENATE(AG217,AI217)),Listados!$U$3:$V$11,2,FALSE),"")</f>
        <v/>
      </c>
      <c r="AK217" s="48">
        <f t="shared" si="54"/>
        <v>100</v>
      </c>
      <c r="AL217" s="354">
        <f>AVERAGE(AK217:AK222)</f>
        <v>100</v>
      </c>
      <c r="AM217" s="356" t="str">
        <f>IF(AL217&lt;=50, "Débil", IF(AL217&lt;=99,"Moderado","Fuerte"))</f>
        <v>Fuerte</v>
      </c>
      <c r="AN217" s="173">
        <f>+IF(AND(Q217="Preventivo",AM217="Fuerte"),2,IF(AND(Q217="Preventivo",AM217="Moderado"),1,0))</f>
        <v>2</v>
      </c>
      <c r="AO217" s="173">
        <f t="shared" si="55"/>
        <v>1</v>
      </c>
      <c r="AP217" s="173">
        <f>+K217-AN217</f>
        <v>2</v>
      </c>
      <c r="AQ217" s="173">
        <f>+M217-AO217</f>
        <v>3</v>
      </c>
      <c r="AR217" s="345" t="str">
        <f>+VLOOKUP(MIN(AP217,AP218,AP219,AP220,AP221,AP222),Listados!$J$18:$K$24,2,TRUE)</f>
        <v>Improbable</v>
      </c>
      <c r="AS217" s="345" t="str">
        <f>+VLOOKUP(MIN(AQ217,AQ218,AQ219,AQ220,AQ221,AQ222),Listados!$J$27:$K$32,2,TRUE)</f>
        <v>Menor</v>
      </c>
      <c r="AT217" s="345" t="str">
        <f>IF(AND(AR217&lt;&gt;"",AS217&lt;&gt;""),VLOOKUP(AR217&amp;AS217,Listados!$M$3:$N$27,2,FALSE),"")</f>
        <v>Bajo</v>
      </c>
      <c r="AU217" s="345" t="str">
        <f>+VLOOKUP(AT217,Listados!$P$3:$Q$6,2,FALSE)</f>
        <v>Asumir el riesgo</v>
      </c>
      <c r="AV217" s="311"/>
      <c r="AW217" s="312"/>
      <c r="AX217" s="313"/>
      <c r="AY217" s="311"/>
      <c r="AZ217" s="312"/>
      <c r="BA217" s="313"/>
      <c r="BB217" s="311"/>
      <c r="BC217" s="312"/>
      <c r="BD217" s="313"/>
    </row>
    <row r="218" spans="1:56" ht="171.75" thickBot="1">
      <c r="A218" s="329"/>
      <c r="B218" s="331"/>
      <c r="C218" s="332"/>
      <c r="D218" s="333"/>
      <c r="E218" s="203"/>
      <c r="F218" s="203"/>
      <c r="G218" s="204" t="s">
        <v>478</v>
      </c>
      <c r="H218" s="204" t="s">
        <v>16</v>
      </c>
      <c r="I218" s="204" t="s">
        <v>479</v>
      </c>
      <c r="J218" s="331"/>
      <c r="K218" s="349"/>
      <c r="L218" s="352"/>
      <c r="M218" s="349"/>
      <c r="N218" s="359"/>
      <c r="O218" s="204" t="s">
        <v>480</v>
      </c>
      <c r="P218" s="204" t="s">
        <v>478</v>
      </c>
      <c r="Q218" s="204" t="s">
        <v>20</v>
      </c>
      <c r="R218" s="215"/>
      <c r="S218" s="27" t="str">
        <f t="shared" si="44"/>
        <v/>
      </c>
      <c r="T218" s="215"/>
      <c r="U218" s="27" t="str">
        <f t="shared" si="45"/>
        <v/>
      </c>
      <c r="V218" s="208"/>
      <c r="W218" s="27" t="str">
        <f t="shared" si="46"/>
        <v/>
      </c>
      <c r="X218" s="208"/>
      <c r="Y218" s="27" t="str">
        <f t="shared" si="47"/>
        <v/>
      </c>
      <c r="Z218" s="208"/>
      <c r="AA218" s="27" t="str">
        <f t="shared" si="48"/>
        <v/>
      </c>
      <c r="AB218" s="208"/>
      <c r="AC218" s="27" t="str">
        <f t="shared" si="49"/>
        <v/>
      </c>
      <c r="AD218" s="208"/>
      <c r="AE218" s="27" t="str">
        <f t="shared" si="50"/>
        <v/>
      </c>
      <c r="AF218" s="48" t="str">
        <f t="shared" si="51"/>
        <v/>
      </c>
      <c r="AG218" s="48" t="str">
        <f t="shared" si="52"/>
        <v/>
      </c>
      <c r="AH218" s="209"/>
      <c r="AI218" s="210" t="str">
        <f t="shared" si="53"/>
        <v>Débil</v>
      </c>
      <c r="AJ218" s="21" t="str">
        <f>IFERROR(VLOOKUP((CONCATENATE(AG218,AI218)),Listados!$U$3:$V$11,2,FALSE),"")</f>
        <v/>
      </c>
      <c r="AK218" s="48">
        <f t="shared" si="54"/>
        <v>100</v>
      </c>
      <c r="AL218" s="355"/>
      <c r="AM218" s="357"/>
      <c r="AN218" s="173">
        <f>+IF(AND(Q218="Preventivo",AM217="Fuerte"),2,IF(AND(Q218="Preventivo",AM217="Moderado"),1,0))</f>
        <v>2</v>
      </c>
      <c r="AO218" s="173">
        <f t="shared" si="55"/>
        <v>1</v>
      </c>
      <c r="AP218" s="173">
        <f>+K217-AN218</f>
        <v>2</v>
      </c>
      <c r="AQ218" s="173">
        <f>+M217-AO218</f>
        <v>3</v>
      </c>
      <c r="AR218" s="346"/>
      <c r="AS218" s="346"/>
      <c r="AT218" s="346"/>
      <c r="AU218" s="346"/>
      <c r="AV218" s="311"/>
      <c r="AW218" s="312"/>
      <c r="AX218" s="313"/>
      <c r="AY218" s="311"/>
      <c r="AZ218" s="312"/>
      <c r="BA218" s="313"/>
      <c r="BB218" s="311"/>
      <c r="BC218" s="312"/>
      <c r="BD218" s="313"/>
    </row>
    <row r="219" spans="1:56" ht="143.25" thickBot="1">
      <c r="A219" s="329"/>
      <c r="B219" s="331"/>
      <c r="C219" s="332"/>
      <c r="D219" s="333"/>
      <c r="E219" s="203"/>
      <c r="F219" s="203"/>
      <c r="G219" s="204" t="s">
        <v>481</v>
      </c>
      <c r="H219" s="204" t="s">
        <v>16</v>
      </c>
      <c r="I219" s="204" t="s">
        <v>482</v>
      </c>
      <c r="J219" s="331"/>
      <c r="K219" s="349"/>
      <c r="L219" s="352"/>
      <c r="M219" s="349"/>
      <c r="N219" s="359"/>
      <c r="O219" s="204" t="s">
        <v>483</v>
      </c>
      <c r="P219" s="204" t="s">
        <v>481</v>
      </c>
      <c r="Q219" s="204" t="s">
        <v>123</v>
      </c>
      <c r="R219" s="215"/>
      <c r="S219" s="27" t="str">
        <f t="shared" si="44"/>
        <v/>
      </c>
      <c r="T219" s="215"/>
      <c r="U219" s="27" t="str">
        <f t="shared" si="45"/>
        <v/>
      </c>
      <c r="V219" s="208"/>
      <c r="W219" s="27" t="str">
        <f t="shared" si="46"/>
        <v/>
      </c>
      <c r="X219" s="208"/>
      <c r="Y219" s="27" t="str">
        <f t="shared" si="47"/>
        <v/>
      </c>
      <c r="Z219" s="208"/>
      <c r="AA219" s="27" t="str">
        <f t="shared" si="48"/>
        <v/>
      </c>
      <c r="AB219" s="208"/>
      <c r="AC219" s="27" t="str">
        <f t="shared" si="49"/>
        <v/>
      </c>
      <c r="AD219" s="208"/>
      <c r="AE219" s="27" t="str">
        <f t="shared" si="50"/>
        <v/>
      </c>
      <c r="AF219" s="48" t="str">
        <f t="shared" si="51"/>
        <v/>
      </c>
      <c r="AG219" s="48" t="str">
        <f t="shared" si="52"/>
        <v/>
      </c>
      <c r="AH219" s="209"/>
      <c r="AI219" s="210" t="str">
        <f t="shared" si="53"/>
        <v>Débil</v>
      </c>
      <c r="AJ219" s="21" t="str">
        <f>IFERROR(VLOOKUP((CONCATENATE(AG219,AI219)),Listados!$U$3:$V$11,2,FALSE),"")</f>
        <v/>
      </c>
      <c r="AK219" s="48">
        <f t="shared" si="54"/>
        <v>100</v>
      </c>
      <c r="AL219" s="355"/>
      <c r="AM219" s="357"/>
      <c r="AN219" s="173">
        <f>+IF(AND(Q219="Preventivo",AM217="Fuerte"),2,IF(AND(Q219="Preventivo",AM217="Moderado"),1,0))</f>
        <v>0</v>
      </c>
      <c r="AO219" s="173">
        <f t="shared" si="55"/>
        <v>2</v>
      </c>
      <c r="AP219" s="173">
        <f>+K217-AN219</f>
        <v>4</v>
      </c>
      <c r="AQ219" s="173">
        <f>+M217-AO219</f>
        <v>2</v>
      </c>
      <c r="AR219" s="346"/>
      <c r="AS219" s="346"/>
      <c r="AT219" s="346"/>
      <c r="AU219" s="346"/>
      <c r="AV219" s="311"/>
      <c r="AW219" s="312"/>
      <c r="AX219" s="313"/>
      <c r="AY219" s="311"/>
      <c r="AZ219" s="312"/>
      <c r="BA219" s="313"/>
      <c r="BB219" s="311"/>
      <c r="BC219" s="312"/>
      <c r="BD219" s="313"/>
    </row>
    <row r="220" spans="1:56" ht="129" thickBot="1">
      <c r="A220" s="329"/>
      <c r="B220" s="331"/>
      <c r="C220" s="332"/>
      <c r="D220" s="333"/>
      <c r="E220" s="203"/>
      <c r="F220" s="203"/>
      <c r="G220" s="204"/>
      <c r="H220" s="204"/>
      <c r="I220" s="204" t="s">
        <v>471</v>
      </c>
      <c r="J220" s="331"/>
      <c r="K220" s="349"/>
      <c r="L220" s="352"/>
      <c r="M220" s="349"/>
      <c r="N220" s="359"/>
      <c r="O220" s="204" t="s">
        <v>484</v>
      </c>
      <c r="P220" s="204" t="s">
        <v>481</v>
      </c>
      <c r="Q220" s="204" t="s">
        <v>20</v>
      </c>
      <c r="R220" s="215"/>
      <c r="S220" s="27" t="str">
        <f t="shared" si="44"/>
        <v/>
      </c>
      <c r="T220" s="215"/>
      <c r="U220" s="27" t="str">
        <f t="shared" si="45"/>
        <v/>
      </c>
      <c r="V220" s="208"/>
      <c r="W220" s="27" t="str">
        <f t="shared" si="46"/>
        <v/>
      </c>
      <c r="X220" s="208"/>
      <c r="Y220" s="27" t="str">
        <f t="shared" si="47"/>
        <v/>
      </c>
      <c r="Z220" s="208"/>
      <c r="AA220" s="27" t="str">
        <f t="shared" si="48"/>
        <v/>
      </c>
      <c r="AB220" s="208"/>
      <c r="AC220" s="27" t="str">
        <f t="shared" si="49"/>
        <v/>
      </c>
      <c r="AD220" s="208"/>
      <c r="AE220" s="27" t="str">
        <f t="shared" si="50"/>
        <v/>
      </c>
      <c r="AF220" s="48" t="str">
        <f t="shared" si="51"/>
        <v/>
      </c>
      <c r="AG220" s="48" t="str">
        <f t="shared" si="52"/>
        <v/>
      </c>
      <c r="AH220" s="209"/>
      <c r="AI220" s="210" t="str">
        <f t="shared" si="53"/>
        <v>Débil</v>
      </c>
      <c r="AJ220" s="21" t="str">
        <f>IFERROR(VLOOKUP((CONCATENATE(AG220,AI220)),Listados!$U$3:$V$11,2,FALSE),"")</f>
        <v/>
      </c>
      <c r="AK220" s="48">
        <f t="shared" si="54"/>
        <v>100</v>
      </c>
      <c r="AL220" s="355"/>
      <c r="AM220" s="357"/>
      <c r="AN220" s="173">
        <f>+IF(AND(Q220="Preventivo",AM217="Fuerte"),2,IF(AND(Q220="Preventivo",AM217="Moderado"),1,0))</f>
        <v>2</v>
      </c>
      <c r="AO220" s="173">
        <f t="shared" si="55"/>
        <v>1</v>
      </c>
      <c r="AP220" s="173">
        <f>+K217-AN220</f>
        <v>2</v>
      </c>
      <c r="AQ220" s="173">
        <f>+M217-AO220</f>
        <v>3</v>
      </c>
      <c r="AR220" s="346"/>
      <c r="AS220" s="346"/>
      <c r="AT220" s="346"/>
      <c r="AU220" s="346"/>
      <c r="AV220" s="311"/>
      <c r="AW220" s="312"/>
      <c r="AX220" s="313"/>
      <c r="AY220" s="311"/>
      <c r="AZ220" s="312"/>
      <c r="BA220" s="313"/>
      <c r="BB220" s="311"/>
      <c r="BC220" s="312"/>
      <c r="BD220" s="313"/>
    </row>
    <row r="221" spans="1:56" ht="15.75" thickBot="1">
      <c r="A221" s="329"/>
      <c r="B221" s="331"/>
      <c r="C221" s="332"/>
      <c r="D221" s="333"/>
      <c r="E221" s="203"/>
      <c r="F221" s="203"/>
      <c r="G221" s="204"/>
      <c r="H221" s="204"/>
      <c r="I221" s="204"/>
      <c r="J221" s="331"/>
      <c r="K221" s="349"/>
      <c r="L221" s="352"/>
      <c r="M221" s="349"/>
      <c r="N221" s="359"/>
      <c r="O221" s="203"/>
      <c r="P221" s="205"/>
      <c r="Q221" s="205"/>
      <c r="R221" s="215"/>
      <c r="S221" s="27" t="str">
        <f t="shared" si="44"/>
        <v/>
      </c>
      <c r="T221" s="215"/>
      <c r="U221" s="27" t="str">
        <f t="shared" si="45"/>
        <v/>
      </c>
      <c r="V221" s="208"/>
      <c r="W221" s="27" t="str">
        <f t="shared" si="46"/>
        <v/>
      </c>
      <c r="X221" s="208"/>
      <c r="Y221" s="27" t="str">
        <f t="shared" si="47"/>
        <v/>
      </c>
      <c r="Z221" s="208"/>
      <c r="AA221" s="27" t="str">
        <f t="shared" si="48"/>
        <v/>
      </c>
      <c r="AB221" s="208"/>
      <c r="AC221" s="27" t="str">
        <f t="shared" si="49"/>
        <v/>
      </c>
      <c r="AD221" s="208"/>
      <c r="AE221" s="27" t="str">
        <f t="shared" si="50"/>
        <v/>
      </c>
      <c r="AF221" s="48" t="str">
        <f t="shared" si="51"/>
        <v/>
      </c>
      <c r="AG221" s="48" t="str">
        <f t="shared" si="52"/>
        <v/>
      </c>
      <c r="AH221" s="209"/>
      <c r="AI221" s="210" t="str">
        <f t="shared" si="53"/>
        <v>Débil</v>
      </c>
      <c r="AJ221" s="21" t="str">
        <f>IFERROR(VLOOKUP((CONCATENATE(AG221,AI221)),Listados!$U$3:$V$11,2,FALSE),"")</f>
        <v/>
      </c>
      <c r="AK221" s="48">
        <f t="shared" si="54"/>
        <v>100</v>
      </c>
      <c r="AL221" s="355"/>
      <c r="AM221" s="357"/>
      <c r="AN221" s="173">
        <f>+IF(AND(Q221="Preventivo",AM217="Fuerte"),2,IF(AND(Q221="Preventivo",AM217="Moderado"),1,0))</f>
        <v>0</v>
      </c>
      <c r="AO221" s="173">
        <f t="shared" si="55"/>
        <v>0</v>
      </c>
      <c r="AP221" s="173">
        <f>+K217-AN221</f>
        <v>4</v>
      </c>
      <c r="AQ221" s="173">
        <f>+M217-AO221</f>
        <v>4</v>
      </c>
      <c r="AR221" s="346"/>
      <c r="AS221" s="346"/>
      <c r="AT221" s="346"/>
      <c r="AU221" s="346"/>
      <c r="AV221" s="311"/>
      <c r="AW221" s="312"/>
      <c r="AX221" s="313"/>
      <c r="AY221" s="311"/>
      <c r="AZ221" s="312"/>
      <c r="BA221" s="313"/>
      <c r="BB221" s="311"/>
      <c r="BC221" s="312"/>
      <c r="BD221" s="313"/>
    </row>
    <row r="222" spans="1:56" ht="15.75" thickBot="1">
      <c r="A222" s="330"/>
      <c r="B222" s="331"/>
      <c r="C222" s="332"/>
      <c r="D222" s="333"/>
      <c r="E222" s="203"/>
      <c r="F222" s="203"/>
      <c r="G222" s="204"/>
      <c r="H222" s="204"/>
      <c r="I222" s="204"/>
      <c r="J222" s="331"/>
      <c r="K222" s="350"/>
      <c r="L222" s="352"/>
      <c r="M222" s="350"/>
      <c r="N222" s="359"/>
      <c r="O222" s="203"/>
      <c r="P222" s="205"/>
      <c r="Q222" s="205"/>
      <c r="R222" s="215"/>
      <c r="S222" s="27" t="str">
        <f t="shared" si="44"/>
        <v/>
      </c>
      <c r="T222" s="215"/>
      <c r="U222" s="27" t="str">
        <f t="shared" si="45"/>
        <v/>
      </c>
      <c r="V222" s="208"/>
      <c r="W222" s="27" t="str">
        <f t="shared" si="46"/>
        <v/>
      </c>
      <c r="X222" s="208"/>
      <c r="Y222" s="27" t="str">
        <f t="shared" si="47"/>
        <v/>
      </c>
      <c r="Z222" s="208"/>
      <c r="AA222" s="27" t="str">
        <f t="shared" si="48"/>
        <v/>
      </c>
      <c r="AB222" s="208"/>
      <c r="AC222" s="27" t="str">
        <f t="shared" si="49"/>
        <v/>
      </c>
      <c r="AD222" s="208"/>
      <c r="AE222" s="27" t="str">
        <f t="shared" si="50"/>
        <v/>
      </c>
      <c r="AF222" s="48" t="str">
        <f t="shared" si="51"/>
        <v/>
      </c>
      <c r="AG222" s="48" t="str">
        <f t="shared" si="52"/>
        <v/>
      </c>
      <c r="AH222" s="209"/>
      <c r="AI222" s="210" t="str">
        <f t="shared" si="53"/>
        <v>Débil</v>
      </c>
      <c r="AJ222" s="21" t="str">
        <f>IFERROR(VLOOKUP((CONCATENATE(AG222,AI222)),Listados!$U$3:$V$11,2,FALSE),"")</f>
        <v/>
      </c>
      <c r="AK222" s="48">
        <f t="shared" si="54"/>
        <v>100</v>
      </c>
      <c r="AL222" s="356"/>
      <c r="AM222" s="357"/>
      <c r="AN222" s="173">
        <f>+IF(AND(Q222="Preventivo",AM217="Fuerte"),2,IF(AND(Q222="Preventivo",AM217="Moderado"),1,0))</f>
        <v>0</v>
      </c>
      <c r="AO222" s="173">
        <f t="shared" si="55"/>
        <v>0</v>
      </c>
      <c r="AP222" s="173">
        <f>+K217-AN222</f>
        <v>4</v>
      </c>
      <c r="AQ222" s="173">
        <f>+M217-AO222</f>
        <v>4</v>
      </c>
      <c r="AR222" s="347"/>
      <c r="AS222" s="347"/>
      <c r="AT222" s="347"/>
      <c r="AU222" s="347"/>
      <c r="AV222" s="311"/>
      <c r="AW222" s="312"/>
      <c r="AX222" s="313"/>
      <c r="AY222" s="311"/>
      <c r="AZ222" s="312"/>
      <c r="BA222" s="313"/>
      <c r="BB222" s="311"/>
      <c r="BC222" s="312"/>
      <c r="BD222" s="313"/>
    </row>
    <row r="223" spans="1:56" ht="285.75" thickBot="1">
      <c r="A223" s="328">
        <v>37</v>
      </c>
      <c r="B223" s="331" t="s">
        <v>101</v>
      </c>
      <c r="C223" s="332"/>
      <c r="D223" s="333" t="s">
        <v>485</v>
      </c>
      <c r="E223" s="203" t="s">
        <v>29</v>
      </c>
      <c r="F223" s="203"/>
      <c r="G223" s="204" t="s">
        <v>486</v>
      </c>
      <c r="H223" s="204" t="s">
        <v>16</v>
      </c>
      <c r="I223" s="204" t="s">
        <v>487</v>
      </c>
      <c r="J223" s="331" t="s">
        <v>31</v>
      </c>
      <c r="K223" s="348">
        <f>+VLOOKUP(J223,Listados!$K$8:$L$12,2,0)</f>
        <v>2</v>
      </c>
      <c r="L223" s="351" t="s">
        <v>32</v>
      </c>
      <c r="M223" s="348">
        <f>+VLOOKUP(L223,Listados!$K$13:$L$17,2,0)</f>
        <v>2</v>
      </c>
      <c r="N223" s="358" t="str">
        <f>IF(AND(J223&lt;&gt;"",L223&lt;&gt;""),VLOOKUP(J223&amp;L223,Listados!$M$3:$N$27,2,FALSE),"")</f>
        <v>Bajo</v>
      </c>
      <c r="O223" s="204" t="s">
        <v>488</v>
      </c>
      <c r="P223" s="204" t="s">
        <v>486</v>
      </c>
      <c r="Q223" s="204" t="s">
        <v>20</v>
      </c>
      <c r="R223" s="215"/>
      <c r="S223" s="27" t="str">
        <f t="shared" si="44"/>
        <v/>
      </c>
      <c r="T223" s="215"/>
      <c r="U223" s="27" t="str">
        <f t="shared" si="45"/>
        <v/>
      </c>
      <c r="V223" s="208"/>
      <c r="W223" s="27" t="str">
        <f t="shared" si="46"/>
        <v/>
      </c>
      <c r="X223" s="208"/>
      <c r="Y223" s="27" t="str">
        <f t="shared" si="47"/>
        <v/>
      </c>
      <c r="Z223" s="208"/>
      <c r="AA223" s="27" t="str">
        <f t="shared" si="48"/>
        <v/>
      </c>
      <c r="AB223" s="208"/>
      <c r="AC223" s="27" t="str">
        <f t="shared" si="49"/>
        <v/>
      </c>
      <c r="AD223" s="208"/>
      <c r="AE223" s="27" t="str">
        <f t="shared" si="50"/>
        <v/>
      </c>
      <c r="AF223" s="48" t="str">
        <f t="shared" si="51"/>
        <v/>
      </c>
      <c r="AG223" s="48" t="str">
        <f t="shared" si="52"/>
        <v/>
      </c>
      <c r="AH223" s="209"/>
      <c r="AI223" s="210" t="str">
        <f t="shared" si="53"/>
        <v>Débil</v>
      </c>
      <c r="AJ223" s="21" t="str">
        <f>IFERROR(VLOOKUP((CONCATENATE(AG223,AI223)),Listados!$U$3:$V$11,2,FALSE),"")</f>
        <v/>
      </c>
      <c r="AK223" s="48">
        <f t="shared" si="54"/>
        <v>100</v>
      </c>
      <c r="AL223" s="354">
        <f>AVERAGE(AK223:AK228)</f>
        <v>100</v>
      </c>
      <c r="AM223" s="356" t="str">
        <f>IF(AL223&lt;=50, "Débil", IF(AL223&lt;=99,"Moderado","Fuerte"))</f>
        <v>Fuerte</v>
      </c>
      <c r="AN223" s="173">
        <f>+IF(AND(Q223="Preventivo",AM223="Fuerte"),2,IF(AND(Q223="Preventivo",AM223="Moderado"),1,0))</f>
        <v>2</v>
      </c>
      <c r="AO223" s="173">
        <f t="shared" si="55"/>
        <v>1</v>
      </c>
      <c r="AP223" s="173">
        <f>+K223-AN223</f>
        <v>0</v>
      </c>
      <c r="AQ223" s="173">
        <f>+M223-AO223</f>
        <v>1</v>
      </c>
      <c r="AR223" s="345" t="str">
        <f>+VLOOKUP(MIN(AP223,AP224,AP225,AP226,AP227,AP228),Listados!$J$18:$K$24,2,TRUE)</f>
        <v>Rara Vez</v>
      </c>
      <c r="AS223" s="345" t="str">
        <f>+VLOOKUP(MIN(AQ223,AQ224,AQ225,AQ226,AQ227,AQ228),Listados!$J$27:$K$32,2,TRUE)</f>
        <v>Insignificante</v>
      </c>
      <c r="AT223" s="345" t="str">
        <f>IF(AND(AR223&lt;&gt;"",AS223&lt;&gt;""),VLOOKUP(AR223&amp;AS223,Listados!$M$3:$N$27,2,FALSE),"")</f>
        <v>Bajo</v>
      </c>
      <c r="AU223" s="345" t="str">
        <f>+VLOOKUP(AT223,Listados!$P$3:$Q$6,2,FALSE)</f>
        <v>Asumir el riesgo</v>
      </c>
      <c r="AV223" s="311"/>
      <c r="AW223" s="312"/>
      <c r="AX223" s="313"/>
      <c r="AY223" s="311"/>
      <c r="AZ223" s="312"/>
      <c r="BA223" s="313"/>
      <c r="BB223" s="311"/>
      <c r="BC223" s="312"/>
      <c r="BD223" s="313"/>
    </row>
    <row r="224" spans="1:56" ht="15.75" thickBot="1">
      <c r="A224" s="329"/>
      <c r="B224" s="331"/>
      <c r="C224" s="332"/>
      <c r="D224" s="333"/>
      <c r="E224" s="203"/>
      <c r="F224" s="203"/>
      <c r="G224" s="204"/>
      <c r="H224" s="204"/>
      <c r="I224" s="204"/>
      <c r="J224" s="331"/>
      <c r="K224" s="349"/>
      <c r="L224" s="352"/>
      <c r="M224" s="349"/>
      <c r="N224" s="359"/>
      <c r="O224" s="203"/>
      <c r="P224" s="203"/>
      <c r="Q224" s="204"/>
      <c r="R224" s="215"/>
      <c r="S224" s="27" t="str">
        <f t="shared" si="44"/>
        <v/>
      </c>
      <c r="T224" s="215"/>
      <c r="U224" s="27" t="str">
        <f t="shared" si="45"/>
        <v/>
      </c>
      <c r="V224" s="208"/>
      <c r="W224" s="27" t="str">
        <f t="shared" si="46"/>
        <v/>
      </c>
      <c r="X224" s="208"/>
      <c r="Y224" s="27" t="str">
        <f t="shared" si="47"/>
        <v/>
      </c>
      <c r="Z224" s="208"/>
      <c r="AA224" s="27" t="str">
        <f t="shared" si="48"/>
        <v/>
      </c>
      <c r="AB224" s="208"/>
      <c r="AC224" s="27" t="str">
        <f t="shared" si="49"/>
        <v/>
      </c>
      <c r="AD224" s="208"/>
      <c r="AE224" s="27" t="str">
        <f t="shared" si="50"/>
        <v/>
      </c>
      <c r="AF224" s="48" t="str">
        <f t="shared" si="51"/>
        <v/>
      </c>
      <c r="AG224" s="48" t="str">
        <f t="shared" si="52"/>
        <v/>
      </c>
      <c r="AH224" s="209"/>
      <c r="AI224" s="210" t="str">
        <f t="shared" si="53"/>
        <v>Débil</v>
      </c>
      <c r="AJ224" s="21" t="str">
        <f>IFERROR(VLOOKUP((CONCATENATE(AG224,AI224)),Listados!$U$3:$V$11,2,FALSE),"")</f>
        <v/>
      </c>
      <c r="AK224" s="48">
        <f t="shared" si="54"/>
        <v>100</v>
      </c>
      <c r="AL224" s="355"/>
      <c r="AM224" s="357"/>
      <c r="AN224" s="173">
        <f>+IF(AND(Q224="Preventivo",AM223="Fuerte"),2,IF(AND(Q224="Preventivo",AM223="Moderado"),1,0))</f>
        <v>0</v>
      </c>
      <c r="AO224" s="173">
        <f t="shared" si="55"/>
        <v>0</v>
      </c>
      <c r="AP224" s="173">
        <f>+K223-AN224</f>
        <v>2</v>
      </c>
      <c r="AQ224" s="173">
        <f>+M223-AO224</f>
        <v>2</v>
      </c>
      <c r="AR224" s="346"/>
      <c r="AS224" s="346"/>
      <c r="AT224" s="346"/>
      <c r="AU224" s="346"/>
      <c r="AV224" s="311"/>
      <c r="AW224" s="312"/>
      <c r="AX224" s="313"/>
      <c r="AY224" s="311"/>
      <c r="AZ224" s="312"/>
      <c r="BA224" s="313"/>
      <c r="BB224" s="311"/>
      <c r="BC224" s="312"/>
      <c r="BD224" s="313"/>
    </row>
    <row r="225" spans="1:56" ht="15.75" thickBot="1">
      <c r="A225" s="329"/>
      <c r="B225" s="331"/>
      <c r="C225" s="332"/>
      <c r="D225" s="333"/>
      <c r="E225" s="203"/>
      <c r="F225" s="203"/>
      <c r="G225" s="204"/>
      <c r="H225" s="204"/>
      <c r="I225" s="204"/>
      <c r="J225" s="331"/>
      <c r="K225" s="349"/>
      <c r="L225" s="352"/>
      <c r="M225" s="349"/>
      <c r="N225" s="359"/>
      <c r="O225" s="203"/>
      <c r="P225" s="203"/>
      <c r="Q225" s="204"/>
      <c r="R225" s="215"/>
      <c r="S225" s="27" t="str">
        <f t="shared" si="44"/>
        <v/>
      </c>
      <c r="T225" s="215"/>
      <c r="U225" s="27" t="str">
        <f t="shared" si="45"/>
        <v/>
      </c>
      <c r="V225" s="208"/>
      <c r="W225" s="27" t="str">
        <f t="shared" si="46"/>
        <v/>
      </c>
      <c r="X225" s="208"/>
      <c r="Y225" s="27" t="str">
        <f t="shared" si="47"/>
        <v/>
      </c>
      <c r="Z225" s="208"/>
      <c r="AA225" s="27" t="str">
        <f t="shared" si="48"/>
        <v/>
      </c>
      <c r="AB225" s="208"/>
      <c r="AC225" s="27" t="str">
        <f t="shared" si="49"/>
        <v/>
      </c>
      <c r="AD225" s="208"/>
      <c r="AE225" s="27" t="str">
        <f t="shared" si="50"/>
        <v/>
      </c>
      <c r="AF225" s="48" t="str">
        <f t="shared" si="51"/>
        <v/>
      </c>
      <c r="AG225" s="48" t="str">
        <f t="shared" si="52"/>
        <v/>
      </c>
      <c r="AH225" s="209"/>
      <c r="AI225" s="210" t="str">
        <f t="shared" si="53"/>
        <v>Débil</v>
      </c>
      <c r="AJ225" s="21" t="str">
        <f>IFERROR(VLOOKUP((CONCATENATE(AG225,AI225)),Listados!$U$3:$V$11,2,FALSE),"")</f>
        <v/>
      </c>
      <c r="AK225" s="48">
        <f t="shared" si="54"/>
        <v>100</v>
      </c>
      <c r="AL225" s="355"/>
      <c r="AM225" s="357"/>
      <c r="AN225" s="173">
        <f>+IF(AND(Q225="Preventivo",AM223="Fuerte"),2,IF(AND(Q225="Preventivo",AM223="Moderado"),1,0))</f>
        <v>0</v>
      </c>
      <c r="AO225" s="173">
        <f t="shared" si="55"/>
        <v>0</v>
      </c>
      <c r="AP225" s="173">
        <f>+K223-AN225</f>
        <v>2</v>
      </c>
      <c r="AQ225" s="173">
        <f>+M223-AO225</f>
        <v>2</v>
      </c>
      <c r="AR225" s="346"/>
      <c r="AS225" s="346"/>
      <c r="AT225" s="346"/>
      <c r="AU225" s="346"/>
      <c r="AV225" s="311"/>
      <c r="AW225" s="312"/>
      <c r="AX225" s="313"/>
      <c r="AY225" s="311"/>
      <c r="AZ225" s="312"/>
      <c r="BA225" s="313"/>
      <c r="BB225" s="311"/>
      <c r="BC225" s="312"/>
      <c r="BD225" s="313"/>
    </row>
    <row r="226" spans="1:56" ht="15.75" thickBot="1">
      <c r="A226" s="329"/>
      <c r="B226" s="331"/>
      <c r="C226" s="332"/>
      <c r="D226" s="333"/>
      <c r="E226" s="203"/>
      <c r="F226" s="203"/>
      <c r="G226" s="204"/>
      <c r="H226" s="204"/>
      <c r="I226" s="204"/>
      <c r="J226" s="331"/>
      <c r="K226" s="349"/>
      <c r="L226" s="352"/>
      <c r="M226" s="349"/>
      <c r="N226" s="359"/>
      <c r="O226" s="203"/>
      <c r="P226" s="205"/>
      <c r="Q226" s="205"/>
      <c r="R226" s="215"/>
      <c r="S226" s="27" t="str">
        <f t="shared" si="44"/>
        <v/>
      </c>
      <c r="T226" s="215"/>
      <c r="U226" s="27" t="str">
        <f t="shared" si="45"/>
        <v/>
      </c>
      <c r="V226" s="208"/>
      <c r="W226" s="27" t="str">
        <f t="shared" si="46"/>
        <v/>
      </c>
      <c r="X226" s="208"/>
      <c r="Y226" s="27" t="str">
        <f t="shared" si="47"/>
        <v/>
      </c>
      <c r="Z226" s="208"/>
      <c r="AA226" s="27" t="str">
        <f t="shared" si="48"/>
        <v/>
      </c>
      <c r="AB226" s="208"/>
      <c r="AC226" s="27" t="str">
        <f t="shared" si="49"/>
        <v/>
      </c>
      <c r="AD226" s="208"/>
      <c r="AE226" s="27" t="str">
        <f t="shared" si="50"/>
        <v/>
      </c>
      <c r="AF226" s="48" t="str">
        <f t="shared" si="51"/>
        <v/>
      </c>
      <c r="AG226" s="48" t="str">
        <f t="shared" si="52"/>
        <v/>
      </c>
      <c r="AH226" s="209"/>
      <c r="AI226" s="210" t="str">
        <f t="shared" si="53"/>
        <v>Débil</v>
      </c>
      <c r="AJ226" s="21" t="str">
        <f>IFERROR(VLOOKUP((CONCATENATE(AG226,AI226)),Listados!$U$3:$V$11,2,FALSE),"")</f>
        <v/>
      </c>
      <c r="AK226" s="48">
        <f t="shared" si="54"/>
        <v>100</v>
      </c>
      <c r="AL226" s="355"/>
      <c r="AM226" s="357"/>
      <c r="AN226" s="173">
        <f>+IF(AND(Q226="Preventivo",AM223="Fuerte"),2,IF(AND(Q226="Preventivo",AM223="Moderado"),1,0))</f>
        <v>0</v>
      </c>
      <c r="AO226" s="173">
        <f t="shared" si="55"/>
        <v>0</v>
      </c>
      <c r="AP226" s="173">
        <f>+K223-AN226</f>
        <v>2</v>
      </c>
      <c r="AQ226" s="173">
        <f>+M223-AO226</f>
        <v>2</v>
      </c>
      <c r="AR226" s="346"/>
      <c r="AS226" s="346"/>
      <c r="AT226" s="346"/>
      <c r="AU226" s="346"/>
      <c r="AV226" s="311"/>
      <c r="AW226" s="312"/>
      <c r="AX226" s="313"/>
      <c r="AY226" s="311"/>
      <c r="AZ226" s="312"/>
      <c r="BA226" s="313"/>
      <c r="BB226" s="311"/>
      <c r="BC226" s="312"/>
      <c r="BD226" s="313"/>
    </row>
    <row r="227" spans="1:56" ht="15.75" thickBot="1">
      <c r="A227" s="329"/>
      <c r="B227" s="331"/>
      <c r="C227" s="332"/>
      <c r="D227" s="333"/>
      <c r="E227" s="203"/>
      <c r="F227" s="203"/>
      <c r="G227" s="204"/>
      <c r="H227" s="204"/>
      <c r="I227" s="204"/>
      <c r="J227" s="331"/>
      <c r="K227" s="349"/>
      <c r="L227" s="352"/>
      <c r="M227" s="349"/>
      <c r="N227" s="359"/>
      <c r="O227" s="203"/>
      <c r="P227" s="205"/>
      <c r="Q227" s="205"/>
      <c r="R227" s="215"/>
      <c r="S227" s="27" t="str">
        <f t="shared" si="44"/>
        <v/>
      </c>
      <c r="T227" s="215"/>
      <c r="U227" s="27" t="str">
        <f t="shared" si="45"/>
        <v/>
      </c>
      <c r="V227" s="208"/>
      <c r="W227" s="27" t="str">
        <f t="shared" si="46"/>
        <v/>
      </c>
      <c r="X227" s="208"/>
      <c r="Y227" s="27" t="str">
        <f t="shared" si="47"/>
        <v/>
      </c>
      <c r="Z227" s="208"/>
      <c r="AA227" s="27" t="str">
        <f t="shared" si="48"/>
        <v/>
      </c>
      <c r="AB227" s="208"/>
      <c r="AC227" s="27" t="str">
        <f t="shared" si="49"/>
        <v/>
      </c>
      <c r="AD227" s="208"/>
      <c r="AE227" s="27" t="str">
        <f t="shared" si="50"/>
        <v/>
      </c>
      <c r="AF227" s="48" t="str">
        <f t="shared" si="51"/>
        <v/>
      </c>
      <c r="AG227" s="48" t="str">
        <f t="shared" si="52"/>
        <v/>
      </c>
      <c r="AH227" s="209"/>
      <c r="AI227" s="210" t="str">
        <f t="shared" si="53"/>
        <v>Débil</v>
      </c>
      <c r="AJ227" s="21" t="str">
        <f>IFERROR(VLOOKUP((CONCATENATE(AG227,AI227)),Listados!$U$3:$V$11,2,FALSE),"")</f>
        <v/>
      </c>
      <c r="AK227" s="48">
        <f t="shared" si="54"/>
        <v>100</v>
      </c>
      <c r="AL227" s="355"/>
      <c r="AM227" s="357"/>
      <c r="AN227" s="173">
        <f>+IF(AND(Q227="Preventivo",AM223="Fuerte"),2,IF(AND(Q227="Preventivo",AM223="Moderado"),1,0))</f>
        <v>0</v>
      </c>
      <c r="AO227" s="173">
        <f t="shared" si="55"/>
        <v>0</v>
      </c>
      <c r="AP227" s="173">
        <f>+K223-AN227</f>
        <v>2</v>
      </c>
      <c r="AQ227" s="173">
        <f>+M223-AO227</f>
        <v>2</v>
      </c>
      <c r="AR227" s="346"/>
      <c r="AS227" s="346"/>
      <c r="AT227" s="346"/>
      <c r="AU227" s="346"/>
      <c r="AV227" s="311"/>
      <c r="AW227" s="312"/>
      <c r="AX227" s="313"/>
      <c r="AY227" s="311"/>
      <c r="AZ227" s="312"/>
      <c r="BA227" s="313"/>
      <c r="BB227" s="311"/>
      <c r="BC227" s="312"/>
      <c r="BD227" s="313"/>
    </row>
    <row r="228" spans="1:56" ht="15.75" thickBot="1">
      <c r="A228" s="330"/>
      <c r="B228" s="331"/>
      <c r="C228" s="332"/>
      <c r="D228" s="333"/>
      <c r="E228" s="203"/>
      <c r="F228" s="203"/>
      <c r="G228" s="204"/>
      <c r="H228" s="204"/>
      <c r="I228" s="204"/>
      <c r="J228" s="331"/>
      <c r="K228" s="350"/>
      <c r="L228" s="352"/>
      <c r="M228" s="350"/>
      <c r="N228" s="359"/>
      <c r="O228" s="203"/>
      <c r="P228" s="205"/>
      <c r="Q228" s="205"/>
      <c r="R228" s="215"/>
      <c r="S228" s="27" t="str">
        <f t="shared" si="44"/>
        <v/>
      </c>
      <c r="T228" s="215"/>
      <c r="U228" s="27" t="str">
        <f t="shared" si="45"/>
        <v/>
      </c>
      <c r="V228" s="208"/>
      <c r="W228" s="27" t="str">
        <f t="shared" si="46"/>
        <v/>
      </c>
      <c r="X228" s="208"/>
      <c r="Y228" s="27" t="str">
        <f t="shared" si="47"/>
        <v/>
      </c>
      <c r="Z228" s="208"/>
      <c r="AA228" s="27" t="str">
        <f t="shared" si="48"/>
        <v/>
      </c>
      <c r="AB228" s="208"/>
      <c r="AC228" s="27" t="str">
        <f t="shared" si="49"/>
        <v/>
      </c>
      <c r="AD228" s="208"/>
      <c r="AE228" s="27" t="str">
        <f t="shared" si="50"/>
        <v/>
      </c>
      <c r="AF228" s="48" t="str">
        <f t="shared" si="51"/>
        <v/>
      </c>
      <c r="AG228" s="48" t="str">
        <f t="shared" si="52"/>
        <v/>
      </c>
      <c r="AH228" s="209"/>
      <c r="AI228" s="210" t="str">
        <f t="shared" si="53"/>
        <v>Débil</v>
      </c>
      <c r="AJ228" s="21" t="str">
        <f>IFERROR(VLOOKUP((CONCATENATE(AG228,AI228)),Listados!$U$3:$V$11,2,FALSE),"")</f>
        <v/>
      </c>
      <c r="AK228" s="48">
        <f t="shared" si="54"/>
        <v>100</v>
      </c>
      <c r="AL228" s="356"/>
      <c r="AM228" s="357"/>
      <c r="AN228" s="173">
        <f>+IF(AND(Q228="Preventivo",AM223="Fuerte"),2,IF(AND(Q228="Preventivo",AM223="Moderado"),1,0))</f>
        <v>0</v>
      </c>
      <c r="AO228" s="173">
        <f t="shared" si="55"/>
        <v>0</v>
      </c>
      <c r="AP228" s="173">
        <f>+K223-AN228</f>
        <v>2</v>
      </c>
      <c r="AQ228" s="173">
        <f>+M223-AO228</f>
        <v>2</v>
      </c>
      <c r="AR228" s="347"/>
      <c r="AS228" s="347"/>
      <c r="AT228" s="347"/>
      <c r="AU228" s="347"/>
      <c r="AV228" s="311"/>
      <c r="AW228" s="312"/>
      <c r="AX228" s="313"/>
      <c r="AY228" s="311"/>
      <c r="AZ228" s="312"/>
      <c r="BA228" s="313"/>
      <c r="BB228" s="311"/>
      <c r="BC228" s="312"/>
      <c r="BD228" s="313"/>
    </row>
    <row r="229" spans="1:56" ht="110.25" customHeight="1" thickBot="1">
      <c r="A229" s="328">
        <v>38</v>
      </c>
      <c r="B229" s="331" t="s">
        <v>101</v>
      </c>
      <c r="C229" s="332"/>
      <c r="D229" s="333" t="s">
        <v>489</v>
      </c>
      <c r="E229" s="203" t="s">
        <v>15</v>
      </c>
      <c r="F229" s="203" t="s">
        <v>209</v>
      </c>
      <c r="G229" s="204" t="s">
        <v>475</v>
      </c>
      <c r="H229" s="204" t="s">
        <v>30</v>
      </c>
      <c r="I229" s="204" t="s">
        <v>476</v>
      </c>
      <c r="J229" s="331" t="s">
        <v>44</v>
      </c>
      <c r="K229" s="348">
        <f>+VLOOKUP(J229,Listados!$K$8:$L$12,2,0)</f>
        <v>3</v>
      </c>
      <c r="L229" s="351" t="s">
        <v>54</v>
      </c>
      <c r="M229" s="348">
        <f>+VLOOKUP(L229,Listados!$K$13:$L$17,2,0)</f>
        <v>4</v>
      </c>
      <c r="N229" s="358" t="str">
        <f>IF(AND(J229&lt;&gt;"",L229&lt;&gt;""),VLOOKUP(J229&amp;L229,Listados!$M$3:$N$27,2,FALSE),"")</f>
        <v>Extremo</v>
      </c>
      <c r="O229" s="203" t="s">
        <v>490</v>
      </c>
      <c r="P229" s="204" t="s">
        <v>475</v>
      </c>
      <c r="Q229" s="204" t="s">
        <v>20</v>
      </c>
      <c r="R229" s="215"/>
      <c r="S229" s="27" t="str">
        <f t="shared" si="44"/>
        <v/>
      </c>
      <c r="T229" s="215"/>
      <c r="U229" s="27" t="str">
        <f t="shared" si="45"/>
        <v/>
      </c>
      <c r="V229" s="208"/>
      <c r="W229" s="27" t="str">
        <f t="shared" si="46"/>
        <v/>
      </c>
      <c r="X229" s="208"/>
      <c r="Y229" s="27" t="str">
        <f t="shared" si="47"/>
        <v/>
      </c>
      <c r="Z229" s="208"/>
      <c r="AA229" s="27" t="str">
        <f t="shared" si="48"/>
        <v/>
      </c>
      <c r="AB229" s="208"/>
      <c r="AC229" s="27" t="str">
        <f t="shared" si="49"/>
        <v/>
      </c>
      <c r="AD229" s="208"/>
      <c r="AE229" s="27" t="str">
        <f t="shared" si="50"/>
        <v/>
      </c>
      <c r="AF229" s="48" t="str">
        <f t="shared" si="51"/>
        <v/>
      </c>
      <c r="AG229" s="48" t="str">
        <f t="shared" si="52"/>
        <v/>
      </c>
      <c r="AH229" s="209"/>
      <c r="AI229" s="210" t="str">
        <f t="shared" si="53"/>
        <v>Débil</v>
      </c>
      <c r="AJ229" s="21" t="str">
        <f>IFERROR(VLOOKUP((CONCATENATE(AG229,AI229)),Listados!$U$3:$V$11,2,FALSE),"")</f>
        <v/>
      </c>
      <c r="AK229" s="48">
        <f t="shared" si="54"/>
        <v>100</v>
      </c>
      <c r="AL229" s="354">
        <f>AVERAGE(AK229:AK234)</f>
        <v>100</v>
      </c>
      <c r="AM229" s="356" t="str">
        <f>IF(AL229&lt;=50, "Débil", IF(AL229&lt;=99,"Moderado","Fuerte"))</f>
        <v>Fuerte</v>
      </c>
      <c r="AN229" s="173">
        <f>+IF(AND(Q229="Preventivo",AM229="Fuerte"),2,IF(AND(Q229="Preventivo",AM229="Moderado"),1,0))</f>
        <v>2</v>
      </c>
      <c r="AO229" s="173">
        <f t="shared" si="55"/>
        <v>1</v>
      </c>
      <c r="AP229" s="173">
        <f>+K229-AN229</f>
        <v>1</v>
      </c>
      <c r="AQ229" s="173">
        <f>+M229-AO229</f>
        <v>3</v>
      </c>
      <c r="AR229" s="345" t="str">
        <f>+VLOOKUP(MIN(AP229,AP230,AP231,AP232,AP233,AP234),Listados!$J$18:$K$24,2,TRUE)</f>
        <v>Rara Vez</v>
      </c>
      <c r="AS229" s="345" t="str">
        <f>+VLOOKUP(MIN(AQ229,AQ230,AQ231,AQ232,AQ233,AQ234),Listados!$J$27:$K$32,2,TRUE)</f>
        <v>Menor</v>
      </c>
      <c r="AT229" s="345" t="str">
        <f>IF(AND(AR229&lt;&gt;"",AS229&lt;&gt;""),VLOOKUP(AR229&amp;AS229,Listados!$M$3:$N$27,2,FALSE),"")</f>
        <v>Bajo</v>
      </c>
      <c r="AU229" s="345" t="str">
        <f>+VLOOKUP(AT229,Listados!$P$3:$Q$6,2,FALSE)</f>
        <v>Asumir el riesgo</v>
      </c>
      <c r="AV229" s="311"/>
      <c r="AW229" s="312"/>
      <c r="AX229" s="313"/>
      <c r="AY229" s="311"/>
      <c r="AZ229" s="312"/>
      <c r="BA229" s="313"/>
      <c r="BB229" s="311"/>
      <c r="BC229" s="312"/>
      <c r="BD229" s="313"/>
    </row>
    <row r="230" spans="1:56" ht="86.25" thickBot="1">
      <c r="A230" s="329"/>
      <c r="B230" s="331"/>
      <c r="C230" s="332"/>
      <c r="D230" s="333"/>
      <c r="E230" s="203"/>
      <c r="F230" s="203"/>
      <c r="G230" s="204" t="s">
        <v>491</v>
      </c>
      <c r="H230" s="204" t="s">
        <v>16</v>
      </c>
      <c r="I230" s="204" t="s">
        <v>479</v>
      </c>
      <c r="J230" s="331"/>
      <c r="K230" s="349"/>
      <c r="L230" s="352"/>
      <c r="M230" s="349"/>
      <c r="N230" s="359"/>
      <c r="O230" s="203" t="s">
        <v>492</v>
      </c>
      <c r="P230" s="204" t="s">
        <v>478</v>
      </c>
      <c r="Q230" s="204" t="s">
        <v>20</v>
      </c>
      <c r="R230" s="215"/>
      <c r="S230" s="27" t="str">
        <f t="shared" si="44"/>
        <v/>
      </c>
      <c r="T230" s="215"/>
      <c r="U230" s="27" t="str">
        <f t="shared" si="45"/>
        <v/>
      </c>
      <c r="V230" s="208"/>
      <c r="W230" s="27" t="str">
        <f t="shared" si="46"/>
        <v/>
      </c>
      <c r="X230" s="208"/>
      <c r="Y230" s="27" t="str">
        <f t="shared" si="47"/>
        <v/>
      </c>
      <c r="Z230" s="208"/>
      <c r="AA230" s="27" t="str">
        <f t="shared" si="48"/>
        <v/>
      </c>
      <c r="AB230" s="208"/>
      <c r="AC230" s="27" t="str">
        <f t="shared" si="49"/>
        <v/>
      </c>
      <c r="AD230" s="208"/>
      <c r="AE230" s="27" t="str">
        <f t="shared" si="50"/>
        <v/>
      </c>
      <c r="AF230" s="48" t="str">
        <f t="shared" si="51"/>
        <v/>
      </c>
      <c r="AG230" s="48" t="str">
        <f t="shared" si="52"/>
        <v/>
      </c>
      <c r="AH230" s="209"/>
      <c r="AI230" s="210" t="str">
        <f t="shared" si="53"/>
        <v>Débil</v>
      </c>
      <c r="AJ230" s="21" t="str">
        <f>IFERROR(VLOOKUP((CONCATENATE(AG230,AI230)),Listados!$U$3:$V$11,2,FALSE),"")</f>
        <v/>
      </c>
      <c r="AK230" s="48">
        <f t="shared" si="54"/>
        <v>100</v>
      </c>
      <c r="AL230" s="355"/>
      <c r="AM230" s="357"/>
      <c r="AN230" s="173">
        <f>+IF(AND(Q230="Preventivo",AM229="Fuerte"),2,IF(AND(Q230="Preventivo",AM229="Moderado"),1,0))</f>
        <v>2</v>
      </c>
      <c r="AO230" s="173">
        <f t="shared" si="55"/>
        <v>1</v>
      </c>
      <c r="AP230" s="173">
        <f>+K229-AN230</f>
        <v>1</v>
      </c>
      <c r="AQ230" s="173">
        <f>+M229-AO230</f>
        <v>3</v>
      </c>
      <c r="AR230" s="346"/>
      <c r="AS230" s="346"/>
      <c r="AT230" s="346"/>
      <c r="AU230" s="346"/>
      <c r="AV230" s="311"/>
      <c r="AW230" s="312"/>
      <c r="AX230" s="313"/>
      <c r="AY230" s="311"/>
      <c r="AZ230" s="312"/>
      <c r="BA230" s="313"/>
      <c r="BB230" s="311"/>
      <c r="BC230" s="312"/>
      <c r="BD230" s="313"/>
    </row>
    <row r="231" spans="1:56" ht="100.5" thickBot="1">
      <c r="A231" s="329"/>
      <c r="B231" s="331"/>
      <c r="C231" s="332"/>
      <c r="D231" s="333"/>
      <c r="E231" s="203"/>
      <c r="F231" s="203"/>
      <c r="G231" s="204" t="s">
        <v>493</v>
      </c>
      <c r="H231" s="204" t="s">
        <v>16</v>
      </c>
      <c r="I231" s="204" t="s">
        <v>482</v>
      </c>
      <c r="J231" s="331"/>
      <c r="K231" s="349"/>
      <c r="L231" s="352"/>
      <c r="M231" s="349"/>
      <c r="N231" s="359"/>
      <c r="O231" s="203" t="s">
        <v>494</v>
      </c>
      <c r="P231" s="204" t="s">
        <v>481</v>
      </c>
      <c r="Q231" s="204" t="s">
        <v>123</v>
      </c>
      <c r="R231" s="215"/>
      <c r="S231" s="27" t="str">
        <f t="shared" si="44"/>
        <v/>
      </c>
      <c r="T231" s="215"/>
      <c r="U231" s="27" t="str">
        <f t="shared" si="45"/>
        <v/>
      </c>
      <c r="V231" s="208"/>
      <c r="W231" s="27" t="str">
        <f t="shared" si="46"/>
        <v/>
      </c>
      <c r="X231" s="208"/>
      <c r="Y231" s="27" t="str">
        <f t="shared" si="47"/>
        <v/>
      </c>
      <c r="Z231" s="208"/>
      <c r="AA231" s="27" t="str">
        <f t="shared" si="48"/>
        <v/>
      </c>
      <c r="AB231" s="208"/>
      <c r="AC231" s="27" t="str">
        <f t="shared" si="49"/>
        <v/>
      </c>
      <c r="AD231" s="208"/>
      <c r="AE231" s="27" t="str">
        <f t="shared" si="50"/>
        <v/>
      </c>
      <c r="AF231" s="48" t="str">
        <f t="shared" si="51"/>
        <v/>
      </c>
      <c r="AG231" s="48" t="str">
        <f t="shared" si="52"/>
        <v/>
      </c>
      <c r="AH231" s="209"/>
      <c r="AI231" s="210" t="str">
        <f t="shared" si="53"/>
        <v>Débil</v>
      </c>
      <c r="AJ231" s="21" t="str">
        <f>IFERROR(VLOOKUP((CONCATENATE(AG231,AI231)),Listados!$U$3:$V$11,2,FALSE),"")</f>
        <v/>
      </c>
      <c r="AK231" s="48">
        <f t="shared" si="54"/>
        <v>100</v>
      </c>
      <c r="AL231" s="355"/>
      <c r="AM231" s="357"/>
      <c r="AN231" s="173">
        <f>+IF(AND(Q231="Preventivo",AM229="Fuerte"),2,IF(AND(Q231="Preventivo",AM229="Moderado"),1,0))</f>
        <v>0</v>
      </c>
      <c r="AO231" s="173">
        <f t="shared" si="55"/>
        <v>2</v>
      </c>
      <c r="AP231" s="173">
        <f>+K229-AN231</f>
        <v>3</v>
      </c>
      <c r="AQ231" s="173">
        <f>+M229-AO231</f>
        <v>2</v>
      </c>
      <c r="AR231" s="346"/>
      <c r="AS231" s="346"/>
      <c r="AT231" s="346"/>
      <c r="AU231" s="346"/>
      <c r="AV231" s="311"/>
      <c r="AW231" s="312"/>
      <c r="AX231" s="313"/>
      <c r="AY231" s="311"/>
      <c r="AZ231" s="312"/>
      <c r="BA231" s="313"/>
      <c r="BB231" s="311"/>
      <c r="BC231" s="312"/>
      <c r="BD231" s="313"/>
    </row>
    <row r="232" spans="1:56" ht="86.25" thickBot="1">
      <c r="A232" s="329"/>
      <c r="B232" s="331"/>
      <c r="C232" s="332"/>
      <c r="D232" s="333"/>
      <c r="E232" s="203"/>
      <c r="F232" s="203"/>
      <c r="G232" s="204"/>
      <c r="H232" s="204"/>
      <c r="I232" s="204" t="s">
        <v>471</v>
      </c>
      <c r="J232" s="331"/>
      <c r="K232" s="349"/>
      <c r="L232" s="352"/>
      <c r="M232" s="349"/>
      <c r="N232" s="359"/>
      <c r="O232" s="203" t="s">
        <v>495</v>
      </c>
      <c r="P232" s="204" t="s">
        <v>481</v>
      </c>
      <c r="Q232" s="204" t="s">
        <v>20</v>
      </c>
      <c r="R232" s="215"/>
      <c r="S232" s="27" t="str">
        <f t="shared" si="44"/>
        <v/>
      </c>
      <c r="T232" s="215"/>
      <c r="U232" s="27" t="str">
        <f t="shared" si="45"/>
        <v/>
      </c>
      <c r="V232" s="208"/>
      <c r="W232" s="27" t="str">
        <f t="shared" si="46"/>
        <v/>
      </c>
      <c r="X232" s="208"/>
      <c r="Y232" s="27" t="str">
        <f t="shared" si="47"/>
        <v/>
      </c>
      <c r="Z232" s="208"/>
      <c r="AA232" s="27" t="str">
        <f t="shared" si="48"/>
        <v/>
      </c>
      <c r="AB232" s="208"/>
      <c r="AC232" s="27" t="str">
        <f t="shared" si="49"/>
        <v/>
      </c>
      <c r="AD232" s="208"/>
      <c r="AE232" s="27" t="str">
        <f t="shared" si="50"/>
        <v/>
      </c>
      <c r="AF232" s="48" t="str">
        <f t="shared" si="51"/>
        <v/>
      </c>
      <c r="AG232" s="48" t="str">
        <f t="shared" si="52"/>
        <v/>
      </c>
      <c r="AH232" s="209"/>
      <c r="AI232" s="210" t="str">
        <f t="shared" si="53"/>
        <v>Débil</v>
      </c>
      <c r="AJ232" s="21" t="str">
        <f>IFERROR(VLOOKUP((CONCATENATE(AG232,AI232)),Listados!$U$3:$V$11,2,FALSE),"")</f>
        <v/>
      </c>
      <c r="AK232" s="48">
        <f t="shared" si="54"/>
        <v>100</v>
      </c>
      <c r="AL232" s="355"/>
      <c r="AM232" s="357"/>
      <c r="AN232" s="173">
        <f>+IF(AND(Q232="Preventivo",AM229="Fuerte"),2,IF(AND(Q232="Preventivo",AM229="Moderado"),1,0))</f>
        <v>2</v>
      </c>
      <c r="AO232" s="173">
        <f t="shared" si="55"/>
        <v>1</v>
      </c>
      <c r="AP232" s="173">
        <f>+K229-AN232</f>
        <v>1</v>
      </c>
      <c r="AQ232" s="173">
        <f>+M229-AO232</f>
        <v>3</v>
      </c>
      <c r="AR232" s="346"/>
      <c r="AS232" s="346"/>
      <c r="AT232" s="346"/>
      <c r="AU232" s="346"/>
      <c r="AV232" s="311"/>
      <c r="AW232" s="312"/>
      <c r="AX232" s="313"/>
      <c r="AY232" s="311"/>
      <c r="AZ232" s="312"/>
      <c r="BA232" s="313"/>
      <c r="BB232" s="311"/>
      <c r="BC232" s="312"/>
      <c r="BD232" s="313"/>
    </row>
    <row r="233" spans="1:56" ht="15.75" thickBot="1">
      <c r="A233" s="329"/>
      <c r="B233" s="331"/>
      <c r="C233" s="332"/>
      <c r="D233" s="333"/>
      <c r="E233" s="203"/>
      <c r="F233" s="203"/>
      <c r="G233" s="204"/>
      <c r="H233" s="204"/>
      <c r="I233" s="204"/>
      <c r="J233" s="331"/>
      <c r="K233" s="349"/>
      <c r="L233" s="352"/>
      <c r="M233" s="349"/>
      <c r="N233" s="359"/>
      <c r="O233" s="203"/>
      <c r="P233" s="205"/>
      <c r="Q233" s="205"/>
      <c r="R233" s="215"/>
      <c r="S233" s="27" t="str">
        <f t="shared" si="44"/>
        <v/>
      </c>
      <c r="T233" s="215"/>
      <c r="U233" s="27" t="str">
        <f t="shared" si="45"/>
        <v/>
      </c>
      <c r="V233" s="208"/>
      <c r="W233" s="27" t="str">
        <f t="shared" si="46"/>
        <v/>
      </c>
      <c r="X233" s="208"/>
      <c r="Y233" s="27" t="str">
        <f t="shared" si="47"/>
        <v/>
      </c>
      <c r="Z233" s="208"/>
      <c r="AA233" s="27" t="str">
        <f t="shared" si="48"/>
        <v/>
      </c>
      <c r="AB233" s="208"/>
      <c r="AC233" s="27" t="str">
        <f t="shared" si="49"/>
        <v/>
      </c>
      <c r="AD233" s="208"/>
      <c r="AE233" s="27" t="str">
        <f t="shared" si="50"/>
        <v/>
      </c>
      <c r="AF233" s="48" t="str">
        <f t="shared" si="51"/>
        <v/>
      </c>
      <c r="AG233" s="48" t="str">
        <f t="shared" si="52"/>
        <v/>
      </c>
      <c r="AH233" s="209"/>
      <c r="AI233" s="210" t="str">
        <f t="shared" si="53"/>
        <v>Débil</v>
      </c>
      <c r="AJ233" s="21" t="str">
        <f>IFERROR(VLOOKUP((CONCATENATE(AG233,AI233)),Listados!$U$3:$V$11,2,FALSE),"")</f>
        <v/>
      </c>
      <c r="AK233" s="48">
        <f t="shared" si="54"/>
        <v>100</v>
      </c>
      <c r="AL233" s="355"/>
      <c r="AM233" s="357"/>
      <c r="AN233" s="173">
        <f>+IF(AND(Q233="Preventivo",AM229="Fuerte"),2,IF(AND(Q233="Preventivo",AM229="Moderado"),1,0))</f>
        <v>0</v>
      </c>
      <c r="AO233" s="173">
        <f t="shared" si="55"/>
        <v>0</v>
      </c>
      <c r="AP233" s="173">
        <f>+K229-AN233</f>
        <v>3</v>
      </c>
      <c r="AQ233" s="173">
        <f>+M229-AO233</f>
        <v>4</v>
      </c>
      <c r="AR233" s="346"/>
      <c r="AS233" s="346"/>
      <c r="AT233" s="346"/>
      <c r="AU233" s="346"/>
      <c r="AV233" s="311"/>
      <c r="AW233" s="312"/>
      <c r="AX233" s="313"/>
      <c r="AY233" s="311"/>
      <c r="AZ233" s="312"/>
      <c r="BA233" s="313"/>
      <c r="BB233" s="311"/>
      <c r="BC233" s="312"/>
      <c r="BD233" s="313"/>
    </row>
    <row r="234" spans="1:56" ht="15.75" thickBot="1">
      <c r="A234" s="330"/>
      <c r="B234" s="331"/>
      <c r="C234" s="332"/>
      <c r="D234" s="333"/>
      <c r="E234" s="203"/>
      <c r="F234" s="203"/>
      <c r="G234" s="204"/>
      <c r="H234" s="204"/>
      <c r="I234" s="204"/>
      <c r="J234" s="331"/>
      <c r="K234" s="350"/>
      <c r="L234" s="352"/>
      <c r="M234" s="350"/>
      <c r="N234" s="359"/>
      <c r="O234" s="203"/>
      <c r="P234" s="205"/>
      <c r="Q234" s="205"/>
      <c r="R234" s="215"/>
      <c r="S234" s="27" t="str">
        <f t="shared" si="44"/>
        <v/>
      </c>
      <c r="T234" s="215"/>
      <c r="U234" s="27" t="str">
        <f t="shared" si="45"/>
        <v/>
      </c>
      <c r="V234" s="208"/>
      <c r="W234" s="27" t="str">
        <f t="shared" si="46"/>
        <v/>
      </c>
      <c r="X234" s="208"/>
      <c r="Y234" s="27" t="str">
        <f t="shared" si="47"/>
        <v/>
      </c>
      <c r="Z234" s="208"/>
      <c r="AA234" s="27" t="str">
        <f t="shared" si="48"/>
        <v/>
      </c>
      <c r="AB234" s="208"/>
      <c r="AC234" s="27" t="str">
        <f t="shared" si="49"/>
        <v/>
      </c>
      <c r="AD234" s="208"/>
      <c r="AE234" s="27" t="str">
        <f t="shared" si="50"/>
        <v/>
      </c>
      <c r="AF234" s="48" t="str">
        <f t="shared" si="51"/>
        <v/>
      </c>
      <c r="AG234" s="48" t="str">
        <f t="shared" si="52"/>
        <v/>
      </c>
      <c r="AH234" s="209"/>
      <c r="AI234" s="210" t="str">
        <f t="shared" si="53"/>
        <v>Débil</v>
      </c>
      <c r="AJ234" s="21" t="str">
        <f>IFERROR(VLOOKUP((CONCATENATE(AG234,AI234)),Listados!$U$3:$V$11,2,FALSE),"")</f>
        <v/>
      </c>
      <c r="AK234" s="48">
        <f t="shared" si="54"/>
        <v>100</v>
      </c>
      <c r="AL234" s="356"/>
      <c r="AM234" s="357"/>
      <c r="AN234" s="173">
        <f>+IF(AND(Q234="Preventivo",AM229="Fuerte"),2,IF(AND(Q234="Preventivo",AM229="Moderado"),1,0))</f>
        <v>0</v>
      </c>
      <c r="AO234" s="173">
        <f t="shared" si="55"/>
        <v>0</v>
      </c>
      <c r="AP234" s="173">
        <f>+K229-AN234</f>
        <v>3</v>
      </c>
      <c r="AQ234" s="173">
        <f>+M229-AO234</f>
        <v>4</v>
      </c>
      <c r="AR234" s="347"/>
      <c r="AS234" s="347"/>
      <c r="AT234" s="347"/>
      <c r="AU234" s="347"/>
      <c r="AV234" s="311"/>
      <c r="AW234" s="312"/>
      <c r="AX234" s="313"/>
      <c r="AY234" s="311"/>
      <c r="AZ234" s="312"/>
      <c r="BA234" s="313"/>
      <c r="BB234" s="311"/>
      <c r="BC234" s="312"/>
      <c r="BD234" s="313"/>
    </row>
    <row r="235" spans="1:56" ht="86.25" thickBot="1">
      <c r="A235" s="328">
        <v>39</v>
      </c>
      <c r="B235" s="331" t="s">
        <v>101</v>
      </c>
      <c r="C235" s="332"/>
      <c r="D235" s="333" t="s">
        <v>496</v>
      </c>
      <c r="E235" s="203" t="s">
        <v>29</v>
      </c>
      <c r="F235" s="203"/>
      <c r="G235" s="204" t="s">
        <v>497</v>
      </c>
      <c r="H235" s="204" t="s">
        <v>30</v>
      </c>
      <c r="I235" s="204" t="s">
        <v>498</v>
      </c>
      <c r="J235" s="331" t="s">
        <v>44</v>
      </c>
      <c r="K235" s="348"/>
      <c r="L235" s="351" t="s">
        <v>36</v>
      </c>
      <c r="M235" s="348">
        <f>+VLOOKUP(L235,Listados!$K$13:$L$17,2,0)</f>
        <v>3</v>
      </c>
      <c r="N235" s="358" t="str">
        <f>IF(AND(J235&lt;&gt;"",L235&lt;&gt;""),VLOOKUP(J235&amp;L235,Listados!$M$3:$N$27,2,FALSE),"")</f>
        <v>Alto</v>
      </c>
      <c r="O235" s="203" t="s">
        <v>499</v>
      </c>
      <c r="P235" s="204" t="s">
        <v>497</v>
      </c>
      <c r="Q235" s="204" t="s">
        <v>20</v>
      </c>
      <c r="R235" s="215"/>
      <c r="S235" s="27" t="str">
        <f t="shared" si="44"/>
        <v/>
      </c>
      <c r="T235" s="215"/>
      <c r="U235" s="27" t="str">
        <f t="shared" si="45"/>
        <v/>
      </c>
      <c r="V235" s="208"/>
      <c r="W235" s="27" t="str">
        <f t="shared" si="46"/>
        <v/>
      </c>
      <c r="X235" s="208"/>
      <c r="Y235" s="27" t="str">
        <f t="shared" si="47"/>
        <v/>
      </c>
      <c r="Z235" s="208"/>
      <c r="AA235" s="27" t="str">
        <f t="shared" si="48"/>
        <v/>
      </c>
      <c r="AB235" s="208"/>
      <c r="AC235" s="27" t="str">
        <f t="shared" si="49"/>
        <v/>
      </c>
      <c r="AD235" s="208"/>
      <c r="AE235" s="27" t="str">
        <f t="shared" si="50"/>
        <v/>
      </c>
      <c r="AF235" s="48" t="str">
        <f t="shared" si="51"/>
        <v/>
      </c>
      <c r="AG235" s="48" t="str">
        <f t="shared" si="52"/>
        <v/>
      </c>
      <c r="AH235" s="209"/>
      <c r="AI235" s="210" t="str">
        <f t="shared" si="53"/>
        <v>Débil</v>
      </c>
      <c r="AJ235" s="21" t="str">
        <f>IFERROR(VLOOKUP((CONCATENATE(AG235,AI235)),Listados!$U$3:$V$11,2,FALSE),"")</f>
        <v/>
      </c>
      <c r="AK235" s="48">
        <f t="shared" si="54"/>
        <v>100</v>
      </c>
      <c r="AL235" s="354">
        <f>AVERAGE(AK235:AK240)</f>
        <v>100</v>
      </c>
      <c r="AM235" s="356" t="str">
        <f>IF(AL235&lt;=50, "Débil", IF(AL235&lt;=99,"Moderado","Fuerte"))</f>
        <v>Fuerte</v>
      </c>
      <c r="AN235" s="173">
        <f>+IF(AND(Q235="Preventivo",AM235="Fuerte"),2,IF(AND(Q235="Preventivo",AM235="Moderado"),1,0))</f>
        <v>2</v>
      </c>
      <c r="AO235" s="173">
        <f t="shared" si="55"/>
        <v>1</v>
      </c>
      <c r="AP235" s="173">
        <f>+K235-AN235</f>
        <v>-2</v>
      </c>
      <c r="AQ235" s="173">
        <f>+M235-AO235</f>
        <v>2</v>
      </c>
      <c r="AR235" s="345" t="e">
        <f>+VLOOKUP(MIN(AP235,AP236,AP237,AP238,AP239,AP240),Listados!$J$18:$K$24,2,TRUE)</f>
        <v>#N/A</v>
      </c>
      <c r="AS235" s="345" t="str">
        <f>+VLOOKUP(MIN(AQ235,AQ236,AQ237,AQ238,AQ239,AQ240),Listados!$J$27:$K$32,2,TRUE)</f>
        <v>Insignificante</v>
      </c>
      <c r="AT235" s="345" t="e">
        <f>IF(AND(AR235&lt;&gt;"",AS235&lt;&gt;""),VLOOKUP(AR235&amp;AS235,Listados!$M$3:$N$27,2,FALSE),"")</f>
        <v>#N/A</v>
      </c>
      <c r="AU235" s="345" t="e">
        <f>+VLOOKUP(AT235,Listados!$P$3:$Q$6,2,FALSE)</f>
        <v>#N/A</v>
      </c>
      <c r="AV235" s="311"/>
      <c r="AW235" s="312"/>
      <c r="AX235" s="313"/>
      <c r="AY235" s="311"/>
      <c r="AZ235" s="312"/>
      <c r="BA235" s="313"/>
      <c r="BB235" s="311"/>
      <c r="BC235" s="312"/>
      <c r="BD235" s="313"/>
    </row>
    <row r="236" spans="1:56" ht="114.75" thickBot="1">
      <c r="A236" s="329"/>
      <c r="B236" s="331"/>
      <c r="C236" s="332"/>
      <c r="D236" s="333"/>
      <c r="E236" s="203"/>
      <c r="F236" s="203"/>
      <c r="G236" s="204" t="s">
        <v>500</v>
      </c>
      <c r="H236" s="204" t="s">
        <v>30</v>
      </c>
      <c r="I236" s="204" t="s">
        <v>501</v>
      </c>
      <c r="J236" s="331"/>
      <c r="K236" s="349"/>
      <c r="L236" s="352"/>
      <c r="M236" s="349"/>
      <c r="N236" s="359"/>
      <c r="O236" s="203" t="s">
        <v>502</v>
      </c>
      <c r="P236" s="204" t="s">
        <v>500</v>
      </c>
      <c r="Q236" s="204" t="s">
        <v>123</v>
      </c>
      <c r="R236" s="215"/>
      <c r="S236" s="27" t="str">
        <f t="shared" si="44"/>
        <v/>
      </c>
      <c r="T236" s="215"/>
      <c r="U236" s="27" t="str">
        <f t="shared" si="45"/>
        <v/>
      </c>
      <c r="V236" s="208"/>
      <c r="W236" s="27" t="str">
        <f t="shared" si="46"/>
        <v/>
      </c>
      <c r="X236" s="208"/>
      <c r="Y236" s="27" t="str">
        <f t="shared" si="47"/>
        <v/>
      </c>
      <c r="Z236" s="208"/>
      <c r="AA236" s="27" t="str">
        <f t="shared" si="48"/>
        <v/>
      </c>
      <c r="AB236" s="208"/>
      <c r="AC236" s="27" t="str">
        <f t="shared" si="49"/>
        <v/>
      </c>
      <c r="AD236" s="208"/>
      <c r="AE236" s="27" t="str">
        <f t="shared" si="50"/>
        <v/>
      </c>
      <c r="AF236" s="48" t="str">
        <f t="shared" si="51"/>
        <v/>
      </c>
      <c r="AG236" s="48" t="str">
        <f t="shared" si="52"/>
        <v/>
      </c>
      <c r="AH236" s="209"/>
      <c r="AI236" s="210" t="str">
        <f t="shared" si="53"/>
        <v>Débil</v>
      </c>
      <c r="AJ236" s="21" t="str">
        <f>IFERROR(VLOOKUP((CONCATENATE(AG236,AI236)),Listados!$U$3:$V$11,2,FALSE),"")</f>
        <v/>
      </c>
      <c r="AK236" s="48">
        <f t="shared" si="54"/>
        <v>100</v>
      </c>
      <c r="AL236" s="355"/>
      <c r="AM236" s="357"/>
      <c r="AN236" s="173">
        <f>+IF(AND(Q236="Preventivo",AM235="Fuerte"),2,IF(AND(Q236="Preventivo",AM235="Moderado"),1,0))</f>
        <v>0</v>
      </c>
      <c r="AO236" s="173">
        <f t="shared" si="55"/>
        <v>2</v>
      </c>
      <c r="AP236" s="173">
        <f>+K235-AN236</f>
        <v>0</v>
      </c>
      <c r="AQ236" s="173">
        <f>+M235-AO236</f>
        <v>1</v>
      </c>
      <c r="AR236" s="346"/>
      <c r="AS236" s="346"/>
      <c r="AT236" s="346"/>
      <c r="AU236" s="346"/>
      <c r="AV236" s="311"/>
      <c r="AW236" s="312"/>
      <c r="AX236" s="313"/>
      <c r="AY236" s="311"/>
      <c r="AZ236" s="312"/>
      <c r="BA236" s="313"/>
      <c r="BB236" s="311"/>
      <c r="BC236" s="312"/>
      <c r="BD236" s="313"/>
    </row>
    <row r="237" spans="1:56" ht="15.75" thickBot="1">
      <c r="A237" s="329"/>
      <c r="B237" s="331"/>
      <c r="C237" s="332"/>
      <c r="D237" s="333"/>
      <c r="E237" s="203"/>
      <c r="F237" s="203"/>
      <c r="G237" s="204"/>
      <c r="H237" s="204"/>
      <c r="I237" s="204"/>
      <c r="J237" s="331"/>
      <c r="K237" s="349"/>
      <c r="L237" s="352"/>
      <c r="M237" s="349"/>
      <c r="N237" s="359"/>
      <c r="O237" s="203"/>
      <c r="P237" s="203"/>
      <c r="Q237" s="204"/>
      <c r="R237" s="215"/>
      <c r="S237" s="27" t="str">
        <f t="shared" si="44"/>
        <v/>
      </c>
      <c r="T237" s="215"/>
      <c r="U237" s="27" t="str">
        <f t="shared" si="45"/>
        <v/>
      </c>
      <c r="V237" s="208"/>
      <c r="W237" s="27" t="str">
        <f t="shared" si="46"/>
        <v/>
      </c>
      <c r="X237" s="208"/>
      <c r="Y237" s="27" t="str">
        <f t="shared" si="47"/>
        <v/>
      </c>
      <c r="Z237" s="208"/>
      <c r="AA237" s="27" t="str">
        <f t="shared" si="48"/>
        <v/>
      </c>
      <c r="AB237" s="208"/>
      <c r="AC237" s="27" t="str">
        <f t="shared" si="49"/>
        <v/>
      </c>
      <c r="AD237" s="208"/>
      <c r="AE237" s="27" t="str">
        <f t="shared" si="50"/>
        <v/>
      </c>
      <c r="AF237" s="48" t="str">
        <f t="shared" si="51"/>
        <v/>
      </c>
      <c r="AG237" s="48" t="str">
        <f t="shared" si="52"/>
        <v/>
      </c>
      <c r="AH237" s="209"/>
      <c r="AI237" s="210" t="str">
        <f t="shared" si="53"/>
        <v>Débil</v>
      </c>
      <c r="AJ237" s="21" t="str">
        <f>IFERROR(VLOOKUP((CONCATENATE(AG237,AI237)),Listados!$U$3:$V$11,2,FALSE),"")</f>
        <v/>
      </c>
      <c r="AK237" s="48">
        <f t="shared" si="54"/>
        <v>100</v>
      </c>
      <c r="AL237" s="355"/>
      <c r="AM237" s="357"/>
      <c r="AN237" s="173">
        <f>+IF(AND(Q237="Preventivo",AM235="Fuerte"),2,IF(AND(Q237="Preventivo",AM235="Moderado"),1,0))</f>
        <v>0</v>
      </c>
      <c r="AO237" s="173">
        <f t="shared" si="55"/>
        <v>0</v>
      </c>
      <c r="AP237" s="173">
        <f>+K235-AN237</f>
        <v>0</v>
      </c>
      <c r="AQ237" s="173">
        <f>+M235-AO237</f>
        <v>3</v>
      </c>
      <c r="AR237" s="346"/>
      <c r="AS237" s="346"/>
      <c r="AT237" s="346"/>
      <c r="AU237" s="346"/>
      <c r="AV237" s="311"/>
      <c r="AW237" s="312"/>
      <c r="AX237" s="313"/>
      <c r="AY237" s="311"/>
      <c r="AZ237" s="312"/>
      <c r="BA237" s="313"/>
      <c r="BB237" s="311"/>
      <c r="BC237" s="312"/>
      <c r="BD237" s="313"/>
    </row>
    <row r="238" spans="1:56" ht="15.75" thickBot="1">
      <c r="A238" s="329"/>
      <c r="B238" s="331"/>
      <c r="C238" s="332"/>
      <c r="D238" s="333"/>
      <c r="E238" s="203"/>
      <c r="F238" s="203"/>
      <c r="G238" s="204"/>
      <c r="H238" s="204"/>
      <c r="I238" s="204"/>
      <c r="J238" s="331"/>
      <c r="K238" s="349"/>
      <c r="L238" s="352"/>
      <c r="M238" s="349"/>
      <c r="N238" s="359"/>
      <c r="O238" s="203"/>
      <c r="P238" s="203"/>
      <c r="Q238" s="204"/>
      <c r="R238" s="215"/>
      <c r="S238" s="27" t="str">
        <f t="shared" si="44"/>
        <v/>
      </c>
      <c r="T238" s="215"/>
      <c r="U238" s="27" t="str">
        <f t="shared" si="45"/>
        <v/>
      </c>
      <c r="V238" s="208"/>
      <c r="W238" s="27" t="str">
        <f t="shared" si="46"/>
        <v/>
      </c>
      <c r="X238" s="208"/>
      <c r="Y238" s="27" t="str">
        <f t="shared" si="47"/>
        <v/>
      </c>
      <c r="Z238" s="208"/>
      <c r="AA238" s="27" t="str">
        <f t="shared" si="48"/>
        <v/>
      </c>
      <c r="AB238" s="208"/>
      <c r="AC238" s="27" t="str">
        <f t="shared" si="49"/>
        <v/>
      </c>
      <c r="AD238" s="208"/>
      <c r="AE238" s="27" t="str">
        <f t="shared" si="50"/>
        <v/>
      </c>
      <c r="AF238" s="48" t="str">
        <f t="shared" si="51"/>
        <v/>
      </c>
      <c r="AG238" s="48" t="str">
        <f t="shared" si="52"/>
        <v/>
      </c>
      <c r="AH238" s="209"/>
      <c r="AI238" s="210" t="str">
        <f t="shared" si="53"/>
        <v>Débil</v>
      </c>
      <c r="AJ238" s="21" t="str">
        <f>IFERROR(VLOOKUP((CONCATENATE(AG238,AI238)),Listados!$U$3:$V$11,2,FALSE),"")</f>
        <v/>
      </c>
      <c r="AK238" s="48">
        <f t="shared" si="54"/>
        <v>100</v>
      </c>
      <c r="AL238" s="355"/>
      <c r="AM238" s="357"/>
      <c r="AN238" s="173">
        <f>+IF(AND(Q238="Preventivo",AM235="Fuerte"),2,IF(AND(Q238="Preventivo",AM235="Moderado"),1,0))</f>
        <v>0</v>
      </c>
      <c r="AO238" s="173">
        <f t="shared" si="55"/>
        <v>0</v>
      </c>
      <c r="AP238" s="173">
        <f>+K235-AN238</f>
        <v>0</v>
      </c>
      <c r="AQ238" s="173">
        <f>+M235-AO238</f>
        <v>3</v>
      </c>
      <c r="AR238" s="346"/>
      <c r="AS238" s="346"/>
      <c r="AT238" s="346"/>
      <c r="AU238" s="346"/>
      <c r="AV238" s="311"/>
      <c r="AW238" s="312"/>
      <c r="AX238" s="313"/>
      <c r="AY238" s="311"/>
      <c r="AZ238" s="312"/>
      <c r="BA238" s="313"/>
      <c r="BB238" s="311"/>
      <c r="BC238" s="312"/>
      <c r="BD238" s="313"/>
    </row>
    <row r="239" spans="1:56" ht="15.75" thickBot="1">
      <c r="A239" s="329"/>
      <c r="B239" s="331"/>
      <c r="C239" s="332"/>
      <c r="D239" s="333"/>
      <c r="E239" s="203"/>
      <c r="F239" s="203"/>
      <c r="G239" s="204"/>
      <c r="H239" s="204"/>
      <c r="I239" s="204"/>
      <c r="J239" s="331"/>
      <c r="K239" s="349"/>
      <c r="L239" s="352"/>
      <c r="M239" s="349"/>
      <c r="N239" s="359"/>
      <c r="O239" s="203"/>
      <c r="P239" s="205"/>
      <c r="Q239" s="205"/>
      <c r="R239" s="215"/>
      <c r="S239" s="27" t="str">
        <f t="shared" si="44"/>
        <v/>
      </c>
      <c r="T239" s="215"/>
      <c r="U239" s="27" t="str">
        <f t="shared" si="45"/>
        <v/>
      </c>
      <c r="V239" s="208"/>
      <c r="W239" s="27" t="str">
        <f t="shared" si="46"/>
        <v/>
      </c>
      <c r="X239" s="208"/>
      <c r="Y239" s="27" t="str">
        <f t="shared" si="47"/>
        <v/>
      </c>
      <c r="Z239" s="208"/>
      <c r="AA239" s="27" t="str">
        <f t="shared" si="48"/>
        <v/>
      </c>
      <c r="AB239" s="208"/>
      <c r="AC239" s="27" t="str">
        <f t="shared" si="49"/>
        <v/>
      </c>
      <c r="AD239" s="208"/>
      <c r="AE239" s="27" t="str">
        <f t="shared" si="50"/>
        <v/>
      </c>
      <c r="AF239" s="48" t="str">
        <f t="shared" si="51"/>
        <v/>
      </c>
      <c r="AG239" s="48" t="str">
        <f t="shared" si="52"/>
        <v/>
      </c>
      <c r="AH239" s="209"/>
      <c r="AI239" s="210" t="str">
        <f t="shared" si="53"/>
        <v>Débil</v>
      </c>
      <c r="AJ239" s="21" t="str">
        <f>IFERROR(VLOOKUP((CONCATENATE(AG239,AI239)),Listados!$U$3:$V$11,2,FALSE),"")</f>
        <v/>
      </c>
      <c r="AK239" s="48">
        <f t="shared" si="54"/>
        <v>100</v>
      </c>
      <c r="AL239" s="355"/>
      <c r="AM239" s="357"/>
      <c r="AN239" s="173">
        <f>+IF(AND(Q239="Preventivo",AM235="Fuerte"),2,IF(AND(Q239="Preventivo",AM235="Moderado"),1,0))</f>
        <v>0</v>
      </c>
      <c r="AO239" s="173">
        <f t="shared" si="55"/>
        <v>0</v>
      </c>
      <c r="AP239" s="173">
        <f>+K235-AN239</f>
        <v>0</v>
      </c>
      <c r="AQ239" s="173">
        <f>+M235-AO239</f>
        <v>3</v>
      </c>
      <c r="AR239" s="346"/>
      <c r="AS239" s="346"/>
      <c r="AT239" s="346"/>
      <c r="AU239" s="346"/>
      <c r="AV239" s="311"/>
      <c r="AW239" s="312"/>
      <c r="AX239" s="313"/>
      <c r="AY239" s="311"/>
      <c r="AZ239" s="312"/>
      <c r="BA239" s="313"/>
      <c r="BB239" s="311"/>
      <c r="BC239" s="312"/>
      <c r="BD239" s="313"/>
    </row>
    <row r="240" spans="1:56" ht="15.75" thickBot="1">
      <c r="A240" s="330"/>
      <c r="B240" s="331"/>
      <c r="C240" s="332"/>
      <c r="D240" s="333"/>
      <c r="E240" s="203"/>
      <c r="F240" s="203"/>
      <c r="G240" s="204"/>
      <c r="H240" s="204"/>
      <c r="I240" s="204"/>
      <c r="J240" s="331"/>
      <c r="K240" s="350"/>
      <c r="L240" s="352"/>
      <c r="M240" s="350"/>
      <c r="N240" s="359"/>
      <c r="O240" s="203"/>
      <c r="P240" s="205"/>
      <c r="Q240" s="205"/>
      <c r="R240" s="215"/>
      <c r="S240" s="27" t="str">
        <f t="shared" si="44"/>
        <v/>
      </c>
      <c r="T240" s="215"/>
      <c r="U240" s="27" t="str">
        <f t="shared" si="45"/>
        <v/>
      </c>
      <c r="V240" s="208"/>
      <c r="W240" s="27" t="str">
        <f t="shared" si="46"/>
        <v/>
      </c>
      <c r="X240" s="208"/>
      <c r="Y240" s="27" t="str">
        <f t="shared" si="47"/>
        <v/>
      </c>
      <c r="Z240" s="208"/>
      <c r="AA240" s="27" t="str">
        <f t="shared" si="48"/>
        <v/>
      </c>
      <c r="AB240" s="208"/>
      <c r="AC240" s="27" t="str">
        <f t="shared" si="49"/>
        <v/>
      </c>
      <c r="AD240" s="208"/>
      <c r="AE240" s="27" t="str">
        <f t="shared" si="50"/>
        <v/>
      </c>
      <c r="AF240" s="48" t="str">
        <f t="shared" si="51"/>
        <v/>
      </c>
      <c r="AG240" s="48" t="str">
        <f t="shared" si="52"/>
        <v/>
      </c>
      <c r="AH240" s="209"/>
      <c r="AI240" s="210" t="str">
        <f t="shared" si="53"/>
        <v>Débil</v>
      </c>
      <c r="AJ240" s="21" t="str">
        <f>IFERROR(VLOOKUP((CONCATENATE(AG240,AI240)),Listados!$U$3:$V$11,2,FALSE),"")</f>
        <v/>
      </c>
      <c r="AK240" s="48">
        <f t="shared" si="54"/>
        <v>100</v>
      </c>
      <c r="AL240" s="356"/>
      <c r="AM240" s="357"/>
      <c r="AN240" s="173">
        <f>+IF(AND(Q240="Preventivo",AM235="Fuerte"),2,IF(AND(Q240="Preventivo",AM235="Moderado"),1,0))</f>
        <v>0</v>
      </c>
      <c r="AO240" s="173">
        <f t="shared" si="55"/>
        <v>0</v>
      </c>
      <c r="AP240" s="173">
        <f>+K235-AN240</f>
        <v>0</v>
      </c>
      <c r="AQ240" s="173">
        <f>+M235-AO240</f>
        <v>3</v>
      </c>
      <c r="AR240" s="347"/>
      <c r="AS240" s="347"/>
      <c r="AT240" s="347"/>
      <c r="AU240" s="347"/>
      <c r="AV240" s="311"/>
      <c r="AW240" s="312"/>
      <c r="AX240" s="313"/>
      <c r="AY240" s="311"/>
      <c r="AZ240" s="312"/>
      <c r="BA240" s="313"/>
      <c r="BB240" s="311"/>
      <c r="BC240" s="312"/>
      <c r="BD240" s="313"/>
    </row>
    <row r="241" spans="1:56" ht="171.75" thickBot="1">
      <c r="A241" s="328">
        <v>40</v>
      </c>
      <c r="B241" s="331" t="s">
        <v>101</v>
      </c>
      <c r="C241" s="332"/>
      <c r="D241" s="333" t="s">
        <v>503</v>
      </c>
      <c r="E241" s="203" t="s">
        <v>41</v>
      </c>
      <c r="F241" s="203"/>
      <c r="G241" s="204" t="s">
        <v>504</v>
      </c>
      <c r="H241" s="204" t="s">
        <v>16</v>
      </c>
      <c r="I241" s="204" t="s">
        <v>505</v>
      </c>
      <c r="J241" s="331" t="s">
        <v>21</v>
      </c>
      <c r="K241" s="348">
        <f>+VLOOKUP(J241,Listados!$K$8:$L$12,2,0)</f>
        <v>1</v>
      </c>
      <c r="L241" s="351" t="s">
        <v>32</v>
      </c>
      <c r="M241" s="348">
        <f>+VLOOKUP(L241,Listados!$K$13:$L$17,2,0)</f>
        <v>2</v>
      </c>
      <c r="N241" s="358" t="str">
        <f>IF(AND(J241&lt;&gt;"",L241&lt;&gt;""),VLOOKUP(J241&amp;L241,Listados!$M$3:$N$27,2,FALSE),"")</f>
        <v>Bajo</v>
      </c>
      <c r="O241" s="203" t="s">
        <v>506</v>
      </c>
      <c r="P241" s="204" t="s">
        <v>504</v>
      </c>
      <c r="Q241" s="204" t="s">
        <v>20</v>
      </c>
      <c r="R241" s="215"/>
      <c r="S241" s="27" t="str">
        <f t="shared" si="44"/>
        <v/>
      </c>
      <c r="T241" s="215"/>
      <c r="U241" s="27" t="str">
        <f t="shared" si="45"/>
        <v/>
      </c>
      <c r="V241" s="208"/>
      <c r="W241" s="27" t="str">
        <f t="shared" si="46"/>
        <v/>
      </c>
      <c r="X241" s="208"/>
      <c r="Y241" s="27" t="str">
        <f t="shared" si="47"/>
        <v/>
      </c>
      <c r="Z241" s="208"/>
      <c r="AA241" s="27" t="str">
        <f t="shared" si="48"/>
        <v/>
      </c>
      <c r="AB241" s="208"/>
      <c r="AC241" s="27" t="str">
        <f t="shared" si="49"/>
        <v/>
      </c>
      <c r="AD241" s="208"/>
      <c r="AE241" s="27" t="str">
        <f t="shared" si="50"/>
        <v/>
      </c>
      <c r="AF241" s="48" t="str">
        <f t="shared" si="51"/>
        <v/>
      </c>
      <c r="AG241" s="48" t="str">
        <f t="shared" si="52"/>
        <v/>
      </c>
      <c r="AH241" s="209"/>
      <c r="AI241" s="210" t="str">
        <f t="shared" si="53"/>
        <v>Débil</v>
      </c>
      <c r="AJ241" s="21" t="str">
        <f>IFERROR(VLOOKUP((CONCATENATE(AG241,AI241)),Listados!$U$3:$V$11,2,FALSE),"")</f>
        <v/>
      </c>
      <c r="AK241" s="48">
        <f t="shared" si="54"/>
        <v>100</v>
      </c>
      <c r="AL241" s="354">
        <f>AVERAGE(AK241:AK246)</f>
        <v>100</v>
      </c>
      <c r="AM241" s="356" t="str">
        <f>IF(AL241&lt;=50, "Débil", IF(AL241&lt;=99,"Moderado","Fuerte"))</f>
        <v>Fuerte</v>
      </c>
      <c r="AN241" s="173">
        <f>+IF(AND(Q241="Preventivo",AM241="Fuerte"),2,IF(AND(Q241="Preventivo",AM241="Moderado"),1,0))</f>
        <v>2</v>
      </c>
      <c r="AO241" s="173">
        <f t="shared" si="55"/>
        <v>1</v>
      </c>
      <c r="AP241" s="173">
        <f>+K241-AN241</f>
        <v>-1</v>
      </c>
      <c r="AQ241" s="173">
        <f>+M241-AO241</f>
        <v>1</v>
      </c>
      <c r="AR241" s="345" t="str">
        <f>+VLOOKUP(MIN(AP241,AP242,AP243,AP244,AP245,AP246),Listados!$J$18:$K$24,2,TRUE)</f>
        <v>Rara Vez</v>
      </c>
      <c r="AS241" s="345" t="str">
        <f>+VLOOKUP(MIN(AQ241,AQ242,AQ243,AQ244,AQ245,AQ246),Listados!$J$27:$K$32,2,TRUE)</f>
        <v>Insignificante</v>
      </c>
      <c r="AT241" s="345" t="str">
        <f>IF(AND(AR241&lt;&gt;"",AS241&lt;&gt;""),VLOOKUP(AR241&amp;AS241,Listados!$M$3:$N$27,2,FALSE),"")</f>
        <v>Bajo</v>
      </c>
      <c r="AU241" s="345" t="str">
        <f>+VLOOKUP(AT241,Listados!$P$3:$Q$6,2,FALSE)</f>
        <v>Asumir el riesgo</v>
      </c>
      <c r="AV241" s="311"/>
      <c r="AW241" s="312"/>
      <c r="AX241" s="313"/>
      <c r="AY241" s="311"/>
      <c r="AZ241" s="312"/>
      <c r="BA241" s="313"/>
      <c r="BB241" s="311"/>
      <c r="BC241" s="312"/>
      <c r="BD241" s="313"/>
    </row>
    <row r="242" spans="1:56" ht="157.5" thickBot="1">
      <c r="A242" s="329"/>
      <c r="B242" s="331"/>
      <c r="C242" s="332"/>
      <c r="D242" s="333"/>
      <c r="E242" s="203"/>
      <c r="F242" s="203"/>
      <c r="G242" s="204" t="s">
        <v>507</v>
      </c>
      <c r="H242" s="204" t="s">
        <v>16</v>
      </c>
      <c r="I242" s="204" t="s">
        <v>482</v>
      </c>
      <c r="J242" s="331"/>
      <c r="K242" s="349"/>
      <c r="L242" s="352"/>
      <c r="M242" s="349"/>
      <c r="N242" s="359"/>
      <c r="O242" s="203" t="s">
        <v>508</v>
      </c>
      <c r="P242" s="204" t="s">
        <v>507</v>
      </c>
      <c r="Q242" s="204" t="s">
        <v>20</v>
      </c>
      <c r="R242" s="215"/>
      <c r="S242" s="27" t="str">
        <f t="shared" si="44"/>
        <v/>
      </c>
      <c r="T242" s="215"/>
      <c r="U242" s="27" t="str">
        <f t="shared" si="45"/>
        <v/>
      </c>
      <c r="V242" s="208"/>
      <c r="W242" s="27" t="str">
        <f t="shared" si="46"/>
        <v/>
      </c>
      <c r="X242" s="208"/>
      <c r="Y242" s="27" t="str">
        <f t="shared" si="47"/>
        <v/>
      </c>
      <c r="Z242" s="208"/>
      <c r="AA242" s="27" t="str">
        <f t="shared" si="48"/>
        <v/>
      </c>
      <c r="AB242" s="208"/>
      <c r="AC242" s="27" t="str">
        <f t="shared" si="49"/>
        <v/>
      </c>
      <c r="AD242" s="208"/>
      <c r="AE242" s="27" t="str">
        <f t="shared" si="50"/>
        <v/>
      </c>
      <c r="AF242" s="48" t="str">
        <f t="shared" si="51"/>
        <v/>
      </c>
      <c r="AG242" s="48" t="str">
        <f t="shared" si="52"/>
        <v/>
      </c>
      <c r="AH242" s="209"/>
      <c r="AI242" s="210" t="str">
        <f t="shared" si="53"/>
        <v>Débil</v>
      </c>
      <c r="AJ242" s="21" t="str">
        <f>IFERROR(VLOOKUP((CONCATENATE(AG242,AI242)),Listados!$U$3:$V$11,2,FALSE),"")</f>
        <v/>
      </c>
      <c r="AK242" s="48">
        <f t="shared" si="54"/>
        <v>100</v>
      </c>
      <c r="AL242" s="355"/>
      <c r="AM242" s="357"/>
      <c r="AN242" s="173">
        <f>+IF(AND(Q242="Preventivo",AM241="Fuerte"),2,IF(AND(Q242="Preventivo",AM241="Moderado"),1,0))</f>
        <v>2</v>
      </c>
      <c r="AO242" s="173">
        <f t="shared" si="55"/>
        <v>1</v>
      </c>
      <c r="AP242" s="173">
        <f>+K241-AN242</f>
        <v>-1</v>
      </c>
      <c r="AQ242" s="173">
        <f>+M241-AO242</f>
        <v>1</v>
      </c>
      <c r="AR242" s="346"/>
      <c r="AS242" s="346"/>
      <c r="AT242" s="346"/>
      <c r="AU242" s="346"/>
      <c r="AV242" s="311"/>
      <c r="AW242" s="312"/>
      <c r="AX242" s="313"/>
      <c r="AY242" s="311"/>
      <c r="AZ242" s="312"/>
      <c r="BA242" s="313"/>
      <c r="BB242" s="311"/>
      <c r="BC242" s="312"/>
      <c r="BD242" s="313"/>
    </row>
    <row r="243" spans="1:56" ht="15.75" thickBot="1">
      <c r="A243" s="329"/>
      <c r="B243" s="331"/>
      <c r="C243" s="332"/>
      <c r="D243" s="333"/>
      <c r="E243" s="203"/>
      <c r="F243" s="203"/>
      <c r="G243" s="204"/>
      <c r="H243" s="204"/>
      <c r="I243" s="204"/>
      <c r="J243" s="331"/>
      <c r="K243" s="349"/>
      <c r="L243" s="352"/>
      <c r="M243" s="349"/>
      <c r="N243" s="359"/>
      <c r="O243" s="203"/>
      <c r="P243" s="205"/>
      <c r="Q243" s="205"/>
      <c r="R243" s="215"/>
      <c r="S243" s="27" t="str">
        <f t="shared" si="44"/>
        <v/>
      </c>
      <c r="T243" s="215"/>
      <c r="U243" s="27" t="str">
        <f t="shared" si="45"/>
        <v/>
      </c>
      <c r="V243" s="208"/>
      <c r="W243" s="27" t="str">
        <f t="shared" si="46"/>
        <v/>
      </c>
      <c r="X243" s="208"/>
      <c r="Y243" s="27" t="str">
        <f t="shared" si="47"/>
        <v/>
      </c>
      <c r="Z243" s="208"/>
      <c r="AA243" s="27" t="str">
        <f t="shared" si="48"/>
        <v/>
      </c>
      <c r="AB243" s="208"/>
      <c r="AC243" s="27" t="str">
        <f t="shared" si="49"/>
        <v/>
      </c>
      <c r="AD243" s="208"/>
      <c r="AE243" s="27" t="str">
        <f t="shared" si="50"/>
        <v/>
      </c>
      <c r="AF243" s="48" t="str">
        <f t="shared" si="51"/>
        <v/>
      </c>
      <c r="AG243" s="48" t="str">
        <f t="shared" si="52"/>
        <v/>
      </c>
      <c r="AH243" s="209"/>
      <c r="AI243" s="210" t="str">
        <f t="shared" si="53"/>
        <v>Débil</v>
      </c>
      <c r="AJ243" s="21" t="str">
        <f>IFERROR(VLOOKUP((CONCATENATE(AG243,AI243)),Listados!$U$3:$V$11,2,FALSE),"")</f>
        <v/>
      </c>
      <c r="AK243" s="48">
        <f t="shared" si="54"/>
        <v>100</v>
      </c>
      <c r="AL243" s="355"/>
      <c r="AM243" s="357"/>
      <c r="AN243" s="173">
        <f>+IF(AND(Q243="Preventivo",AM241="Fuerte"),2,IF(AND(Q243="Preventivo",AM241="Moderado"),1,0))</f>
        <v>0</v>
      </c>
      <c r="AO243" s="173">
        <f t="shared" si="55"/>
        <v>0</v>
      </c>
      <c r="AP243" s="173">
        <f>+K241-AN243</f>
        <v>1</v>
      </c>
      <c r="AQ243" s="173">
        <f>+M241-AO243</f>
        <v>2</v>
      </c>
      <c r="AR243" s="346"/>
      <c r="AS243" s="346"/>
      <c r="AT243" s="346"/>
      <c r="AU243" s="346"/>
      <c r="AV243" s="311"/>
      <c r="AW243" s="312"/>
      <c r="AX243" s="313"/>
      <c r="AY243" s="311"/>
      <c r="AZ243" s="312"/>
      <c r="BA243" s="313"/>
      <c r="BB243" s="311"/>
      <c r="BC243" s="312"/>
      <c r="BD243" s="313"/>
    </row>
    <row r="244" spans="1:56" ht="15.75" thickBot="1">
      <c r="A244" s="329"/>
      <c r="B244" s="331"/>
      <c r="C244" s="332"/>
      <c r="D244" s="333"/>
      <c r="E244" s="203"/>
      <c r="F244" s="203"/>
      <c r="G244" s="204"/>
      <c r="H244" s="204"/>
      <c r="I244" s="204"/>
      <c r="J244" s="331"/>
      <c r="K244" s="349"/>
      <c r="L244" s="352"/>
      <c r="M244" s="349"/>
      <c r="N244" s="359"/>
      <c r="O244" s="203"/>
      <c r="P244" s="205"/>
      <c r="Q244" s="205"/>
      <c r="R244" s="215"/>
      <c r="S244" s="27" t="str">
        <f t="shared" si="44"/>
        <v/>
      </c>
      <c r="T244" s="215"/>
      <c r="U244" s="27" t="str">
        <f t="shared" si="45"/>
        <v/>
      </c>
      <c r="V244" s="208"/>
      <c r="W244" s="27" t="str">
        <f t="shared" si="46"/>
        <v/>
      </c>
      <c r="X244" s="208"/>
      <c r="Y244" s="27" t="str">
        <f t="shared" si="47"/>
        <v/>
      </c>
      <c r="Z244" s="208"/>
      <c r="AA244" s="27" t="str">
        <f t="shared" si="48"/>
        <v/>
      </c>
      <c r="AB244" s="208"/>
      <c r="AC244" s="27" t="str">
        <f t="shared" si="49"/>
        <v/>
      </c>
      <c r="AD244" s="208"/>
      <c r="AE244" s="27" t="str">
        <f t="shared" si="50"/>
        <v/>
      </c>
      <c r="AF244" s="48" t="str">
        <f t="shared" si="51"/>
        <v/>
      </c>
      <c r="AG244" s="48" t="str">
        <f t="shared" si="52"/>
        <v/>
      </c>
      <c r="AH244" s="209"/>
      <c r="AI244" s="210" t="str">
        <f t="shared" si="53"/>
        <v>Débil</v>
      </c>
      <c r="AJ244" s="21" t="str">
        <f>IFERROR(VLOOKUP((CONCATENATE(AG244,AI244)),Listados!$U$3:$V$11,2,FALSE),"")</f>
        <v/>
      </c>
      <c r="AK244" s="48">
        <f t="shared" si="54"/>
        <v>100</v>
      </c>
      <c r="AL244" s="355"/>
      <c r="AM244" s="357"/>
      <c r="AN244" s="173">
        <f>+IF(AND(Q244="Preventivo",AM241="Fuerte"),2,IF(AND(Q244="Preventivo",AM241="Moderado"),1,0))</f>
        <v>0</v>
      </c>
      <c r="AO244" s="173">
        <f t="shared" si="55"/>
        <v>0</v>
      </c>
      <c r="AP244" s="173">
        <f>+K241-AN244</f>
        <v>1</v>
      </c>
      <c r="AQ244" s="173">
        <f>+M241-AO244</f>
        <v>2</v>
      </c>
      <c r="AR244" s="346"/>
      <c r="AS244" s="346"/>
      <c r="AT244" s="346"/>
      <c r="AU244" s="346"/>
      <c r="AV244" s="311"/>
      <c r="AW244" s="312"/>
      <c r="AX244" s="313"/>
      <c r="AY244" s="311"/>
      <c r="AZ244" s="312"/>
      <c r="BA244" s="313"/>
      <c r="BB244" s="311"/>
      <c r="BC244" s="312"/>
      <c r="BD244" s="313"/>
    </row>
    <row r="245" spans="1:56" ht="15.75" thickBot="1">
      <c r="A245" s="329"/>
      <c r="B245" s="331"/>
      <c r="C245" s="332"/>
      <c r="D245" s="333"/>
      <c r="E245" s="203"/>
      <c r="F245" s="203"/>
      <c r="G245" s="204"/>
      <c r="H245" s="204"/>
      <c r="I245" s="204"/>
      <c r="J245" s="331"/>
      <c r="K245" s="349"/>
      <c r="L245" s="352"/>
      <c r="M245" s="349"/>
      <c r="N245" s="359"/>
      <c r="O245" s="203"/>
      <c r="P245" s="205"/>
      <c r="Q245" s="205"/>
      <c r="R245" s="215"/>
      <c r="S245" s="27" t="str">
        <f t="shared" si="44"/>
        <v/>
      </c>
      <c r="T245" s="215"/>
      <c r="U245" s="27" t="str">
        <f t="shared" si="45"/>
        <v/>
      </c>
      <c r="V245" s="208"/>
      <c r="W245" s="27" t="str">
        <f t="shared" si="46"/>
        <v/>
      </c>
      <c r="X245" s="208"/>
      <c r="Y245" s="27" t="str">
        <f t="shared" si="47"/>
        <v/>
      </c>
      <c r="Z245" s="208"/>
      <c r="AA245" s="27" t="str">
        <f t="shared" si="48"/>
        <v/>
      </c>
      <c r="AB245" s="208"/>
      <c r="AC245" s="27" t="str">
        <f t="shared" si="49"/>
        <v/>
      </c>
      <c r="AD245" s="208"/>
      <c r="AE245" s="27" t="str">
        <f t="shared" si="50"/>
        <v/>
      </c>
      <c r="AF245" s="48" t="str">
        <f t="shared" si="51"/>
        <v/>
      </c>
      <c r="AG245" s="48" t="str">
        <f t="shared" si="52"/>
        <v/>
      </c>
      <c r="AH245" s="209"/>
      <c r="AI245" s="210" t="str">
        <f t="shared" si="53"/>
        <v>Débil</v>
      </c>
      <c r="AJ245" s="21" t="str">
        <f>IFERROR(VLOOKUP((CONCATENATE(AG245,AI245)),Listados!$U$3:$V$11,2,FALSE),"")</f>
        <v/>
      </c>
      <c r="AK245" s="48">
        <f t="shared" si="54"/>
        <v>100</v>
      </c>
      <c r="AL245" s="355"/>
      <c r="AM245" s="357"/>
      <c r="AN245" s="173">
        <f>+IF(AND(Q245="Preventivo",AM241="Fuerte"),2,IF(AND(Q245="Preventivo",AM241="Moderado"),1,0))</f>
        <v>0</v>
      </c>
      <c r="AO245" s="173">
        <f t="shared" si="55"/>
        <v>0</v>
      </c>
      <c r="AP245" s="173">
        <f>+K241-AN245</f>
        <v>1</v>
      </c>
      <c r="AQ245" s="173">
        <f>+M241-AO245</f>
        <v>2</v>
      </c>
      <c r="AR245" s="346"/>
      <c r="AS245" s="346"/>
      <c r="AT245" s="346"/>
      <c r="AU245" s="346"/>
      <c r="AV245" s="311"/>
      <c r="AW245" s="312"/>
      <c r="AX245" s="313"/>
      <c r="AY245" s="311"/>
      <c r="AZ245" s="312"/>
      <c r="BA245" s="313"/>
      <c r="BB245" s="311"/>
      <c r="BC245" s="312"/>
      <c r="BD245" s="313"/>
    </row>
    <row r="246" spans="1:56" ht="15.75" thickBot="1">
      <c r="A246" s="330"/>
      <c r="B246" s="331"/>
      <c r="C246" s="332"/>
      <c r="D246" s="333"/>
      <c r="E246" s="203"/>
      <c r="F246" s="203"/>
      <c r="G246" s="204"/>
      <c r="H246" s="204"/>
      <c r="I246" s="204"/>
      <c r="J246" s="331"/>
      <c r="K246" s="350"/>
      <c r="L246" s="352"/>
      <c r="M246" s="350"/>
      <c r="N246" s="359"/>
      <c r="O246" s="203"/>
      <c r="P246" s="205"/>
      <c r="Q246" s="205"/>
      <c r="R246" s="215"/>
      <c r="S246" s="27" t="str">
        <f t="shared" si="44"/>
        <v/>
      </c>
      <c r="T246" s="215"/>
      <c r="U246" s="27" t="str">
        <f t="shared" si="45"/>
        <v/>
      </c>
      <c r="V246" s="208"/>
      <c r="W246" s="27" t="str">
        <f t="shared" si="46"/>
        <v/>
      </c>
      <c r="X246" s="208"/>
      <c r="Y246" s="27" t="str">
        <f t="shared" si="47"/>
        <v/>
      </c>
      <c r="Z246" s="208"/>
      <c r="AA246" s="27" t="str">
        <f t="shared" si="48"/>
        <v/>
      </c>
      <c r="AB246" s="208"/>
      <c r="AC246" s="27" t="str">
        <f t="shared" si="49"/>
        <v/>
      </c>
      <c r="AD246" s="208"/>
      <c r="AE246" s="27" t="str">
        <f t="shared" si="50"/>
        <v/>
      </c>
      <c r="AF246" s="48" t="str">
        <f t="shared" si="51"/>
        <v/>
      </c>
      <c r="AG246" s="48" t="str">
        <f t="shared" si="52"/>
        <v/>
      </c>
      <c r="AH246" s="209"/>
      <c r="AI246" s="210" t="str">
        <f t="shared" si="53"/>
        <v>Débil</v>
      </c>
      <c r="AJ246" s="21" t="str">
        <f>IFERROR(VLOOKUP((CONCATENATE(AG246,AI246)),Listados!$U$3:$V$11,2,FALSE),"")</f>
        <v/>
      </c>
      <c r="AK246" s="48">
        <f t="shared" si="54"/>
        <v>100</v>
      </c>
      <c r="AL246" s="356"/>
      <c r="AM246" s="357"/>
      <c r="AN246" s="173">
        <f>+IF(AND(Q246="Preventivo",AM241="Fuerte"),2,IF(AND(Q246="Preventivo",AM241="Moderado"),1,0))</f>
        <v>0</v>
      </c>
      <c r="AO246" s="173">
        <f t="shared" si="55"/>
        <v>0</v>
      </c>
      <c r="AP246" s="173">
        <f>+K241-AN246</f>
        <v>1</v>
      </c>
      <c r="AQ246" s="173">
        <f>+M241-AO246</f>
        <v>2</v>
      </c>
      <c r="AR246" s="347"/>
      <c r="AS246" s="347"/>
      <c r="AT246" s="347"/>
      <c r="AU246" s="347"/>
      <c r="AV246" s="311"/>
      <c r="AW246" s="312"/>
      <c r="AX246" s="313"/>
      <c r="AY246" s="311"/>
      <c r="AZ246" s="312"/>
      <c r="BA246" s="313"/>
      <c r="BB246" s="311"/>
      <c r="BC246" s="312"/>
      <c r="BD246" s="313"/>
    </row>
    <row r="247" spans="1:56" ht="114.75" thickBot="1">
      <c r="A247" s="328">
        <v>41</v>
      </c>
      <c r="B247" s="331" t="s">
        <v>50</v>
      </c>
      <c r="C247" s="332" t="str">
        <f>IFERROR(VLOOKUP(B247,Listados!B$3:C$20,2,FALSE),"")</f>
        <v xml:space="preserve">Coordinar y administrar la implementación del Sistema Integrado de Gestión del Ministerio de Justicia y de Derecho, con el fin de 
asegurar su mejora contlnua, conveniencia, eficacia y eficiencia conforme con los estándares adoptados. </v>
      </c>
      <c r="D247" s="333" t="s">
        <v>509</v>
      </c>
      <c r="E247" s="203" t="s">
        <v>52</v>
      </c>
      <c r="F247" s="203"/>
      <c r="G247" s="204" t="s">
        <v>510</v>
      </c>
      <c r="H247" s="204" t="s">
        <v>16</v>
      </c>
      <c r="I247" s="204" t="s">
        <v>511</v>
      </c>
      <c r="J247" s="331" t="s">
        <v>53</v>
      </c>
      <c r="K247" s="348">
        <f>+VLOOKUP(J247,Listados!$K$8:$L$12,2,0)</f>
        <v>4</v>
      </c>
      <c r="L247" s="351" t="s">
        <v>18</v>
      </c>
      <c r="M247" s="348">
        <f>+VLOOKUP(L247,Listados!$K$13:$L$17,2,0)</f>
        <v>1</v>
      </c>
      <c r="N247" s="358" t="str">
        <f>IF(AND(J247&lt;&gt;"",L247&lt;&gt;""),VLOOKUP(J247&amp;L247,Listados!$M$3:$N$27,2,FALSE),"")</f>
        <v>Moderado</v>
      </c>
      <c r="O247" s="203" t="s">
        <v>512</v>
      </c>
      <c r="P247" s="203" t="s">
        <v>510</v>
      </c>
      <c r="Q247" s="204" t="s">
        <v>123</v>
      </c>
      <c r="R247" s="215"/>
      <c r="S247" s="27" t="str">
        <f t="shared" si="44"/>
        <v/>
      </c>
      <c r="T247" s="215"/>
      <c r="U247" s="27" t="str">
        <f t="shared" si="45"/>
        <v/>
      </c>
      <c r="V247" s="208"/>
      <c r="W247" s="27" t="str">
        <f t="shared" si="46"/>
        <v/>
      </c>
      <c r="X247" s="208"/>
      <c r="Y247" s="27" t="str">
        <f t="shared" si="47"/>
        <v/>
      </c>
      <c r="Z247" s="208"/>
      <c r="AA247" s="27" t="str">
        <f t="shared" si="48"/>
        <v/>
      </c>
      <c r="AB247" s="208"/>
      <c r="AC247" s="27" t="str">
        <f t="shared" si="49"/>
        <v/>
      </c>
      <c r="AD247" s="208"/>
      <c r="AE247" s="27" t="str">
        <f t="shared" si="50"/>
        <v/>
      </c>
      <c r="AF247" s="48" t="str">
        <f t="shared" si="51"/>
        <v/>
      </c>
      <c r="AG247" s="48" t="str">
        <f t="shared" si="52"/>
        <v/>
      </c>
      <c r="AH247" s="209"/>
      <c r="AI247" s="210" t="str">
        <f t="shared" si="53"/>
        <v>Débil</v>
      </c>
      <c r="AJ247" s="21" t="str">
        <f>IFERROR(VLOOKUP((CONCATENATE(AG247,AI247)),Listados!$U$3:$V$11,2,FALSE),"")</f>
        <v/>
      </c>
      <c r="AK247" s="48">
        <f t="shared" si="54"/>
        <v>100</v>
      </c>
      <c r="AL247" s="354">
        <f>AVERAGE(AK247:AK252)</f>
        <v>100</v>
      </c>
      <c r="AM247" s="356" t="str">
        <f>IF(AL247&lt;=50, "Débil", IF(AL247&lt;=99,"Moderado","Fuerte"))</f>
        <v>Fuerte</v>
      </c>
      <c r="AN247" s="173">
        <f>+IF(AND(Q247="Preventivo",AM247="Fuerte"),2,IF(AND(Q247="Preventivo",AM247="Moderado"),1,0))</f>
        <v>0</v>
      </c>
      <c r="AO247" s="173">
        <f t="shared" si="55"/>
        <v>2</v>
      </c>
      <c r="AP247" s="173">
        <f>+K247-AN247</f>
        <v>4</v>
      </c>
      <c r="AQ247" s="173">
        <f>+M247-AO247</f>
        <v>-1</v>
      </c>
      <c r="AR247" s="345" t="str">
        <f>+VLOOKUP(MIN(AP247,AP248,AP249,AP250,AP251,AP252),Listados!$J$18:$K$24,2,TRUE)</f>
        <v>Improbable</v>
      </c>
      <c r="AS247" s="345" t="e">
        <f>+VLOOKUP(MIN(AQ247,AQ248,AQ249,AQ250,AQ251,AQ252),Listados!$J$27:$K$32,2,TRUE)</f>
        <v>#N/A</v>
      </c>
      <c r="AT247" s="345" t="e">
        <f>IF(AND(AR247&lt;&gt;"",AS247&lt;&gt;""),VLOOKUP(AR247&amp;AS247,Listados!$M$3:$N$27,2,FALSE),"")</f>
        <v>#N/A</v>
      </c>
      <c r="AU247" s="345" t="e">
        <f>+VLOOKUP(AT247,Listados!$P$3:$Q$6,2,FALSE)</f>
        <v>#N/A</v>
      </c>
      <c r="AV247" s="311"/>
      <c r="AW247" s="312"/>
      <c r="AX247" s="313"/>
      <c r="AY247" s="311"/>
      <c r="AZ247" s="312"/>
      <c r="BA247" s="313"/>
      <c r="BB247" s="311"/>
      <c r="BC247" s="312"/>
      <c r="BD247" s="313"/>
    </row>
    <row r="248" spans="1:56" ht="143.25" thickBot="1">
      <c r="A248" s="329"/>
      <c r="B248" s="331"/>
      <c r="C248" s="332"/>
      <c r="D248" s="333"/>
      <c r="E248" s="203"/>
      <c r="F248" s="203"/>
      <c r="G248" s="204" t="s">
        <v>513</v>
      </c>
      <c r="H248" s="204" t="s">
        <v>16</v>
      </c>
      <c r="I248" s="204" t="s">
        <v>514</v>
      </c>
      <c r="J248" s="331"/>
      <c r="K248" s="349"/>
      <c r="L248" s="352"/>
      <c r="M248" s="349"/>
      <c r="N248" s="359"/>
      <c r="O248" s="203" t="s">
        <v>515</v>
      </c>
      <c r="P248" s="203" t="s">
        <v>513</v>
      </c>
      <c r="Q248" s="204" t="s">
        <v>20</v>
      </c>
      <c r="R248" s="215"/>
      <c r="S248" s="27" t="str">
        <f t="shared" si="44"/>
        <v/>
      </c>
      <c r="T248" s="215"/>
      <c r="U248" s="27" t="str">
        <f t="shared" si="45"/>
        <v/>
      </c>
      <c r="V248" s="208"/>
      <c r="W248" s="27" t="str">
        <f t="shared" si="46"/>
        <v/>
      </c>
      <c r="X248" s="208"/>
      <c r="Y248" s="27" t="str">
        <f t="shared" si="47"/>
        <v/>
      </c>
      <c r="Z248" s="208"/>
      <c r="AA248" s="27" t="str">
        <f t="shared" si="48"/>
        <v/>
      </c>
      <c r="AB248" s="208"/>
      <c r="AC248" s="27" t="str">
        <f t="shared" si="49"/>
        <v/>
      </c>
      <c r="AD248" s="208"/>
      <c r="AE248" s="27" t="str">
        <f t="shared" si="50"/>
        <v/>
      </c>
      <c r="AF248" s="48" t="str">
        <f t="shared" si="51"/>
        <v/>
      </c>
      <c r="AG248" s="48" t="str">
        <f t="shared" si="52"/>
        <v/>
      </c>
      <c r="AH248" s="209"/>
      <c r="AI248" s="210" t="str">
        <f t="shared" si="53"/>
        <v>Débil</v>
      </c>
      <c r="AJ248" s="21" t="str">
        <f>IFERROR(VLOOKUP((CONCATENATE(AG248,AI248)),Listados!$U$3:$V$11,2,FALSE),"")</f>
        <v/>
      </c>
      <c r="AK248" s="48">
        <f t="shared" si="54"/>
        <v>100</v>
      </c>
      <c r="AL248" s="355"/>
      <c r="AM248" s="357"/>
      <c r="AN248" s="173">
        <f>+IF(AND(Q248="Preventivo",AM247="Fuerte"),2,IF(AND(Q248="Preventivo",AM247="Moderado"),1,0))</f>
        <v>2</v>
      </c>
      <c r="AO248" s="173">
        <f t="shared" si="55"/>
        <v>1</v>
      </c>
      <c r="AP248" s="173">
        <f>+K247-AN248</f>
        <v>2</v>
      </c>
      <c r="AQ248" s="173">
        <f>+M247-AO248</f>
        <v>0</v>
      </c>
      <c r="AR248" s="346"/>
      <c r="AS248" s="346"/>
      <c r="AT248" s="346"/>
      <c r="AU248" s="346"/>
      <c r="AV248" s="311"/>
      <c r="AW248" s="312"/>
      <c r="AX248" s="313"/>
      <c r="AY248" s="311"/>
      <c r="AZ248" s="312"/>
      <c r="BA248" s="313"/>
      <c r="BB248" s="311"/>
      <c r="BC248" s="312"/>
      <c r="BD248" s="313"/>
    </row>
    <row r="249" spans="1:56" ht="129" thickBot="1">
      <c r="A249" s="329"/>
      <c r="B249" s="331"/>
      <c r="C249" s="332"/>
      <c r="D249" s="333"/>
      <c r="E249" s="203"/>
      <c r="F249" s="203"/>
      <c r="G249" s="204" t="s">
        <v>516</v>
      </c>
      <c r="H249" s="204" t="s">
        <v>16</v>
      </c>
      <c r="I249" s="204" t="s">
        <v>517</v>
      </c>
      <c r="J249" s="331"/>
      <c r="K249" s="349"/>
      <c r="L249" s="352"/>
      <c r="M249" s="349"/>
      <c r="N249" s="359"/>
      <c r="O249" s="203" t="s">
        <v>518</v>
      </c>
      <c r="P249" s="203" t="s">
        <v>516</v>
      </c>
      <c r="Q249" s="204" t="s">
        <v>20</v>
      </c>
      <c r="R249" s="215"/>
      <c r="S249" s="27" t="str">
        <f t="shared" si="44"/>
        <v/>
      </c>
      <c r="T249" s="215"/>
      <c r="U249" s="27" t="str">
        <f t="shared" si="45"/>
        <v/>
      </c>
      <c r="V249" s="208"/>
      <c r="W249" s="27" t="str">
        <f t="shared" si="46"/>
        <v/>
      </c>
      <c r="X249" s="208"/>
      <c r="Y249" s="27" t="str">
        <f t="shared" si="47"/>
        <v/>
      </c>
      <c r="Z249" s="208"/>
      <c r="AA249" s="27" t="str">
        <f t="shared" si="48"/>
        <v/>
      </c>
      <c r="AB249" s="208"/>
      <c r="AC249" s="27" t="str">
        <f t="shared" si="49"/>
        <v/>
      </c>
      <c r="AD249" s="208"/>
      <c r="AE249" s="27" t="str">
        <f t="shared" si="50"/>
        <v/>
      </c>
      <c r="AF249" s="48" t="str">
        <f t="shared" si="51"/>
        <v/>
      </c>
      <c r="AG249" s="48" t="str">
        <f t="shared" si="52"/>
        <v/>
      </c>
      <c r="AH249" s="209"/>
      <c r="AI249" s="210" t="str">
        <f t="shared" si="53"/>
        <v>Débil</v>
      </c>
      <c r="AJ249" s="21" t="str">
        <f>IFERROR(VLOOKUP((CONCATENATE(AG249,AI249)),Listados!$U$3:$V$11,2,FALSE),"")</f>
        <v/>
      </c>
      <c r="AK249" s="48">
        <f t="shared" si="54"/>
        <v>100</v>
      </c>
      <c r="AL249" s="355"/>
      <c r="AM249" s="357"/>
      <c r="AN249" s="173">
        <f>+IF(AND(Q249="Preventivo",AM247="Fuerte"),2,IF(AND(Q249="Preventivo",AM247="Moderado"),1,0))</f>
        <v>2</v>
      </c>
      <c r="AO249" s="173">
        <f t="shared" si="55"/>
        <v>1</v>
      </c>
      <c r="AP249" s="173">
        <f>+K247-AN249</f>
        <v>2</v>
      </c>
      <c r="AQ249" s="173">
        <f>+M247-AO249</f>
        <v>0</v>
      </c>
      <c r="AR249" s="346"/>
      <c r="AS249" s="346"/>
      <c r="AT249" s="346"/>
      <c r="AU249" s="346"/>
      <c r="AV249" s="311"/>
      <c r="AW249" s="312"/>
      <c r="AX249" s="313"/>
      <c r="AY249" s="311"/>
      <c r="AZ249" s="312"/>
      <c r="BA249" s="313"/>
      <c r="BB249" s="311"/>
      <c r="BC249" s="312"/>
      <c r="BD249" s="313"/>
    </row>
    <row r="250" spans="1:56" ht="15.75" thickBot="1">
      <c r="A250" s="329"/>
      <c r="B250" s="331"/>
      <c r="C250" s="332"/>
      <c r="D250" s="333"/>
      <c r="E250" s="203"/>
      <c r="F250" s="203"/>
      <c r="G250" s="204"/>
      <c r="H250" s="204"/>
      <c r="I250" s="204"/>
      <c r="J250" s="331"/>
      <c r="K250" s="349"/>
      <c r="L250" s="352"/>
      <c r="M250" s="349"/>
      <c r="N250" s="359"/>
      <c r="O250" s="203"/>
      <c r="P250" s="205"/>
      <c r="Q250" s="205"/>
      <c r="R250" s="215"/>
      <c r="S250" s="27" t="str">
        <f t="shared" si="44"/>
        <v/>
      </c>
      <c r="T250" s="215"/>
      <c r="U250" s="27" t="str">
        <f t="shared" si="45"/>
        <v/>
      </c>
      <c r="V250" s="208"/>
      <c r="W250" s="27" t="str">
        <f t="shared" si="46"/>
        <v/>
      </c>
      <c r="X250" s="208"/>
      <c r="Y250" s="27" t="str">
        <f t="shared" si="47"/>
        <v/>
      </c>
      <c r="Z250" s="208"/>
      <c r="AA250" s="27" t="str">
        <f t="shared" si="48"/>
        <v/>
      </c>
      <c r="AB250" s="208"/>
      <c r="AC250" s="27" t="str">
        <f t="shared" si="49"/>
        <v/>
      </c>
      <c r="AD250" s="208"/>
      <c r="AE250" s="27" t="str">
        <f t="shared" si="50"/>
        <v/>
      </c>
      <c r="AF250" s="48" t="str">
        <f t="shared" si="51"/>
        <v/>
      </c>
      <c r="AG250" s="48" t="str">
        <f t="shared" si="52"/>
        <v/>
      </c>
      <c r="AH250" s="209"/>
      <c r="AI250" s="210" t="str">
        <f t="shared" si="53"/>
        <v>Débil</v>
      </c>
      <c r="AJ250" s="21" t="str">
        <f>IFERROR(VLOOKUP((CONCATENATE(AG250,AI250)),Listados!$U$3:$V$11,2,FALSE),"")</f>
        <v/>
      </c>
      <c r="AK250" s="48">
        <f t="shared" si="54"/>
        <v>100</v>
      </c>
      <c r="AL250" s="355"/>
      <c r="AM250" s="357"/>
      <c r="AN250" s="173">
        <f>+IF(AND(Q250="Preventivo",AM247="Fuerte"),2,IF(AND(Q250="Preventivo",AM247="Moderado"),1,0))</f>
        <v>0</v>
      </c>
      <c r="AO250" s="173">
        <f t="shared" si="55"/>
        <v>0</v>
      </c>
      <c r="AP250" s="173">
        <f>+K247-AN250</f>
        <v>4</v>
      </c>
      <c r="AQ250" s="173">
        <f>+M247-AO250</f>
        <v>1</v>
      </c>
      <c r="AR250" s="346"/>
      <c r="AS250" s="346"/>
      <c r="AT250" s="346"/>
      <c r="AU250" s="346"/>
      <c r="AV250" s="311"/>
      <c r="AW250" s="312"/>
      <c r="AX250" s="313"/>
      <c r="AY250" s="311"/>
      <c r="AZ250" s="312"/>
      <c r="BA250" s="313"/>
      <c r="BB250" s="311"/>
      <c r="BC250" s="312"/>
      <c r="BD250" s="313"/>
    </row>
    <row r="251" spans="1:56" ht="15.75" thickBot="1">
      <c r="A251" s="329"/>
      <c r="B251" s="331"/>
      <c r="C251" s="332"/>
      <c r="D251" s="333"/>
      <c r="E251" s="203"/>
      <c r="F251" s="203"/>
      <c r="G251" s="204"/>
      <c r="H251" s="204"/>
      <c r="I251" s="204"/>
      <c r="J251" s="331"/>
      <c r="K251" s="349"/>
      <c r="L251" s="352"/>
      <c r="M251" s="349"/>
      <c r="N251" s="359"/>
      <c r="O251" s="203"/>
      <c r="P251" s="205"/>
      <c r="Q251" s="205"/>
      <c r="R251" s="215"/>
      <c r="S251" s="27" t="str">
        <f t="shared" si="44"/>
        <v/>
      </c>
      <c r="T251" s="215"/>
      <c r="U251" s="27" t="str">
        <f t="shared" si="45"/>
        <v/>
      </c>
      <c r="V251" s="208"/>
      <c r="W251" s="27" t="str">
        <f t="shared" si="46"/>
        <v/>
      </c>
      <c r="X251" s="208"/>
      <c r="Y251" s="27" t="str">
        <f t="shared" si="47"/>
        <v/>
      </c>
      <c r="Z251" s="208"/>
      <c r="AA251" s="27" t="str">
        <f t="shared" si="48"/>
        <v/>
      </c>
      <c r="AB251" s="208"/>
      <c r="AC251" s="27" t="str">
        <f t="shared" si="49"/>
        <v/>
      </c>
      <c r="AD251" s="208"/>
      <c r="AE251" s="27" t="str">
        <f t="shared" si="50"/>
        <v/>
      </c>
      <c r="AF251" s="48" t="str">
        <f t="shared" si="51"/>
        <v/>
      </c>
      <c r="AG251" s="48" t="str">
        <f t="shared" si="52"/>
        <v/>
      </c>
      <c r="AH251" s="209"/>
      <c r="AI251" s="210" t="str">
        <f t="shared" si="53"/>
        <v>Débil</v>
      </c>
      <c r="AJ251" s="21" t="str">
        <f>IFERROR(VLOOKUP((CONCATENATE(AG251,AI251)),Listados!$U$3:$V$11,2,FALSE),"")</f>
        <v/>
      </c>
      <c r="AK251" s="48">
        <f t="shared" si="54"/>
        <v>100</v>
      </c>
      <c r="AL251" s="355"/>
      <c r="AM251" s="357"/>
      <c r="AN251" s="173">
        <f>+IF(AND(Q251="Preventivo",AM247="Fuerte"),2,IF(AND(Q251="Preventivo",AM247="Moderado"),1,0))</f>
        <v>0</v>
      </c>
      <c r="AO251" s="173">
        <f t="shared" si="55"/>
        <v>0</v>
      </c>
      <c r="AP251" s="173">
        <f>+K247-AN251</f>
        <v>4</v>
      </c>
      <c r="AQ251" s="173">
        <f>+M247-AO251</f>
        <v>1</v>
      </c>
      <c r="AR251" s="346"/>
      <c r="AS251" s="346"/>
      <c r="AT251" s="346"/>
      <c r="AU251" s="346"/>
      <c r="AV251" s="311"/>
      <c r="AW251" s="312"/>
      <c r="AX251" s="313"/>
      <c r="AY251" s="311"/>
      <c r="AZ251" s="312"/>
      <c r="BA251" s="313"/>
      <c r="BB251" s="311"/>
      <c r="BC251" s="312"/>
      <c r="BD251" s="313"/>
    </row>
    <row r="252" spans="1:56" ht="15.75" thickBot="1">
      <c r="A252" s="330"/>
      <c r="B252" s="331"/>
      <c r="C252" s="332"/>
      <c r="D252" s="333"/>
      <c r="E252" s="203"/>
      <c r="F252" s="203"/>
      <c r="G252" s="204"/>
      <c r="H252" s="204"/>
      <c r="I252" s="204"/>
      <c r="J252" s="331"/>
      <c r="K252" s="350"/>
      <c r="L252" s="352"/>
      <c r="M252" s="350"/>
      <c r="N252" s="359"/>
      <c r="O252" s="203"/>
      <c r="P252" s="205"/>
      <c r="Q252" s="205"/>
      <c r="R252" s="215"/>
      <c r="S252" s="27" t="str">
        <f t="shared" si="44"/>
        <v/>
      </c>
      <c r="T252" s="215"/>
      <c r="U252" s="27" t="str">
        <f t="shared" si="45"/>
        <v/>
      </c>
      <c r="V252" s="208"/>
      <c r="W252" s="27" t="str">
        <f t="shared" si="46"/>
        <v/>
      </c>
      <c r="X252" s="208"/>
      <c r="Y252" s="27" t="str">
        <f t="shared" si="47"/>
        <v/>
      </c>
      <c r="Z252" s="208"/>
      <c r="AA252" s="27" t="str">
        <f t="shared" si="48"/>
        <v/>
      </c>
      <c r="AB252" s="208"/>
      <c r="AC252" s="27" t="str">
        <f t="shared" si="49"/>
        <v/>
      </c>
      <c r="AD252" s="208"/>
      <c r="AE252" s="27" t="str">
        <f t="shared" si="50"/>
        <v/>
      </c>
      <c r="AF252" s="48" t="str">
        <f t="shared" si="51"/>
        <v/>
      </c>
      <c r="AG252" s="48" t="str">
        <f t="shared" si="52"/>
        <v/>
      </c>
      <c r="AH252" s="209"/>
      <c r="AI252" s="210" t="str">
        <f t="shared" si="53"/>
        <v>Débil</v>
      </c>
      <c r="AJ252" s="21" t="str">
        <f>IFERROR(VLOOKUP((CONCATENATE(AG252,AI252)),Listados!$U$3:$V$11,2,FALSE),"")</f>
        <v/>
      </c>
      <c r="AK252" s="48">
        <f t="shared" si="54"/>
        <v>100</v>
      </c>
      <c r="AL252" s="356"/>
      <c r="AM252" s="357"/>
      <c r="AN252" s="173">
        <f>+IF(AND(Q252="Preventivo",AM247="Fuerte"),2,IF(AND(Q252="Preventivo",AM247="Moderado"),1,0))</f>
        <v>0</v>
      </c>
      <c r="AO252" s="173">
        <f t="shared" si="55"/>
        <v>0</v>
      </c>
      <c r="AP252" s="173">
        <f>+K247-AN252</f>
        <v>4</v>
      </c>
      <c r="AQ252" s="173">
        <f>+M247-AO252</f>
        <v>1</v>
      </c>
      <c r="AR252" s="347"/>
      <c r="AS252" s="347"/>
      <c r="AT252" s="347"/>
      <c r="AU252" s="347"/>
      <c r="AV252" s="311"/>
      <c r="AW252" s="312"/>
      <c r="AX252" s="313"/>
      <c r="AY252" s="311"/>
      <c r="AZ252" s="312"/>
      <c r="BA252" s="313"/>
      <c r="BB252" s="311"/>
      <c r="BC252" s="312"/>
      <c r="BD252" s="313"/>
    </row>
    <row r="253" spans="1:56" ht="114.75" thickBot="1">
      <c r="A253" s="328">
        <v>42</v>
      </c>
      <c r="B253" s="331" t="s">
        <v>50</v>
      </c>
      <c r="C253" s="332" t="str">
        <f>IFERROR(VLOOKUP(B253,Listados!B$3:C$20,2,FALSE),"")</f>
        <v xml:space="preserve">Coordinar y administrar la implementación del Sistema Integrado de Gestión del Ministerio de Justicia y de Derecho, con el fin de 
asegurar su mejora contlnua, conveniencia, eficacia y eficiencia conforme con los estándares adoptados. </v>
      </c>
      <c r="D253" s="333" t="s">
        <v>519</v>
      </c>
      <c r="E253" s="203" t="s">
        <v>52</v>
      </c>
      <c r="F253" s="203"/>
      <c r="G253" s="204" t="s">
        <v>520</v>
      </c>
      <c r="H253" s="204" t="s">
        <v>16</v>
      </c>
      <c r="I253" s="204" t="s">
        <v>517</v>
      </c>
      <c r="J253" s="331" t="s">
        <v>53</v>
      </c>
      <c r="K253" s="348">
        <f>+VLOOKUP(J253,Listados!$K$8:$L$12,2,0)</f>
        <v>4</v>
      </c>
      <c r="L253" s="351" t="s">
        <v>18</v>
      </c>
      <c r="M253" s="348">
        <f>+VLOOKUP(L253,Listados!$K$13:$L$17,2,0)</f>
        <v>1</v>
      </c>
      <c r="N253" s="358" t="str">
        <f>IF(AND(J253&lt;&gt;"",L253&lt;&gt;""),VLOOKUP(J253&amp;L253,Listados!$M$3:$N$27,2,FALSE),"")</f>
        <v>Moderado</v>
      </c>
      <c r="O253" s="203" t="s">
        <v>521</v>
      </c>
      <c r="P253" s="204" t="s">
        <v>520</v>
      </c>
      <c r="Q253" s="204" t="s">
        <v>20</v>
      </c>
      <c r="R253" s="215"/>
      <c r="S253" s="27" t="str">
        <f t="shared" si="44"/>
        <v/>
      </c>
      <c r="T253" s="215"/>
      <c r="U253" s="27" t="str">
        <f t="shared" si="45"/>
        <v/>
      </c>
      <c r="V253" s="208"/>
      <c r="W253" s="27" t="str">
        <f t="shared" si="46"/>
        <v/>
      </c>
      <c r="X253" s="208"/>
      <c r="Y253" s="27" t="str">
        <f t="shared" si="47"/>
        <v/>
      </c>
      <c r="Z253" s="208"/>
      <c r="AA253" s="27" t="str">
        <f t="shared" si="48"/>
        <v/>
      </c>
      <c r="AB253" s="208"/>
      <c r="AC253" s="27" t="str">
        <f t="shared" si="49"/>
        <v/>
      </c>
      <c r="AD253" s="208"/>
      <c r="AE253" s="27" t="str">
        <f t="shared" si="50"/>
        <v/>
      </c>
      <c r="AF253" s="48" t="str">
        <f t="shared" si="51"/>
        <v/>
      </c>
      <c r="AG253" s="48" t="str">
        <f t="shared" si="52"/>
        <v/>
      </c>
      <c r="AH253" s="209"/>
      <c r="AI253" s="210" t="str">
        <f t="shared" si="53"/>
        <v>Débil</v>
      </c>
      <c r="AJ253" s="21" t="str">
        <f>IFERROR(VLOOKUP((CONCATENATE(AG253,AI253)),Listados!$U$3:$V$11,2,FALSE),"")</f>
        <v/>
      </c>
      <c r="AK253" s="48">
        <f t="shared" si="54"/>
        <v>100</v>
      </c>
      <c r="AL253" s="354">
        <f>AVERAGE(AK253:AK258)</f>
        <v>100</v>
      </c>
      <c r="AM253" s="356" t="str">
        <f>IF(AL253&lt;=50, "Débil", IF(AL253&lt;=99,"Moderado","Fuerte"))</f>
        <v>Fuerte</v>
      </c>
      <c r="AN253" s="173">
        <f>+IF(AND(Q253="Preventivo",AM253="Fuerte"),2,IF(AND(Q253="Preventivo",AM253="Moderado"),1,0))</f>
        <v>2</v>
      </c>
      <c r="AO253" s="173">
        <f t="shared" si="55"/>
        <v>1</v>
      </c>
      <c r="AP253" s="173">
        <f>+K253-AN253</f>
        <v>2</v>
      </c>
      <c r="AQ253" s="173">
        <f>+M253-AO253</f>
        <v>0</v>
      </c>
      <c r="AR253" s="345" t="str">
        <f>+VLOOKUP(MIN(AP253,AP254,AP255,AP256,AP257,AP258),Listados!$J$18:$K$24,2,TRUE)</f>
        <v>Improbable</v>
      </c>
      <c r="AS253" s="345" t="str">
        <f>+VLOOKUP(MIN(AQ253,AQ254,AQ255,AQ256,AQ257,AQ258),Listados!$J$27:$K$32,2,TRUE)</f>
        <v>Insignificante</v>
      </c>
      <c r="AT253" s="345" t="str">
        <f>IF(AND(AR253&lt;&gt;"",AS253&lt;&gt;""),VLOOKUP(AR253&amp;AS253,Listados!$M$3:$N$27,2,FALSE),"")</f>
        <v>Bajo</v>
      </c>
      <c r="AU253" s="345" t="str">
        <f>+VLOOKUP(AT253,Listados!$P$3:$Q$6,2,FALSE)</f>
        <v>Asumir el riesgo</v>
      </c>
      <c r="AV253" s="311"/>
      <c r="AW253" s="312"/>
      <c r="AX253" s="313"/>
      <c r="AY253" s="311"/>
      <c r="AZ253" s="312"/>
      <c r="BA253" s="313"/>
      <c r="BB253" s="311"/>
      <c r="BC253" s="312"/>
      <c r="BD253" s="313"/>
    </row>
    <row r="254" spans="1:56" ht="143.25" thickBot="1">
      <c r="A254" s="329"/>
      <c r="B254" s="331"/>
      <c r="C254" s="332"/>
      <c r="D254" s="333"/>
      <c r="E254" s="203"/>
      <c r="F254" s="203"/>
      <c r="G254" s="204" t="s">
        <v>522</v>
      </c>
      <c r="H254" s="204" t="s">
        <v>16</v>
      </c>
      <c r="I254" s="204" t="s">
        <v>523</v>
      </c>
      <c r="J254" s="331"/>
      <c r="K254" s="349"/>
      <c r="L254" s="352"/>
      <c r="M254" s="349"/>
      <c r="N254" s="359"/>
      <c r="O254" s="203" t="s">
        <v>524</v>
      </c>
      <c r="P254" s="204" t="s">
        <v>522</v>
      </c>
      <c r="Q254" s="204" t="s">
        <v>20</v>
      </c>
      <c r="R254" s="215"/>
      <c r="S254" s="27" t="str">
        <f t="shared" si="44"/>
        <v/>
      </c>
      <c r="T254" s="215"/>
      <c r="U254" s="27" t="str">
        <f t="shared" si="45"/>
        <v/>
      </c>
      <c r="V254" s="208"/>
      <c r="W254" s="27" t="str">
        <f t="shared" si="46"/>
        <v/>
      </c>
      <c r="X254" s="208"/>
      <c r="Y254" s="27" t="str">
        <f t="shared" si="47"/>
        <v/>
      </c>
      <c r="Z254" s="208"/>
      <c r="AA254" s="27" t="str">
        <f t="shared" si="48"/>
        <v/>
      </c>
      <c r="AB254" s="208"/>
      <c r="AC254" s="27" t="str">
        <f t="shared" si="49"/>
        <v/>
      </c>
      <c r="AD254" s="208"/>
      <c r="AE254" s="27" t="str">
        <f t="shared" si="50"/>
        <v/>
      </c>
      <c r="AF254" s="48" t="str">
        <f t="shared" si="51"/>
        <v/>
      </c>
      <c r="AG254" s="48" t="str">
        <f t="shared" si="52"/>
        <v/>
      </c>
      <c r="AH254" s="209"/>
      <c r="AI254" s="210" t="str">
        <f t="shared" si="53"/>
        <v>Débil</v>
      </c>
      <c r="AJ254" s="21" t="str">
        <f>IFERROR(VLOOKUP((CONCATENATE(AG254,AI254)),Listados!$U$3:$V$11,2,FALSE),"")</f>
        <v/>
      </c>
      <c r="AK254" s="48">
        <f t="shared" si="54"/>
        <v>100</v>
      </c>
      <c r="AL254" s="355"/>
      <c r="AM254" s="357"/>
      <c r="AN254" s="173">
        <f>+IF(AND(Q254="Preventivo",AM253="Fuerte"),2,IF(AND(Q254="Preventivo",AM253="Moderado"),1,0))</f>
        <v>2</v>
      </c>
      <c r="AO254" s="173">
        <f t="shared" si="55"/>
        <v>1</v>
      </c>
      <c r="AP254" s="173">
        <f>+K253-AN254</f>
        <v>2</v>
      </c>
      <c r="AQ254" s="173">
        <f>+M253-AO254</f>
        <v>0</v>
      </c>
      <c r="AR254" s="346"/>
      <c r="AS254" s="346"/>
      <c r="AT254" s="346"/>
      <c r="AU254" s="346"/>
      <c r="AV254" s="311"/>
      <c r="AW254" s="312"/>
      <c r="AX254" s="313"/>
      <c r="AY254" s="311"/>
      <c r="AZ254" s="312"/>
      <c r="BA254" s="313"/>
      <c r="BB254" s="311"/>
      <c r="BC254" s="312"/>
      <c r="BD254" s="313"/>
    </row>
    <row r="255" spans="1:56" ht="29.25" thickBot="1">
      <c r="A255" s="329"/>
      <c r="B255" s="331"/>
      <c r="C255" s="332"/>
      <c r="D255" s="333"/>
      <c r="E255" s="203"/>
      <c r="F255" s="203"/>
      <c r="G255" s="204"/>
      <c r="H255" s="204"/>
      <c r="I255" s="204" t="s">
        <v>525</v>
      </c>
      <c r="J255" s="331"/>
      <c r="K255" s="349"/>
      <c r="L255" s="352"/>
      <c r="M255" s="349"/>
      <c r="N255" s="359"/>
      <c r="O255" s="203"/>
      <c r="P255" s="205"/>
      <c r="Q255" s="205"/>
      <c r="R255" s="215"/>
      <c r="S255" s="27" t="str">
        <f t="shared" si="44"/>
        <v/>
      </c>
      <c r="T255" s="215"/>
      <c r="U255" s="27" t="str">
        <f t="shared" si="45"/>
        <v/>
      </c>
      <c r="V255" s="208"/>
      <c r="W255" s="27" t="str">
        <f t="shared" si="46"/>
        <v/>
      </c>
      <c r="X255" s="208"/>
      <c r="Y255" s="27" t="str">
        <f t="shared" si="47"/>
        <v/>
      </c>
      <c r="Z255" s="208"/>
      <c r="AA255" s="27" t="str">
        <f t="shared" si="48"/>
        <v/>
      </c>
      <c r="AB255" s="208"/>
      <c r="AC255" s="27" t="str">
        <f t="shared" si="49"/>
        <v/>
      </c>
      <c r="AD255" s="208"/>
      <c r="AE255" s="27" t="str">
        <f t="shared" si="50"/>
        <v/>
      </c>
      <c r="AF255" s="48" t="str">
        <f t="shared" si="51"/>
        <v/>
      </c>
      <c r="AG255" s="48" t="str">
        <f t="shared" si="52"/>
        <v/>
      </c>
      <c r="AH255" s="209"/>
      <c r="AI255" s="210" t="str">
        <f t="shared" si="53"/>
        <v>Débil</v>
      </c>
      <c r="AJ255" s="21" t="str">
        <f>IFERROR(VLOOKUP((CONCATENATE(AG255,AI255)),Listados!$U$3:$V$11,2,FALSE),"")</f>
        <v/>
      </c>
      <c r="AK255" s="48">
        <f t="shared" si="54"/>
        <v>100</v>
      </c>
      <c r="AL255" s="355"/>
      <c r="AM255" s="357"/>
      <c r="AN255" s="173">
        <f>+IF(AND(Q255="Preventivo",AM253="Fuerte"),2,IF(AND(Q255="Preventivo",AM253="Moderado"),1,0))</f>
        <v>0</v>
      </c>
      <c r="AO255" s="173">
        <f t="shared" si="55"/>
        <v>0</v>
      </c>
      <c r="AP255" s="173">
        <f>+K253-AN255</f>
        <v>4</v>
      </c>
      <c r="AQ255" s="173">
        <f>+M253-AO255</f>
        <v>1</v>
      </c>
      <c r="AR255" s="346"/>
      <c r="AS255" s="346"/>
      <c r="AT255" s="346"/>
      <c r="AU255" s="346"/>
      <c r="AV255" s="311"/>
      <c r="AW255" s="312"/>
      <c r="AX255" s="313"/>
      <c r="AY255" s="311"/>
      <c r="AZ255" s="312"/>
      <c r="BA255" s="313"/>
      <c r="BB255" s="311"/>
      <c r="BC255" s="312"/>
      <c r="BD255" s="313"/>
    </row>
    <row r="256" spans="1:56" ht="15.75" thickBot="1">
      <c r="A256" s="329"/>
      <c r="B256" s="331"/>
      <c r="C256" s="332"/>
      <c r="D256" s="333"/>
      <c r="E256" s="203"/>
      <c r="F256" s="203"/>
      <c r="G256" s="204"/>
      <c r="H256" s="204"/>
      <c r="I256" s="204"/>
      <c r="J256" s="331"/>
      <c r="K256" s="349"/>
      <c r="L256" s="352"/>
      <c r="M256" s="349"/>
      <c r="N256" s="359"/>
      <c r="O256" s="203"/>
      <c r="P256" s="205"/>
      <c r="Q256" s="205"/>
      <c r="R256" s="215"/>
      <c r="S256" s="27" t="str">
        <f t="shared" si="44"/>
        <v/>
      </c>
      <c r="T256" s="215"/>
      <c r="U256" s="27" t="str">
        <f t="shared" si="45"/>
        <v/>
      </c>
      <c r="V256" s="208"/>
      <c r="W256" s="27" t="str">
        <f t="shared" si="46"/>
        <v/>
      </c>
      <c r="X256" s="208"/>
      <c r="Y256" s="27" t="str">
        <f t="shared" si="47"/>
        <v/>
      </c>
      <c r="Z256" s="208"/>
      <c r="AA256" s="27" t="str">
        <f t="shared" si="48"/>
        <v/>
      </c>
      <c r="AB256" s="208"/>
      <c r="AC256" s="27" t="str">
        <f t="shared" si="49"/>
        <v/>
      </c>
      <c r="AD256" s="208"/>
      <c r="AE256" s="27" t="str">
        <f t="shared" si="50"/>
        <v/>
      </c>
      <c r="AF256" s="48" t="str">
        <f t="shared" si="51"/>
        <v/>
      </c>
      <c r="AG256" s="48" t="str">
        <f t="shared" si="52"/>
        <v/>
      </c>
      <c r="AH256" s="209"/>
      <c r="AI256" s="210" t="str">
        <f t="shared" si="53"/>
        <v>Débil</v>
      </c>
      <c r="AJ256" s="21" t="str">
        <f>IFERROR(VLOOKUP((CONCATENATE(AG256,AI256)),Listados!$U$3:$V$11,2,FALSE),"")</f>
        <v/>
      </c>
      <c r="AK256" s="48">
        <f t="shared" si="54"/>
        <v>100</v>
      </c>
      <c r="AL256" s="355"/>
      <c r="AM256" s="357"/>
      <c r="AN256" s="173">
        <f>+IF(AND(Q256="Preventivo",AM253="Fuerte"),2,IF(AND(Q256="Preventivo",AM253="Moderado"),1,0))</f>
        <v>0</v>
      </c>
      <c r="AO256" s="173">
        <f t="shared" si="55"/>
        <v>0</v>
      </c>
      <c r="AP256" s="173">
        <f>+K253-AN256</f>
        <v>4</v>
      </c>
      <c r="AQ256" s="173">
        <f>+M253-AO256</f>
        <v>1</v>
      </c>
      <c r="AR256" s="346"/>
      <c r="AS256" s="346"/>
      <c r="AT256" s="346"/>
      <c r="AU256" s="346"/>
      <c r="AV256" s="311"/>
      <c r="AW256" s="312"/>
      <c r="AX256" s="313"/>
      <c r="AY256" s="311"/>
      <c r="AZ256" s="312"/>
      <c r="BA256" s="313"/>
      <c r="BB256" s="311"/>
      <c r="BC256" s="312"/>
      <c r="BD256" s="313"/>
    </row>
    <row r="257" spans="1:56" ht="15.75" thickBot="1">
      <c r="A257" s="329"/>
      <c r="B257" s="331"/>
      <c r="C257" s="332"/>
      <c r="D257" s="333"/>
      <c r="E257" s="203"/>
      <c r="F257" s="203"/>
      <c r="G257" s="204"/>
      <c r="H257" s="204"/>
      <c r="I257" s="204"/>
      <c r="J257" s="331"/>
      <c r="K257" s="349"/>
      <c r="L257" s="352"/>
      <c r="M257" s="349"/>
      <c r="N257" s="359"/>
      <c r="O257" s="203"/>
      <c r="P257" s="205"/>
      <c r="Q257" s="205"/>
      <c r="R257" s="215"/>
      <c r="S257" s="27" t="str">
        <f t="shared" si="44"/>
        <v/>
      </c>
      <c r="T257" s="215"/>
      <c r="U257" s="27" t="str">
        <f t="shared" si="45"/>
        <v/>
      </c>
      <c r="V257" s="208"/>
      <c r="W257" s="27" t="str">
        <f t="shared" si="46"/>
        <v/>
      </c>
      <c r="X257" s="208"/>
      <c r="Y257" s="27" t="str">
        <f t="shared" si="47"/>
        <v/>
      </c>
      <c r="Z257" s="208"/>
      <c r="AA257" s="27" t="str">
        <f t="shared" si="48"/>
        <v/>
      </c>
      <c r="AB257" s="208"/>
      <c r="AC257" s="27" t="str">
        <f t="shared" si="49"/>
        <v/>
      </c>
      <c r="AD257" s="208"/>
      <c r="AE257" s="27" t="str">
        <f t="shared" si="50"/>
        <v/>
      </c>
      <c r="AF257" s="48" t="str">
        <f t="shared" si="51"/>
        <v/>
      </c>
      <c r="AG257" s="48" t="str">
        <f t="shared" si="52"/>
        <v/>
      </c>
      <c r="AH257" s="209"/>
      <c r="AI257" s="210" t="str">
        <f t="shared" si="53"/>
        <v>Débil</v>
      </c>
      <c r="AJ257" s="21" t="str">
        <f>IFERROR(VLOOKUP((CONCATENATE(AG257,AI257)),Listados!$U$3:$V$11,2,FALSE),"")</f>
        <v/>
      </c>
      <c r="AK257" s="48">
        <f t="shared" si="54"/>
        <v>100</v>
      </c>
      <c r="AL257" s="355"/>
      <c r="AM257" s="357"/>
      <c r="AN257" s="173">
        <f>+IF(AND(Q257="Preventivo",AM253="Fuerte"),2,IF(AND(Q257="Preventivo",AM253="Moderado"),1,0))</f>
        <v>0</v>
      </c>
      <c r="AO257" s="173">
        <f t="shared" si="55"/>
        <v>0</v>
      </c>
      <c r="AP257" s="173">
        <f>+K253-AN257</f>
        <v>4</v>
      </c>
      <c r="AQ257" s="173">
        <f>+M253-AO257</f>
        <v>1</v>
      </c>
      <c r="AR257" s="346"/>
      <c r="AS257" s="346"/>
      <c r="AT257" s="346"/>
      <c r="AU257" s="346"/>
      <c r="AV257" s="311"/>
      <c r="AW257" s="312"/>
      <c r="AX257" s="313"/>
      <c r="AY257" s="311"/>
      <c r="AZ257" s="312"/>
      <c r="BA257" s="313"/>
      <c r="BB257" s="311"/>
      <c r="BC257" s="312"/>
      <c r="BD257" s="313"/>
    </row>
    <row r="258" spans="1:56" ht="15.75" thickBot="1">
      <c r="A258" s="330"/>
      <c r="B258" s="331"/>
      <c r="C258" s="332"/>
      <c r="D258" s="333"/>
      <c r="E258" s="203"/>
      <c r="F258" s="203"/>
      <c r="G258" s="204"/>
      <c r="H258" s="204"/>
      <c r="I258" s="204"/>
      <c r="J258" s="331"/>
      <c r="K258" s="350"/>
      <c r="L258" s="352"/>
      <c r="M258" s="350"/>
      <c r="N258" s="359"/>
      <c r="O258" s="203"/>
      <c r="P258" s="205"/>
      <c r="Q258" s="205"/>
      <c r="R258" s="215"/>
      <c r="S258" s="27" t="str">
        <f t="shared" si="44"/>
        <v/>
      </c>
      <c r="T258" s="215"/>
      <c r="U258" s="27" t="str">
        <f t="shared" si="45"/>
        <v/>
      </c>
      <c r="V258" s="208"/>
      <c r="W258" s="27" t="str">
        <f t="shared" si="46"/>
        <v/>
      </c>
      <c r="X258" s="208"/>
      <c r="Y258" s="27" t="str">
        <f t="shared" si="47"/>
        <v/>
      </c>
      <c r="Z258" s="208"/>
      <c r="AA258" s="27" t="str">
        <f t="shared" si="48"/>
        <v/>
      </c>
      <c r="AB258" s="208"/>
      <c r="AC258" s="27" t="str">
        <f t="shared" si="49"/>
        <v/>
      </c>
      <c r="AD258" s="208"/>
      <c r="AE258" s="27" t="str">
        <f t="shared" si="50"/>
        <v/>
      </c>
      <c r="AF258" s="48" t="str">
        <f t="shared" si="51"/>
        <v/>
      </c>
      <c r="AG258" s="48" t="str">
        <f t="shared" si="52"/>
        <v/>
      </c>
      <c r="AH258" s="209"/>
      <c r="AI258" s="210" t="str">
        <f t="shared" si="53"/>
        <v>Débil</v>
      </c>
      <c r="AJ258" s="21" t="str">
        <f>IFERROR(VLOOKUP((CONCATENATE(AG258,AI258)),Listados!$U$3:$V$11,2,FALSE),"")</f>
        <v/>
      </c>
      <c r="AK258" s="48">
        <f t="shared" si="54"/>
        <v>100</v>
      </c>
      <c r="AL258" s="356"/>
      <c r="AM258" s="357"/>
      <c r="AN258" s="173">
        <f>+IF(AND(Q258="Preventivo",AM253="Fuerte"),2,IF(AND(Q258="Preventivo",AM253="Moderado"),1,0))</f>
        <v>0</v>
      </c>
      <c r="AO258" s="173">
        <f t="shared" si="55"/>
        <v>0</v>
      </c>
      <c r="AP258" s="173">
        <f>+K253-AN258</f>
        <v>4</v>
      </c>
      <c r="AQ258" s="173">
        <f>+M253-AO258</f>
        <v>1</v>
      </c>
      <c r="AR258" s="347"/>
      <c r="AS258" s="347"/>
      <c r="AT258" s="347"/>
      <c r="AU258" s="347"/>
      <c r="AV258" s="311"/>
      <c r="AW258" s="312"/>
      <c r="AX258" s="313"/>
      <c r="AY258" s="311"/>
      <c r="AZ258" s="312"/>
      <c r="BA258" s="313"/>
      <c r="BB258" s="311"/>
      <c r="BC258" s="312"/>
      <c r="BD258" s="313"/>
    </row>
    <row r="259" spans="1:56" ht="143.25" thickBot="1">
      <c r="A259" s="328">
        <v>43</v>
      </c>
      <c r="B259" s="331" t="s">
        <v>60</v>
      </c>
      <c r="C259" s="332" t="str">
        <f>IFERROR(VLOOKUP(B259,Listados!B$3:C$20,2,FALSE),"")</f>
        <v xml:space="preserve">Orientar la gestion de la entidad y del sector para que las acciones se deriven de una planeación eficiente y articulada que optimice 
el uso de los recursos en el logro de los objetivos institucionales. </v>
      </c>
      <c r="D259" s="333" t="s">
        <v>526</v>
      </c>
      <c r="E259" s="203" t="s">
        <v>52</v>
      </c>
      <c r="F259" s="203"/>
      <c r="G259" s="204" t="s">
        <v>527</v>
      </c>
      <c r="H259" s="204" t="s">
        <v>16</v>
      </c>
      <c r="I259" s="204" t="s">
        <v>528</v>
      </c>
      <c r="J259" s="331" t="s">
        <v>53</v>
      </c>
      <c r="K259" s="348">
        <f>+VLOOKUP(J259,Listados!$K$8:$L$12,2,0)</f>
        <v>4</v>
      </c>
      <c r="L259" s="351" t="s">
        <v>36</v>
      </c>
      <c r="M259" s="348">
        <f>+VLOOKUP(L259,Listados!$K$13:$L$17,2,0)</f>
        <v>3</v>
      </c>
      <c r="N259" s="358" t="str">
        <f>IF(AND(J259&lt;&gt;"",L259&lt;&gt;""),VLOOKUP(J259&amp;L259,Listados!$M$3:$N$27,2,FALSE),"")</f>
        <v>Alto</v>
      </c>
      <c r="O259" s="203" t="s">
        <v>529</v>
      </c>
      <c r="P259" s="203" t="s">
        <v>530</v>
      </c>
      <c r="Q259" s="204" t="s">
        <v>20</v>
      </c>
      <c r="R259" s="215"/>
      <c r="S259" s="27" t="str">
        <f t="shared" si="44"/>
        <v/>
      </c>
      <c r="T259" s="215"/>
      <c r="U259" s="27" t="str">
        <f t="shared" si="45"/>
        <v/>
      </c>
      <c r="V259" s="208"/>
      <c r="W259" s="27" t="str">
        <f t="shared" si="46"/>
        <v/>
      </c>
      <c r="X259" s="208"/>
      <c r="Y259" s="27" t="str">
        <f t="shared" si="47"/>
        <v/>
      </c>
      <c r="Z259" s="208"/>
      <c r="AA259" s="27" t="str">
        <f t="shared" si="48"/>
        <v/>
      </c>
      <c r="AB259" s="208"/>
      <c r="AC259" s="27" t="str">
        <f t="shared" si="49"/>
        <v/>
      </c>
      <c r="AD259" s="208"/>
      <c r="AE259" s="27" t="str">
        <f t="shared" si="50"/>
        <v/>
      </c>
      <c r="AF259" s="48" t="str">
        <f t="shared" si="51"/>
        <v/>
      </c>
      <c r="AG259" s="48" t="str">
        <f t="shared" si="52"/>
        <v/>
      </c>
      <c r="AH259" s="209"/>
      <c r="AI259" s="210" t="str">
        <f t="shared" si="53"/>
        <v>Débil</v>
      </c>
      <c r="AJ259" s="21" t="str">
        <f>IFERROR(VLOOKUP((CONCATENATE(AG259,AI259)),Listados!$U$3:$V$11,2,FALSE),"")</f>
        <v/>
      </c>
      <c r="AK259" s="48">
        <f t="shared" si="54"/>
        <v>100</v>
      </c>
      <c r="AL259" s="354">
        <f>AVERAGE(AK259:AK264)</f>
        <v>100</v>
      </c>
      <c r="AM259" s="356" t="str">
        <f>IF(AL259&lt;=50, "Débil", IF(AL259&lt;=99,"Moderado","Fuerte"))</f>
        <v>Fuerte</v>
      </c>
      <c r="AN259" s="173">
        <f>+IF(AND(Q259="Preventivo",AM259="Fuerte"),2,IF(AND(Q259="Preventivo",AM259="Moderado"),1,0))</f>
        <v>2</v>
      </c>
      <c r="AO259" s="173">
        <f t="shared" si="55"/>
        <v>1</v>
      </c>
      <c r="AP259" s="173">
        <f>+K259-AN259</f>
        <v>2</v>
      </c>
      <c r="AQ259" s="173">
        <f>+M259-AO259</f>
        <v>2</v>
      </c>
      <c r="AR259" s="345" t="str">
        <f>+VLOOKUP(MIN(AP259,AP260,AP261,AP262,AP263,AP264),Listados!$J$18:$K$24,2,TRUE)</f>
        <v>Improbable</v>
      </c>
      <c r="AS259" s="345" t="str">
        <f>+VLOOKUP(MIN(AQ259,AQ260,AQ261,AQ262,AQ263,AQ264),Listados!$J$27:$K$32,2,TRUE)</f>
        <v>Menor</v>
      </c>
      <c r="AT259" s="345" t="str">
        <f>IF(AND(AR259&lt;&gt;"",AS259&lt;&gt;""),VLOOKUP(AR259&amp;AS259,Listados!$M$3:$N$27,2,FALSE),"")</f>
        <v>Bajo</v>
      </c>
      <c r="AU259" s="345" t="str">
        <f>+VLOOKUP(AT259,Listados!$P$3:$Q$6,2,FALSE)</f>
        <v>Asumir el riesgo</v>
      </c>
      <c r="AV259" s="311"/>
      <c r="AW259" s="312"/>
      <c r="AX259" s="313"/>
      <c r="AY259" s="311"/>
      <c r="AZ259" s="312"/>
      <c r="BA259" s="313"/>
      <c r="BB259" s="311"/>
      <c r="BC259" s="312"/>
      <c r="BD259" s="313"/>
    </row>
    <row r="260" spans="1:56" ht="143.25" thickBot="1">
      <c r="A260" s="329"/>
      <c r="B260" s="331"/>
      <c r="C260" s="332"/>
      <c r="D260" s="333"/>
      <c r="E260" s="203"/>
      <c r="F260" s="203"/>
      <c r="G260" s="204" t="s">
        <v>531</v>
      </c>
      <c r="H260" s="204" t="s">
        <v>16</v>
      </c>
      <c r="I260" s="204" t="s">
        <v>532</v>
      </c>
      <c r="J260" s="331"/>
      <c r="K260" s="349"/>
      <c r="L260" s="352"/>
      <c r="M260" s="349"/>
      <c r="N260" s="359"/>
      <c r="O260" s="203" t="s">
        <v>533</v>
      </c>
      <c r="P260" s="203" t="s">
        <v>527</v>
      </c>
      <c r="Q260" s="204" t="s">
        <v>20</v>
      </c>
      <c r="R260" s="215"/>
      <c r="S260" s="27" t="str">
        <f t="shared" si="44"/>
        <v/>
      </c>
      <c r="T260" s="215"/>
      <c r="U260" s="27" t="str">
        <f t="shared" si="45"/>
        <v/>
      </c>
      <c r="V260" s="208"/>
      <c r="W260" s="27" t="str">
        <f t="shared" si="46"/>
        <v/>
      </c>
      <c r="X260" s="208"/>
      <c r="Y260" s="27" t="str">
        <f t="shared" si="47"/>
        <v/>
      </c>
      <c r="Z260" s="208"/>
      <c r="AA260" s="27" t="str">
        <f t="shared" si="48"/>
        <v/>
      </c>
      <c r="AB260" s="208"/>
      <c r="AC260" s="27" t="str">
        <f t="shared" si="49"/>
        <v/>
      </c>
      <c r="AD260" s="208"/>
      <c r="AE260" s="27" t="str">
        <f t="shared" si="50"/>
        <v/>
      </c>
      <c r="AF260" s="48" t="str">
        <f t="shared" si="51"/>
        <v/>
      </c>
      <c r="AG260" s="48" t="str">
        <f t="shared" si="52"/>
        <v/>
      </c>
      <c r="AH260" s="209"/>
      <c r="AI260" s="210" t="str">
        <f t="shared" si="53"/>
        <v>Débil</v>
      </c>
      <c r="AJ260" s="21" t="str">
        <f>IFERROR(VLOOKUP((CONCATENATE(AG260,AI260)),Listados!$U$3:$V$11,2,FALSE),"")</f>
        <v/>
      </c>
      <c r="AK260" s="48">
        <f t="shared" si="54"/>
        <v>100</v>
      </c>
      <c r="AL260" s="355"/>
      <c r="AM260" s="357"/>
      <c r="AN260" s="173">
        <f>+IF(AND(Q260="Preventivo",AM259="Fuerte"),2,IF(AND(Q260="Preventivo",AM259="Moderado"),1,0))</f>
        <v>2</v>
      </c>
      <c r="AO260" s="173">
        <f t="shared" si="55"/>
        <v>1</v>
      </c>
      <c r="AP260" s="173">
        <f>+K259-AN260</f>
        <v>2</v>
      </c>
      <c r="AQ260" s="173">
        <f>+M259-AO260</f>
        <v>2</v>
      </c>
      <c r="AR260" s="346"/>
      <c r="AS260" s="346"/>
      <c r="AT260" s="346"/>
      <c r="AU260" s="346"/>
      <c r="AV260" s="311"/>
      <c r="AW260" s="312"/>
      <c r="AX260" s="313"/>
      <c r="AY260" s="311"/>
      <c r="AZ260" s="312"/>
      <c r="BA260" s="313"/>
      <c r="BB260" s="311"/>
      <c r="BC260" s="312"/>
      <c r="BD260" s="313"/>
    </row>
    <row r="261" spans="1:56" ht="143.25" thickBot="1">
      <c r="A261" s="329"/>
      <c r="B261" s="331"/>
      <c r="C261" s="332"/>
      <c r="D261" s="333"/>
      <c r="E261" s="203"/>
      <c r="F261" s="203"/>
      <c r="G261" s="204" t="s">
        <v>530</v>
      </c>
      <c r="H261" s="204" t="s">
        <v>16</v>
      </c>
      <c r="I261" s="204" t="s">
        <v>534</v>
      </c>
      <c r="J261" s="331"/>
      <c r="K261" s="349"/>
      <c r="L261" s="352"/>
      <c r="M261" s="349"/>
      <c r="N261" s="359"/>
      <c r="O261" s="203" t="s">
        <v>535</v>
      </c>
      <c r="P261" s="203" t="s">
        <v>530</v>
      </c>
      <c r="Q261" s="204" t="s">
        <v>20</v>
      </c>
      <c r="R261" s="215"/>
      <c r="S261" s="27" t="str">
        <f t="shared" si="44"/>
        <v/>
      </c>
      <c r="T261" s="215"/>
      <c r="U261" s="27" t="str">
        <f t="shared" si="45"/>
        <v/>
      </c>
      <c r="V261" s="208"/>
      <c r="W261" s="27" t="str">
        <f t="shared" si="46"/>
        <v/>
      </c>
      <c r="X261" s="208"/>
      <c r="Y261" s="27" t="str">
        <f t="shared" si="47"/>
        <v/>
      </c>
      <c r="Z261" s="208"/>
      <c r="AA261" s="27" t="str">
        <f t="shared" si="48"/>
        <v/>
      </c>
      <c r="AB261" s="208"/>
      <c r="AC261" s="27" t="str">
        <f t="shared" si="49"/>
        <v/>
      </c>
      <c r="AD261" s="208"/>
      <c r="AE261" s="27" t="str">
        <f t="shared" si="50"/>
        <v/>
      </c>
      <c r="AF261" s="48" t="str">
        <f t="shared" si="51"/>
        <v/>
      </c>
      <c r="AG261" s="48" t="str">
        <f t="shared" si="52"/>
        <v/>
      </c>
      <c r="AH261" s="209"/>
      <c r="AI261" s="210" t="str">
        <f t="shared" si="53"/>
        <v>Débil</v>
      </c>
      <c r="AJ261" s="21" t="str">
        <f>IFERROR(VLOOKUP((CONCATENATE(AG261,AI261)),Listados!$U$3:$V$11,2,FALSE),"")</f>
        <v/>
      </c>
      <c r="AK261" s="48">
        <f t="shared" si="54"/>
        <v>100</v>
      </c>
      <c r="AL261" s="355"/>
      <c r="AM261" s="357"/>
      <c r="AN261" s="173">
        <f>+IF(AND(Q261="Preventivo",AM259="Fuerte"),2,IF(AND(Q261="Preventivo",AM259="Moderado"),1,0))</f>
        <v>2</v>
      </c>
      <c r="AO261" s="173">
        <f t="shared" si="55"/>
        <v>1</v>
      </c>
      <c r="AP261" s="173">
        <f>+K259-AN261</f>
        <v>2</v>
      </c>
      <c r="AQ261" s="173">
        <f>+M259-AO261</f>
        <v>2</v>
      </c>
      <c r="AR261" s="346"/>
      <c r="AS261" s="346"/>
      <c r="AT261" s="346"/>
      <c r="AU261" s="346"/>
      <c r="AV261" s="311"/>
      <c r="AW261" s="312"/>
      <c r="AX261" s="313"/>
      <c r="AY261" s="311"/>
      <c r="AZ261" s="312"/>
      <c r="BA261" s="313"/>
      <c r="BB261" s="311"/>
      <c r="BC261" s="312"/>
      <c r="BD261" s="313"/>
    </row>
    <row r="262" spans="1:56" ht="157.5" thickBot="1">
      <c r="A262" s="329"/>
      <c r="B262" s="331"/>
      <c r="C262" s="332"/>
      <c r="D262" s="333"/>
      <c r="E262" s="203"/>
      <c r="F262" s="203"/>
      <c r="G262" s="204"/>
      <c r="H262" s="204"/>
      <c r="I262" s="204" t="s">
        <v>536</v>
      </c>
      <c r="J262" s="331"/>
      <c r="K262" s="349"/>
      <c r="L262" s="352"/>
      <c r="M262" s="349"/>
      <c r="N262" s="359"/>
      <c r="O262" s="203" t="s">
        <v>537</v>
      </c>
      <c r="P262" s="203" t="s">
        <v>527</v>
      </c>
      <c r="Q262" s="204" t="s">
        <v>20</v>
      </c>
      <c r="R262" s="215"/>
      <c r="S262" s="27" t="str">
        <f t="shared" si="44"/>
        <v/>
      </c>
      <c r="T262" s="215"/>
      <c r="U262" s="27" t="str">
        <f t="shared" si="45"/>
        <v/>
      </c>
      <c r="V262" s="208"/>
      <c r="W262" s="27" t="str">
        <f t="shared" si="46"/>
        <v/>
      </c>
      <c r="X262" s="208"/>
      <c r="Y262" s="27" t="str">
        <f t="shared" si="47"/>
        <v/>
      </c>
      <c r="Z262" s="208"/>
      <c r="AA262" s="27" t="str">
        <f t="shared" si="48"/>
        <v/>
      </c>
      <c r="AB262" s="208"/>
      <c r="AC262" s="27" t="str">
        <f t="shared" si="49"/>
        <v/>
      </c>
      <c r="AD262" s="208"/>
      <c r="AE262" s="27" t="str">
        <f t="shared" si="50"/>
        <v/>
      </c>
      <c r="AF262" s="48" t="str">
        <f t="shared" si="51"/>
        <v/>
      </c>
      <c r="AG262" s="48" t="str">
        <f t="shared" si="52"/>
        <v/>
      </c>
      <c r="AH262" s="209"/>
      <c r="AI262" s="210" t="str">
        <f t="shared" si="53"/>
        <v>Débil</v>
      </c>
      <c r="AJ262" s="21" t="str">
        <f>IFERROR(VLOOKUP((CONCATENATE(AG262,AI262)),Listados!$U$3:$V$11,2,FALSE),"")</f>
        <v/>
      </c>
      <c r="AK262" s="48">
        <f t="shared" si="54"/>
        <v>100</v>
      </c>
      <c r="AL262" s="355"/>
      <c r="AM262" s="357"/>
      <c r="AN262" s="173">
        <f>+IF(AND(Q262="Preventivo",AM259="Fuerte"),2,IF(AND(Q262="Preventivo",AM259="Moderado"),1,0))</f>
        <v>2</v>
      </c>
      <c r="AO262" s="173">
        <f t="shared" si="55"/>
        <v>1</v>
      </c>
      <c r="AP262" s="173">
        <f>+K259-AN262</f>
        <v>2</v>
      </c>
      <c r="AQ262" s="173">
        <f>+M259-AO262</f>
        <v>2</v>
      </c>
      <c r="AR262" s="346"/>
      <c r="AS262" s="346"/>
      <c r="AT262" s="346"/>
      <c r="AU262" s="346"/>
      <c r="AV262" s="311"/>
      <c r="AW262" s="312"/>
      <c r="AX262" s="313"/>
      <c r="AY262" s="311"/>
      <c r="AZ262" s="312"/>
      <c r="BA262" s="313"/>
      <c r="BB262" s="311"/>
      <c r="BC262" s="312"/>
      <c r="BD262" s="313"/>
    </row>
    <row r="263" spans="1:56" ht="15.75" thickBot="1">
      <c r="A263" s="329"/>
      <c r="B263" s="331"/>
      <c r="C263" s="332"/>
      <c r="D263" s="333"/>
      <c r="E263" s="203"/>
      <c r="F263" s="203"/>
      <c r="G263" s="204"/>
      <c r="H263" s="204"/>
      <c r="I263" s="204"/>
      <c r="J263" s="331"/>
      <c r="K263" s="349"/>
      <c r="L263" s="352"/>
      <c r="M263" s="349"/>
      <c r="N263" s="359"/>
      <c r="O263" s="203"/>
      <c r="P263" s="205"/>
      <c r="Q263" s="205"/>
      <c r="R263" s="215"/>
      <c r="S263" s="27" t="str">
        <f t="shared" si="44"/>
        <v/>
      </c>
      <c r="T263" s="215"/>
      <c r="U263" s="27" t="str">
        <f t="shared" si="45"/>
        <v/>
      </c>
      <c r="V263" s="208"/>
      <c r="W263" s="27" t="str">
        <f t="shared" si="46"/>
        <v/>
      </c>
      <c r="X263" s="208"/>
      <c r="Y263" s="27" t="str">
        <f t="shared" si="47"/>
        <v/>
      </c>
      <c r="Z263" s="208"/>
      <c r="AA263" s="27" t="str">
        <f t="shared" si="48"/>
        <v/>
      </c>
      <c r="AB263" s="208"/>
      <c r="AC263" s="27" t="str">
        <f t="shared" si="49"/>
        <v/>
      </c>
      <c r="AD263" s="208"/>
      <c r="AE263" s="27" t="str">
        <f t="shared" si="50"/>
        <v/>
      </c>
      <c r="AF263" s="48" t="str">
        <f t="shared" si="51"/>
        <v/>
      </c>
      <c r="AG263" s="48" t="str">
        <f t="shared" si="52"/>
        <v/>
      </c>
      <c r="AH263" s="209"/>
      <c r="AI263" s="210" t="str">
        <f t="shared" si="53"/>
        <v>Débil</v>
      </c>
      <c r="AJ263" s="21" t="str">
        <f>IFERROR(VLOOKUP((CONCATENATE(AG263,AI263)),Listados!$U$3:$V$11,2,FALSE),"")</f>
        <v/>
      </c>
      <c r="AK263" s="48">
        <f t="shared" si="54"/>
        <v>100</v>
      </c>
      <c r="AL263" s="355"/>
      <c r="AM263" s="357"/>
      <c r="AN263" s="173">
        <f>+IF(AND(Q263="Preventivo",AM259="Fuerte"),2,IF(AND(Q263="Preventivo",AM259="Moderado"),1,0))</f>
        <v>0</v>
      </c>
      <c r="AO263" s="173">
        <f t="shared" si="55"/>
        <v>0</v>
      </c>
      <c r="AP263" s="173">
        <f>+K259-AN263</f>
        <v>4</v>
      </c>
      <c r="AQ263" s="173">
        <f>+M259-AO263</f>
        <v>3</v>
      </c>
      <c r="AR263" s="346"/>
      <c r="AS263" s="346"/>
      <c r="AT263" s="346"/>
      <c r="AU263" s="346"/>
      <c r="AV263" s="311"/>
      <c r="AW263" s="312"/>
      <c r="AX263" s="313"/>
      <c r="AY263" s="311"/>
      <c r="AZ263" s="312"/>
      <c r="BA263" s="313"/>
      <c r="BB263" s="311"/>
      <c r="BC263" s="312"/>
      <c r="BD263" s="313"/>
    </row>
    <row r="264" spans="1:56" ht="15.75" thickBot="1">
      <c r="A264" s="330"/>
      <c r="B264" s="331"/>
      <c r="C264" s="332"/>
      <c r="D264" s="333"/>
      <c r="E264" s="203"/>
      <c r="F264" s="203"/>
      <c r="G264" s="204"/>
      <c r="H264" s="204"/>
      <c r="I264" s="204"/>
      <c r="J264" s="331"/>
      <c r="K264" s="350"/>
      <c r="L264" s="352"/>
      <c r="M264" s="350"/>
      <c r="N264" s="359"/>
      <c r="O264" s="203"/>
      <c r="P264" s="205"/>
      <c r="Q264" s="205"/>
      <c r="R264" s="215"/>
      <c r="S264" s="27" t="str">
        <f t="shared" ref="S264:S327" si="56">+IF(R264="si",15,"")</f>
        <v/>
      </c>
      <c r="T264" s="215"/>
      <c r="U264" s="27" t="str">
        <f t="shared" ref="U264:U327" si="57">+IF(T264="si",15,"")</f>
        <v/>
      </c>
      <c r="V264" s="208"/>
      <c r="W264" s="27" t="str">
        <f t="shared" ref="W264:W327" si="58">+IF(V264="si",15,"")</f>
        <v/>
      </c>
      <c r="X264" s="208"/>
      <c r="Y264" s="27" t="str">
        <f t="shared" ref="Y264:Y327" si="59">+IF(X264="Preventivo",15,IF(X264="Detectivo",10,""))</f>
        <v/>
      </c>
      <c r="Z264" s="208"/>
      <c r="AA264" s="27" t="str">
        <f t="shared" ref="AA264:AA327" si="60">+IF(Z264="si",15,"")</f>
        <v/>
      </c>
      <c r="AB264" s="208"/>
      <c r="AC264" s="27" t="str">
        <f t="shared" ref="AC264:AC327" si="61">+IF(AB264="si",15,"")</f>
        <v/>
      </c>
      <c r="AD264" s="208"/>
      <c r="AE264" s="27" t="str">
        <f t="shared" ref="AE264:AE327" si="62">+IF(AD264="Completa",10,IF(AD264="Incompleta",5,""))</f>
        <v/>
      </c>
      <c r="AF264" s="48" t="str">
        <f t="shared" ref="AF264:AF327" si="63">IF((SUM(S264,U264,W264,Y264,AA264,AC264,AE264)=0),"",(SUM(S264,U264,W264,Y264,AA264,AC264,AE264)))</f>
        <v/>
      </c>
      <c r="AG264" s="48" t="str">
        <f t="shared" ref="AG264:AG327" si="64">IF(AF264&lt;=85,"Débil",IF(AF264&lt;=95,"Moderado",IF(AF264=100,"Fuerte","")))</f>
        <v/>
      </c>
      <c r="AH264" s="209"/>
      <c r="AI264" s="210" t="str">
        <f t="shared" si="53"/>
        <v>Débil</v>
      </c>
      <c r="AJ264" s="21" t="str">
        <f>IFERROR(VLOOKUP((CONCATENATE(AG264,AI264)),Listados!$U$3:$V$11,2,FALSE),"")</f>
        <v/>
      </c>
      <c r="AK264" s="48">
        <f t="shared" si="54"/>
        <v>100</v>
      </c>
      <c r="AL264" s="356"/>
      <c r="AM264" s="357"/>
      <c r="AN264" s="173">
        <f>+IF(AND(Q264="Preventivo",AM259="Fuerte"),2,IF(AND(Q264="Preventivo",AM259="Moderado"),1,0))</f>
        <v>0</v>
      </c>
      <c r="AO264" s="173">
        <f t="shared" si="55"/>
        <v>0</v>
      </c>
      <c r="AP264" s="173">
        <f>+K259-AN264</f>
        <v>4</v>
      </c>
      <c r="AQ264" s="173">
        <f>+M259-AO264</f>
        <v>3</v>
      </c>
      <c r="AR264" s="347"/>
      <c r="AS264" s="347"/>
      <c r="AT264" s="347"/>
      <c r="AU264" s="347"/>
      <c r="AV264" s="311"/>
      <c r="AW264" s="312"/>
      <c r="AX264" s="313"/>
      <c r="AY264" s="311"/>
      <c r="AZ264" s="312"/>
      <c r="BA264" s="313"/>
      <c r="BB264" s="311"/>
      <c r="BC264" s="312"/>
      <c r="BD264" s="313"/>
    </row>
    <row r="265" spans="1:56" ht="242.25" customHeight="1" thickBot="1">
      <c r="A265" s="328">
        <v>44</v>
      </c>
      <c r="B265" s="331" t="s">
        <v>60</v>
      </c>
      <c r="C265" s="332" t="str">
        <f>IFERROR(VLOOKUP(B265,Listados!B$3:C$20,2,FALSE),"")</f>
        <v xml:space="preserve">Orientar la gestion de la entidad y del sector para que las acciones se deriven de una planeación eficiente y articulada que optimice 
el uso de los recursos en el logro de los objetivos institucionales. </v>
      </c>
      <c r="D265" s="333" t="s">
        <v>538</v>
      </c>
      <c r="E265" s="203" t="s">
        <v>52</v>
      </c>
      <c r="F265" s="203"/>
      <c r="G265" s="204" t="s">
        <v>539</v>
      </c>
      <c r="H265" s="204" t="s">
        <v>16</v>
      </c>
      <c r="I265" s="204" t="s">
        <v>532</v>
      </c>
      <c r="J265" s="331" t="s">
        <v>44</v>
      </c>
      <c r="K265" s="348">
        <f>+VLOOKUP(J265,Listados!$K$8:$L$12,2,0)</f>
        <v>3</v>
      </c>
      <c r="L265" s="351" t="s">
        <v>36</v>
      </c>
      <c r="M265" s="348">
        <f>+VLOOKUP(L265,Listados!$K$13:$L$17,2,0)</f>
        <v>3</v>
      </c>
      <c r="N265" s="358" t="str">
        <f>IF(AND(J265&lt;&gt;"",L265&lt;&gt;""),VLOOKUP(J265&amp;L265,Listados!$M$3:$N$27,2,FALSE),"")</f>
        <v>Alto</v>
      </c>
      <c r="O265" s="221" t="s">
        <v>540</v>
      </c>
      <c r="P265" s="226" t="s">
        <v>539</v>
      </c>
      <c r="Q265" s="226" t="s">
        <v>20</v>
      </c>
      <c r="R265" s="215"/>
      <c r="S265" s="27" t="str">
        <f t="shared" si="56"/>
        <v/>
      </c>
      <c r="T265" s="215"/>
      <c r="U265" s="27" t="str">
        <f t="shared" si="57"/>
        <v/>
      </c>
      <c r="V265" s="208"/>
      <c r="W265" s="27" t="str">
        <f t="shared" si="58"/>
        <v/>
      </c>
      <c r="X265" s="208"/>
      <c r="Y265" s="27" t="str">
        <f t="shared" si="59"/>
        <v/>
      </c>
      <c r="Z265" s="208"/>
      <c r="AA265" s="27" t="str">
        <f t="shared" si="60"/>
        <v/>
      </c>
      <c r="AB265" s="208"/>
      <c r="AC265" s="27" t="str">
        <f t="shared" si="61"/>
        <v/>
      </c>
      <c r="AD265" s="208"/>
      <c r="AE265" s="27" t="str">
        <f t="shared" si="62"/>
        <v/>
      </c>
      <c r="AF265" s="48" t="str">
        <f t="shared" si="63"/>
        <v/>
      </c>
      <c r="AG265" s="48" t="str">
        <f t="shared" si="64"/>
        <v/>
      </c>
      <c r="AH265" s="209"/>
      <c r="AI265" s="210" t="str">
        <f t="shared" ref="AI265:AI328" si="65">+IF(AH265="siempre","Fuerte",IF(AH265="Algunas veces","Moderado","Débil"))</f>
        <v>Débil</v>
      </c>
      <c r="AJ265" s="21" t="str">
        <f>IFERROR(VLOOKUP((CONCATENATE(AG265,AI265)),Listados!$U$3:$V$11,2,FALSE),"")</f>
        <v/>
      </c>
      <c r="AK265" s="48">
        <f t="shared" ref="AK265:AK328" si="66">IF(ISBLANK(AJ265),"",IF(AJ265="Débil", 0, IF(AJ265="Moderado",50,100)))</f>
        <v>100</v>
      </c>
      <c r="AL265" s="354">
        <f>AVERAGE(AK265:AK270)</f>
        <v>100</v>
      </c>
      <c r="AM265" s="356" t="str">
        <f>IF(AL265&lt;=50, "Débil", IF(AL265&lt;=99,"Moderado","Fuerte"))</f>
        <v>Fuerte</v>
      </c>
      <c r="AN265" s="173">
        <f>+IF(AND(Q265="Preventivo",AM265="Fuerte"),2,IF(AND(Q265="Preventivo",AM265="Moderado"),1,0))</f>
        <v>2</v>
      </c>
      <c r="AO265" s="173">
        <f t="shared" si="55"/>
        <v>1</v>
      </c>
      <c r="AP265" s="173">
        <f>+K265-AN265</f>
        <v>1</v>
      </c>
      <c r="AQ265" s="173">
        <f>+M265-AO265</f>
        <v>2</v>
      </c>
      <c r="AR265" s="345" t="str">
        <f>+VLOOKUP(MIN(AP265,AP266,AP267,AP268,AP269,AP270),Listados!$J$18:$K$24,2,TRUE)</f>
        <v>Rara Vez</v>
      </c>
      <c r="AS265" s="345" t="str">
        <f>+VLOOKUP(MIN(AQ265,AQ266,AQ267,AQ268,AQ269,AQ270),Listados!$J$27:$K$32,2,TRUE)</f>
        <v>Insignificante</v>
      </c>
      <c r="AT265" s="345" t="str">
        <f>IF(AND(AR265&lt;&gt;"",AS265&lt;&gt;""),VLOOKUP(AR265&amp;AS265,Listados!$M$3:$N$27,2,FALSE),"")</f>
        <v>Bajo</v>
      </c>
      <c r="AU265" s="345" t="str">
        <f>+VLOOKUP(AT265,Listados!$P$3:$Q$6,2,FALSE)</f>
        <v>Asumir el riesgo</v>
      </c>
      <c r="AV265" s="311"/>
      <c r="AW265" s="312"/>
      <c r="AX265" s="313"/>
      <c r="AY265" s="311"/>
      <c r="AZ265" s="312"/>
      <c r="BA265" s="313"/>
      <c r="BB265" s="311"/>
      <c r="BC265" s="312"/>
      <c r="BD265" s="313"/>
    </row>
    <row r="266" spans="1:56" ht="202.5" customHeight="1" thickBot="1">
      <c r="A266" s="329"/>
      <c r="B266" s="331"/>
      <c r="C266" s="332"/>
      <c r="D266" s="333"/>
      <c r="E266" s="203"/>
      <c r="F266" s="203"/>
      <c r="G266" s="203" t="s">
        <v>541</v>
      </c>
      <c r="H266" s="204" t="s">
        <v>16</v>
      </c>
      <c r="I266" s="204" t="s">
        <v>542</v>
      </c>
      <c r="J266" s="331"/>
      <c r="K266" s="349"/>
      <c r="L266" s="352"/>
      <c r="M266" s="349"/>
      <c r="N266" s="359"/>
      <c r="O266" s="226" t="s">
        <v>543</v>
      </c>
      <c r="P266" s="226" t="s">
        <v>541</v>
      </c>
      <c r="Q266" s="226" t="s">
        <v>123</v>
      </c>
      <c r="R266" s="215"/>
      <c r="S266" s="27" t="str">
        <f t="shared" si="56"/>
        <v/>
      </c>
      <c r="T266" s="215"/>
      <c r="U266" s="27" t="str">
        <f t="shared" si="57"/>
        <v/>
      </c>
      <c r="V266" s="208"/>
      <c r="W266" s="27" t="str">
        <f t="shared" si="58"/>
        <v/>
      </c>
      <c r="X266" s="208"/>
      <c r="Y266" s="27" t="str">
        <f t="shared" si="59"/>
        <v/>
      </c>
      <c r="Z266" s="208"/>
      <c r="AA266" s="27" t="str">
        <f t="shared" si="60"/>
        <v/>
      </c>
      <c r="AB266" s="208"/>
      <c r="AC266" s="27" t="str">
        <f t="shared" si="61"/>
        <v/>
      </c>
      <c r="AD266" s="208"/>
      <c r="AE266" s="27" t="str">
        <f t="shared" si="62"/>
        <v/>
      </c>
      <c r="AF266" s="48" t="str">
        <f t="shared" si="63"/>
        <v/>
      </c>
      <c r="AG266" s="48" t="str">
        <f t="shared" si="64"/>
        <v/>
      </c>
      <c r="AH266" s="209"/>
      <c r="AI266" s="210" t="str">
        <f t="shared" si="65"/>
        <v>Débil</v>
      </c>
      <c r="AJ266" s="21" t="str">
        <f>IFERROR(VLOOKUP((CONCATENATE(AG266,AI266)),Listados!$U$3:$V$11,2,FALSE),"")</f>
        <v/>
      </c>
      <c r="AK266" s="48">
        <f t="shared" si="66"/>
        <v>100</v>
      </c>
      <c r="AL266" s="355"/>
      <c r="AM266" s="357"/>
      <c r="AN266" s="173">
        <f>+IF(AND(Q266="Preventivo",AM265="Fuerte"),2,IF(AND(Q266="Preventivo",AM265="Moderado"),1,0))</f>
        <v>0</v>
      </c>
      <c r="AO266" s="173">
        <f t="shared" si="55"/>
        <v>2</v>
      </c>
      <c r="AP266" s="173">
        <f>+K265-AN266</f>
        <v>3</v>
      </c>
      <c r="AQ266" s="173">
        <f>+M265-AO266</f>
        <v>1</v>
      </c>
      <c r="AR266" s="346"/>
      <c r="AS266" s="346"/>
      <c r="AT266" s="346"/>
      <c r="AU266" s="346"/>
      <c r="AV266" s="311"/>
      <c r="AW266" s="312"/>
      <c r="AX266" s="313"/>
      <c r="AY266" s="311"/>
      <c r="AZ266" s="312"/>
      <c r="BA266" s="313"/>
      <c r="BB266" s="311"/>
      <c r="BC266" s="312"/>
      <c r="BD266" s="313"/>
    </row>
    <row r="267" spans="1:56" ht="225.75" customHeight="1" thickBot="1">
      <c r="A267" s="329"/>
      <c r="B267" s="331"/>
      <c r="C267" s="332"/>
      <c r="D267" s="333"/>
      <c r="E267" s="203"/>
      <c r="F267" s="203"/>
      <c r="G267" s="203" t="s">
        <v>544</v>
      </c>
      <c r="H267" s="204" t="s">
        <v>16</v>
      </c>
      <c r="I267" s="204" t="s">
        <v>545</v>
      </c>
      <c r="J267" s="331"/>
      <c r="K267" s="349"/>
      <c r="L267" s="352"/>
      <c r="M267" s="349"/>
      <c r="N267" s="359"/>
      <c r="O267" s="226" t="s">
        <v>543</v>
      </c>
      <c r="P267" s="226" t="s">
        <v>546</v>
      </c>
      <c r="Q267" s="226" t="s">
        <v>123</v>
      </c>
      <c r="R267" s="215"/>
      <c r="S267" s="27" t="str">
        <f t="shared" si="56"/>
        <v/>
      </c>
      <c r="T267" s="215"/>
      <c r="U267" s="27" t="str">
        <f t="shared" si="57"/>
        <v/>
      </c>
      <c r="V267" s="208"/>
      <c r="W267" s="27" t="str">
        <f t="shared" si="58"/>
        <v/>
      </c>
      <c r="X267" s="208"/>
      <c r="Y267" s="27" t="str">
        <f t="shared" si="59"/>
        <v/>
      </c>
      <c r="Z267" s="208"/>
      <c r="AA267" s="27" t="str">
        <f t="shared" si="60"/>
        <v/>
      </c>
      <c r="AB267" s="208"/>
      <c r="AC267" s="27" t="str">
        <f t="shared" si="61"/>
        <v/>
      </c>
      <c r="AD267" s="208"/>
      <c r="AE267" s="27" t="str">
        <f t="shared" si="62"/>
        <v/>
      </c>
      <c r="AF267" s="48" t="str">
        <f t="shared" si="63"/>
        <v/>
      </c>
      <c r="AG267" s="48" t="str">
        <f t="shared" si="64"/>
        <v/>
      </c>
      <c r="AH267" s="209"/>
      <c r="AI267" s="210" t="str">
        <f t="shared" si="65"/>
        <v>Débil</v>
      </c>
      <c r="AJ267" s="21" t="str">
        <f>IFERROR(VLOOKUP((CONCATENATE(AG267,AI267)),Listados!$U$3:$V$11,2,FALSE),"")</f>
        <v/>
      </c>
      <c r="AK267" s="48">
        <f t="shared" si="66"/>
        <v>100</v>
      </c>
      <c r="AL267" s="355"/>
      <c r="AM267" s="357"/>
      <c r="AN267" s="173">
        <f>+IF(AND(Q267="Preventivo",AM265="Fuerte"),2,IF(AND(Q267="Preventivo",AM265="Moderado"),1,0))</f>
        <v>0</v>
      </c>
      <c r="AO267" s="173">
        <f t="shared" si="55"/>
        <v>2</v>
      </c>
      <c r="AP267" s="173">
        <f>+K265-AN267</f>
        <v>3</v>
      </c>
      <c r="AQ267" s="173">
        <f>+M265-AO267</f>
        <v>1</v>
      </c>
      <c r="AR267" s="346"/>
      <c r="AS267" s="346"/>
      <c r="AT267" s="346"/>
      <c r="AU267" s="346"/>
      <c r="AV267" s="311"/>
      <c r="AW267" s="312"/>
      <c r="AX267" s="313"/>
      <c r="AY267" s="311"/>
      <c r="AZ267" s="312"/>
      <c r="BA267" s="313"/>
      <c r="BB267" s="311"/>
      <c r="BC267" s="312"/>
      <c r="BD267" s="313"/>
    </row>
    <row r="268" spans="1:56" ht="144.75" customHeight="1" thickBot="1">
      <c r="A268" s="329"/>
      <c r="B268" s="331"/>
      <c r="C268" s="332"/>
      <c r="D268" s="333"/>
      <c r="E268" s="203"/>
      <c r="F268" s="203"/>
      <c r="G268" s="203" t="s">
        <v>546</v>
      </c>
      <c r="H268" s="204" t="s">
        <v>16</v>
      </c>
      <c r="I268" s="204" t="s">
        <v>547</v>
      </c>
      <c r="J268" s="331"/>
      <c r="K268" s="349"/>
      <c r="L268" s="352"/>
      <c r="M268" s="349"/>
      <c r="N268" s="359"/>
      <c r="O268" s="221" t="s">
        <v>548</v>
      </c>
      <c r="P268" s="226" t="s">
        <v>544</v>
      </c>
      <c r="Q268" s="226" t="s">
        <v>123</v>
      </c>
      <c r="R268" s="215"/>
      <c r="S268" s="27" t="str">
        <f t="shared" si="56"/>
        <v/>
      </c>
      <c r="T268" s="215"/>
      <c r="U268" s="27" t="str">
        <f t="shared" si="57"/>
        <v/>
      </c>
      <c r="V268" s="208"/>
      <c r="W268" s="27" t="str">
        <f t="shared" si="58"/>
        <v/>
      </c>
      <c r="X268" s="208"/>
      <c r="Y268" s="27" t="str">
        <f t="shared" si="59"/>
        <v/>
      </c>
      <c r="Z268" s="208"/>
      <c r="AA268" s="27" t="str">
        <f t="shared" si="60"/>
        <v/>
      </c>
      <c r="AB268" s="208"/>
      <c r="AC268" s="27" t="str">
        <f t="shared" si="61"/>
        <v/>
      </c>
      <c r="AD268" s="208"/>
      <c r="AE268" s="27" t="str">
        <f t="shared" si="62"/>
        <v/>
      </c>
      <c r="AF268" s="48" t="str">
        <f t="shared" si="63"/>
        <v/>
      </c>
      <c r="AG268" s="48" t="str">
        <f t="shared" si="64"/>
        <v/>
      </c>
      <c r="AH268" s="209"/>
      <c r="AI268" s="210" t="str">
        <f t="shared" si="65"/>
        <v>Débil</v>
      </c>
      <c r="AJ268" s="21" t="str">
        <f>IFERROR(VLOOKUP((CONCATENATE(AG268,AI268)),Listados!$U$3:$V$11,2,FALSE),"")</f>
        <v/>
      </c>
      <c r="AK268" s="48">
        <f t="shared" si="66"/>
        <v>100</v>
      </c>
      <c r="AL268" s="355"/>
      <c r="AM268" s="357"/>
      <c r="AN268" s="173">
        <f>+IF(AND(Q268="Preventivo",AM265="Fuerte"),2,IF(AND(Q268="Preventivo",AM265="Moderado"),1,0))</f>
        <v>0</v>
      </c>
      <c r="AO268" s="173">
        <f t="shared" si="55"/>
        <v>2</v>
      </c>
      <c r="AP268" s="173">
        <f>+K265-AN268</f>
        <v>3</v>
      </c>
      <c r="AQ268" s="173">
        <f>+M265-AO268</f>
        <v>1</v>
      </c>
      <c r="AR268" s="346"/>
      <c r="AS268" s="346"/>
      <c r="AT268" s="346"/>
      <c r="AU268" s="346"/>
      <c r="AV268" s="311"/>
      <c r="AW268" s="312"/>
      <c r="AX268" s="313"/>
      <c r="AY268" s="311"/>
      <c r="AZ268" s="312"/>
      <c r="BA268" s="313"/>
      <c r="BB268" s="311"/>
      <c r="BC268" s="312"/>
      <c r="BD268" s="313"/>
    </row>
    <row r="269" spans="1:56" ht="15.75" thickBot="1">
      <c r="A269" s="329"/>
      <c r="B269" s="331"/>
      <c r="C269" s="332"/>
      <c r="D269" s="333"/>
      <c r="E269" s="203"/>
      <c r="F269" s="203"/>
      <c r="G269" s="204"/>
      <c r="H269" s="204"/>
      <c r="I269" s="204"/>
      <c r="J269" s="331"/>
      <c r="K269" s="349"/>
      <c r="L269" s="352"/>
      <c r="M269" s="349"/>
      <c r="N269" s="359"/>
      <c r="O269" s="203"/>
      <c r="P269" s="205"/>
      <c r="Q269" s="205"/>
      <c r="R269" s="215"/>
      <c r="S269" s="27" t="str">
        <f t="shared" si="56"/>
        <v/>
      </c>
      <c r="T269" s="215"/>
      <c r="U269" s="27" t="str">
        <f t="shared" si="57"/>
        <v/>
      </c>
      <c r="V269" s="208"/>
      <c r="W269" s="27" t="str">
        <f t="shared" si="58"/>
        <v/>
      </c>
      <c r="X269" s="208"/>
      <c r="Y269" s="27" t="str">
        <f t="shared" si="59"/>
        <v/>
      </c>
      <c r="Z269" s="208"/>
      <c r="AA269" s="27" t="str">
        <f t="shared" si="60"/>
        <v/>
      </c>
      <c r="AB269" s="208"/>
      <c r="AC269" s="27" t="str">
        <f t="shared" si="61"/>
        <v/>
      </c>
      <c r="AD269" s="208"/>
      <c r="AE269" s="27" t="str">
        <f t="shared" si="62"/>
        <v/>
      </c>
      <c r="AF269" s="48" t="str">
        <f t="shared" si="63"/>
        <v/>
      </c>
      <c r="AG269" s="48" t="str">
        <f t="shared" si="64"/>
        <v/>
      </c>
      <c r="AH269" s="209"/>
      <c r="AI269" s="210" t="str">
        <f t="shared" si="65"/>
        <v>Débil</v>
      </c>
      <c r="AJ269" s="21" t="str">
        <f>IFERROR(VLOOKUP((CONCATENATE(AG269,AI269)),Listados!$U$3:$V$11,2,FALSE),"")</f>
        <v/>
      </c>
      <c r="AK269" s="48">
        <f t="shared" si="66"/>
        <v>100</v>
      </c>
      <c r="AL269" s="355"/>
      <c r="AM269" s="357"/>
      <c r="AN269" s="173">
        <f>+IF(AND(Q269="Preventivo",AM265="Fuerte"),2,IF(AND(Q269="Preventivo",AM265="Moderado"),1,0))</f>
        <v>0</v>
      </c>
      <c r="AO269" s="173">
        <f t="shared" si="55"/>
        <v>0</v>
      </c>
      <c r="AP269" s="173">
        <f>+K265-AN269</f>
        <v>3</v>
      </c>
      <c r="AQ269" s="173">
        <f>+M265-AO269</f>
        <v>3</v>
      </c>
      <c r="AR269" s="346"/>
      <c r="AS269" s="346"/>
      <c r="AT269" s="346"/>
      <c r="AU269" s="346"/>
      <c r="AV269" s="311"/>
      <c r="AW269" s="312"/>
      <c r="AX269" s="313"/>
      <c r="AY269" s="311"/>
      <c r="AZ269" s="312"/>
      <c r="BA269" s="313"/>
      <c r="BB269" s="311"/>
      <c r="BC269" s="312"/>
      <c r="BD269" s="313"/>
    </row>
    <row r="270" spans="1:56" ht="15.75" thickBot="1">
      <c r="A270" s="330"/>
      <c r="B270" s="331"/>
      <c r="C270" s="332"/>
      <c r="D270" s="333"/>
      <c r="E270" s="203"/>
      <c r="F270" s="203"/>
      <c r="G270" s="204"/>
      <c r="H270" s="204"/>
      <c r="I270" s="204"/>
      <c r="J270" s="331"/>
      <c r="K270" s="350"/>
      <c r="L270" s="352"/>
      <c r="M270" s="350"/>
      <c r="N270" s="359"/>
      <c r="O270" s="203"/>
      <c r="P270" s="205"/>
      <c r="Q270" s="205"/>
      <c r="R270" s="215"/>
      <c r="S270" s="27" t="str">
        <f t="shared" si="56"/>
        <v/>
      </c>
      <c r="T270" s="215"/>
      <c r="U270" s="27" t="str">
        <f t="shared" si="57"/>
        <v/>
      </c>
      <c r="V270" s="208"/>
      <c r="W270" s="27" t="str">
        <f t="shared" si="58"/>
        <v/>
      </c>
      <c r="X270" s="208"/>
      <c r="Y270" s="27" t="str">
        <f t="shared" si="59"/>
        <v/>
      </c>
      <c r="Z270" s="208"/>
      <c r="AA270" s="27" t="str">
        <f t="shared" si="60"/>
        <v/>
      </c>
      <c r="AB270" s="208"/>
      <c r="AC270" s="27" t="str">
        <f t="shared" si="61"/>
        <v/>
      </c>
      <c r="AD270" s="208"/>
      <c r="AE270" s="27" t="str">
        <f t="shared" si="62"/>
        <v/>
      </c>
      <c r="AF270" s="48" t="str">
        <f t="shared" si="63"/>
        <v/>
      </c>
      <c r="AG270" s="48" t="str">
        <f t="shared" si="64"/>
        <v/>
      </c>
      <c r="AH270" s="209"/>
      <c r="AI270" s="210" t="str">
        <f t="shared" si="65"/>
        <v>Débil</v>
      </c>
      <c r="AJ270" s="21" t="str">
        <f>IFERROR(VLOOKUP((CONCATENATE(AG270,AI270)),Listados!$U$3:$V$11,2,FALSE),"")</f>
        <v/>
      </c>
      <c r="AK270" s="48">
        <f t="shared" si="66"/>
        <v>100</v>
      </c>
      <c r="AL270" s="356"/>
      <c r="AM270" s="357"/>
      <c r="AN270" s="173">
        <f>+IF(AND(Q270="Preventivo",AM265="Fuerte"),2,IF(AND(Q270="Preventivo",AM265="Moderado"),1,0))</f>
        <v>0</v>
      </c>
      <c r="AO270" s="173">
        <f t="shared" ref="AO270:AO333" si="67">+IF(AND(Q270="Detectivo",$AM$7="Fuerte"),2,IF(AND(Q270="Detectivo",$AM$7="Moderado"),1,IF(AND(Q270="Preventivo",$AM$7="Fuerte"),1,0)))</f>
        <v>0</v>
      </c>
      <c r="AP270" s="173">
        <f>+K265-AN270</f>
        <v>3</v>
      </c>
      <c r="AQ270" s="173">
        <f>+M265-AO270</f>
        <v>3</v>
      </c>
      <c r="AR270" s="347"/>
      <c r="AS270" s="347"/>
      <c r="AT270" s="347"/>
      <c r="AU270" s="347"/>
      <c r="AV270" s="311"/>
      <c r="AW270" s="312"/>
      <c r="AX270" s="313"/>
      <c r="AY270" s="311"/>
      <c r="AZ270" s="312"/>
      <c r="BA270" s="313"/>
      <c r="BB270" s="311"/>
      <c r="BC270" s="312"/>
      <c r="BD270" s="313"/>
    </row>
    <row r="271" spans="1:56" ht="243.75" thickBot="1">
      <c r="A271" s="328">
        <v>45</v>
      </c>
      <c r="B271" s="331" t="s">
        <v>68</v>
      </c>
      <c r="C271" s="332" t="str">
        <f>IFERROR(VLOOKUP(B271,Listados!B$3:C$20,2,FALSE),"")</f>
        <v>Gestión contra la Criminalidad y la Reincidencia</v>
      </c>
      <c r="D271" s="333" t="s">
        <v>549</v>
      </c>
      <c r="E271" s="203" t="s">
        <v>15</v>
      </c>
      <c r="F271" s="203" t="s">
        <v>178</v>
      </c>
      <c r="G271" s="204" t="s">
        <v>550</v>
      </c>
      <c r="H271" s="204" t="s">
        <v>30</v>
      </c>
      <c r="I271" s="204" t="s">
        <v>551</v>
      </c>
      <c r="J271" s="331" t="s">
        <v>21</v>
      </c>
      <c r="K271" s="348">
        <f>+VLOOKUP(J271,[4]Listados!$K$8:$L$12,2,0)</f>
        <v>1</v>
      </c>
      <c r="L271" s="351" t="s">
        <v>32</v>
      </c>
      <c r="M271" s="348">
        <f>+VLOOKUP(L271,Listados!$K$13:$L$17,2,0)</f>
        <v>2</v>
      </c>
      <c r="N271" s="358" t="str">
        <f>IF(AND(J271&lt;&gt;"",L271&lt;&gt;""),VLOOKUP(J271&amp;L271,Listados!$M$3:$N$27,2,FALSE),"")</f>
        <v>Bajo</v>
      </c>
      <c r="O271" s="205" t="s">
        <v>552</v>
      </c>
      <c r="P271" s="205" t="s">
        <v>550</v>
      </c>
      <c r="Q271" s="205" t="s">
        <v>20</v>
      </c>
      <c r="R271" s="215"/>
      <c r="S271" s="27" t="str">
        <f t="shared" si="56"/>
        <v/>
      </c>
      <c r="T271" s="215"/>
      <c r="U271" s="27" t="str">
        <f t="shared" si="57"/>
        <v/>
      </c>
      <c r="V271" s="208"/>
      <c r="W271" s="27" t="str">
        <f t="shared" si="58"/>
        <v/>
      </c>
      <c r="X271" s="208"/>
      <c r="Y271" s="27" t="str">
        <f t="shared" si="59"/>
        <v/>
      </c>
      <c r="Z271" s="208"/>
      <c r="AA271" s="27" t="str">
        <f t="shared" si="60"/>
        <v/>
      </c>
      <c r="AB271" s="208"/>
      <c r="AC271" s="27" t="str">
        <f t="shared" si="61"/>
        <v/>
      </c>
      <c r="AD271" s="208"/>
      <c r="AE271" s="27" t="str">
        <f t="shared" si="62"/>
        <v/>
      </c>
      <c r="AF271" s="48" t="str">
        <f t="shared" si="63"/>
        <v/>
      </c>
      <c r="AG271" s="48" t="str">
        <f t="shared" si="64"/>
        <v/>
      </c>
      <c r="AH271" s="209"/>
      <c r="AI271" s="210" t="str">
        <f t="shared" si="65"/>
        <v>Débil</v>
      </c>
      <c r="AJ271" s="21" t="str">
        <f>IFERROR(VLOOKUP((CONCATENATE(AG271,AI271)),Listados!$U$3:$V$11,2,FALSE),"")</f>
        <v/>
      </c>
      <c r="AK271" s="48">
        <f t="shared" si="66"/>
        <v>100</v>
      </c>
      <c r="AL271" s="354">
        <f>AVERAGE(AK271:AK276)</f>
        <v>100</v>
      </c>
      <c r="AM271" s="356" t="str">
        <f>IF(AL271&lt;=50, "Débil", IF(AL271&lt;=99,"Moderado","Fuerte"))</f>
        <v>Fuerte</v>
      </c>
      <c r="AN271" s="173">
        <f>+IF(AND(Q271="Preventivo",AM271="Fuerte"),2,IF(AND(Q271="Preventivo",AM271="Moderado"),1,0))</f>
        <v>2</v>
      </c>
      <c r="AO271" s="173">
        <f t="shared" si="67"/>
        <v>1</v>
      </c>
      <c r="AP271" s="173">
        <f>+K271-AN271</f>
        <v>-1</v>
      </c>
      <c r="AQ271" s="173">
        <f>+M271-AO271</f>
        <v>1</v>
      </c>
      <c r="AR271" s="345" t="str">
        <f>+VLOOKUP(MIN(AP271,AP272,AP273,AP274,AP275,AP276),Listados!$J$18:$K$24,2,TRUE)</f>
        <v>Rara Vez</v>
      </c>
      <c r="AS271" s="345" t="str">
        <f>+VLOOKUP(MIN(AQ271,AQ272,AQ273,AQ274,AQ275,AQ276),Listados!$J$27:$K$32,2,TRUE)</f>
        <v>Insignificante</v>
      </c>
      <c r="AT271" s="345" t="str">
        <f>IF(AND(AR271&lt;&gt;"",AS271&lt;&gt;""),VLOOKUP(AR271&amp;AS271,Listados!$M$3:$N$27,2,FALSE),"")</f>
        <v>Bajo</v>
      </c>
      <c r="AU271" s="345" t="str">
        <f>+VLOOKUP(AT271,Listados!$P$3:$Q$6,2,FALSE)</f>
        <v>Asumir el riesgo</v>
      </c>
      <c r="AV271" s="311"/>
      <c r="AW271" s="312"/>
      <c r="AX271" s="313"/>
      <c r="AY271" s="311"/>
      <c r="AZ271" s="312"/>
      <c r="BA271" s="313"/>
      <c r="BB271" s="311"/>
      <c r="BC271" s="312"/>
      <c r="BD271" s="313"/>
    </row>
    <row r="272" spans="1:56" ht="243.75" thickBot="1">
      <c r="A272" s="329"/>
      <c r="B272" s="331"/>
      <c r="C272" s="332"/>
      <c r="D272" s="333"/>
      <c r="E272" s="203"/>
      <c r="F272" s="203"/>
      <c r="G272" s="204" t="s">
        <v>553</v>
      </c>
      <c r="H272" s="204" t="s">
        <v>16</v>
      </c>
      <c r="I272" s="204" t="s">
        <v>554</v>
      </c>
      <c r="J272" s="331"/>
      <c r="K272" s="349"/>
      <c r="L272" s="352"/>
      <c r="M272" s="349"/>
      <c r="N272" s="359"/>
      <c r="O272" s="205" t="s">
        <v>552</v>
      </c>
      <c r="P272" s="205" t="s">
        <v>553</v>
      </c>
      <c r="Q272" s="205" t="s">
        <v>20</v>
      </c>
      <c r="R272" s="215"/>
      <c r="S272" s="27" t="str">
        <f t="shared" si="56"/>
        <v/>
      </c>
      <c r="T272" s="215"/>
      <c r="U272" s="27" t="str">
        <f t="shared" si="57"/>
        <v/>
      </c>
      <c r="V272" s="208"/>
      <c r="W272" s="27" t="str">
        <f t="shared" si="58"/>
        <v/>
      </c>
      <c r="X272" s="208"/>
      <c r="Y272" s="27" t="str">
        <f t="shared" si="59"/>
        <v/>
      </c>
      <c r="Z272" s="208"/>
      <c r="AA272" s="27" t="str">
        <f t="shared" si="60"/>
        <v/>
      </c>
      <c r="AB272" s="208"/>
      <c r="AC272" s="27" t="str">
        <f t="shared" si="61"/>
        <v/>
      </c>
      <c r="AD272" s="208"/>
      <c r="AE272" s="27" t="str">
        <f t="shared" si="62"/>
        <v/>
      </c>
      <c r="AF272" s="48" t="str">
        <f t="shared" si="63"/>
        <v/>
      </c>
      <c r="AG272" s="48" t="str">
        <f t="shared" si="64"/>
        <v/>
      </c>
      <c r="AH272" s="209"/>
      <c r="AI272" s="210" t="str">
        <f t="shared" si="65"/>
        <v>Débil</v>
      </c>
      <c r="AJ272" s="21" t="str">
        <f>IFERROR(VLOOKUP((CONCATENATE(AG272,AI272)),Listados!$U$3:$V$11,2,FALSE),"")</f>
        <v/>
      </c>
      <c r="AK272" s="48">
        <f t="shared" si="66"/>
        <v>100</v>
      </c>
      <c r="AL272" s="355"/>
      <c r="AM272" s="357"/>
      <c r="AN272" s="173">
        <f>+IF(AND(Q272="Preventivo",AM271="Fuerte"),2,IF(AND(Q272="Preventivo",AM271="Moderado"),1,0))</f>
        <v>2</v>
      </c>
      <c r="AO272" s="173">
        <f t="shared" si="67"/>
        <v>1</v>
      </c>
      <c r="AP272" s="173">
        <f>+K271-AN272</f>
        <v>-1</v>
      </c>
      <c r="AQ272" s="173">
        <f>+M271-AO272</f>
        <v>1</v>
      </c>
      <c r="AR272" s="346"/>
      <c r="AS272" s="346"/>
      <c r="AT272" s="346"/>
      <c r="AU272" s="346"/>
      <c r="AV272" s="311"/>
      <c r="AW272" s="312"/>
      <c r="AX272" s="313"/>
      <c r="AY272" s="311"/>
      <c r="AZ272" s="312"/>
      <c r="BA272" s="313"/>
      <c r="BB272" s="311"/>
      <c r="BC272" s="312"/>
      <c r="BD272" s="313"/>
    </row>
    <row r="273" spans="1:56" ht="158.25" thickBot="1">
      <c r="A273" s="329"/>
      <c r="B273" s="331"/>
      <c r="C273" s="332"/>
      <c r="D273" s="333"/>
      <c r="E273" s="203"/>
      <c r="F273" s="203"/>
      <c r="G273" s="204" t="s">
        <v>555</v>
      </c>
      <c r="H273" s="204" t="s">
        <v>16</v>
      </c>
      <c r="I273" s="204"/>
      <c r="J273" s="331"/>
      <c r="K273" s="349"/>
      <c r="L273" s="352"/>
      <c r="M273" s="349"/>
      <c r="N273" s="359"/>
      <c r="O273" s="205" t="s">
        <v>556</v>
      </c>
      <c r="P273" s="205" t="s">
        <v>555</v>
      </c>
      <c r="Q273" s="205" t="s">
        <v>123</v>
      </c>
      <c r="R273" s="215"/>
      <c r="S273" s="27" t="str">
        <f t="shared" si="56"/>
        <v/>
      </c>
      <c r="T273" s="215"/>
      <c r="U273" s="27" t="str">
        <f t="shared" si="57"/>
        <v/>
      </c>
      <c r="V273" s="208"/>
      <c r="W273" s="27" t="str">
        <f t="shared" si="58"/>
        <v/>
      </c>
      <c r="X273" s="208"/>
      <c r="Y273" s="27" t="str">
        <f t="shared" si="59"/>
        <v/>
      </c>
      <c r="Z273" s="208"/>
      <c r="AA273" s="27" t="str">
        <f t="shared" si="60"/>
        <v/>
      </c>
      <c r="AB273" s="208"/>
      <c r="AC273" s="27" t="str">
        <f t="shared" si="61"/>
        <v/>
      </c>
      <c r="AD273" s="208"/>
      <c r="AE273" s="27" t="str">
        <f t="shared" si="62"/>
        <v/>
      </c>
      <c r="AF273" s="48" t="str">
        <f t="shared" si="63"/>
        <v/>
      </c>
      <c r="AG273" s="48" t="str">
        <f t="shared" si="64"/>
        <v/>
      </c>
      <c r="AH273" s="209"/>
      <c r="AI273" s="210" t="str">
        <f t="shared" si="65"/>
        <v>Débil</v>
      </c>
      <c r="AJ273" s="21" t="str">
        <f>IFERROR(VLOOKUP((CONCATENATE(AG273,AI273)),Listados!$U$3:$V$11,2,FALSE),"")</f>
        <v/>
      </c>
      <c r="AK273" s="48">
        <f t="shared" si="66"/>
        <v>100</v>
      </c>
      <c r="AL273" s="355"/>
      <c r="AM273" s="357"/>
      <c r="AN273" s="173">
        <f>+IF(AND(Q273="Preventivo",AM271="Fuerte"),2,IF(AND(Q273="Preventivo",AM271="Moderado"),1,0))</f>
        <v>0</v>
      </c>
      <c r="AO273" s="173">
        <f t="shared" si="67"/>
        <v>2</v>
      </c>
      <c r="AP273" s="173">
        <f>+K271-AN273</f>
        <v>1</v>
      </c>
      <c r="AQ273" s="173">
        <f>+M271-AO273</f>
        <v>0</v>
      </c>
      <c r="AR273" s="346"/>
      <c r="AS273" s="346"/>
      <c r="AT273" s="346"/>
      <c r="AU273" s="346"/>
      <c r="AV273" s="311"/>
      <c r="AW273" s="312"/>
      <c r="AX273" s="313"/>
      <c r="AY273" s="311"/>
      <c r="AZ273" s="312"/>
      <c r="BA273" s="313"/>
      <c r="BB273" s="311"/>
      <c r="BC273" s="312"/>
      <c r="BD273" s="313"/>
    </row>
    <row r="274" spans="1:56" ht="15.75" thickBot="1">
      <c r="A274" s="329"/>
      <c r="B274" s="331"/>
      <c r="C274" s="332"/>
      <c r="D274" s="333"/>
      <c r="E274" s="203"/>
      <c r="F274" s="203"/>
      <c r="G274" s="204"/>
      <c r="H274" s="204"/>
      <c r="I274" s="204"/>
      <c r="J274" s="331"/>
      <c r="K274" s="349"/>
      <c r="L274" s="352"/>
      <c r="M274" s="349"/>
      <c r="N274" s="359"/>
      <c r="O274" s="203"/>
      <c r="P274" s="205"/>
      <c r="Q274" s="205"/>
      <c r="R274" s="215"/>
      <c r="S274" s="27" t="str">
        <f t="shared" si="56"/>
        <v/>
      </c>
      <c r="T274" s="215"/>
      <c r="U274" s="27" t="str">
        <f t="shared" si="57"/>
        <v/>
      </c>
      <c r="V274" s="208"/>
      <c r="W274" s="27" t="str">
        <f t="shared" si="58"/>
        <v/>
      </c>
      <c r="X274" s="208"/>
      <c r="Y274" s="27" t="str">
        <f t="shared" si="59"/>
        <v/>
      </c>
      <c r="Z274" s="208"/>
      <c r="AA274" s="27" t="str">
        <f t="shared" si="60"/>
        <v/>
      </c>
      <c r="AB274" s="208"/>
      <c r="AC274" s="27" t="str">
        <f t="shared" si="61"/>
        <v/>
      </c>
      <c r="AD274" s="208"/>
      <c r="AE274" s="27" t="str">
        <f t="shared" si="62"/>
        <v/>
      </c>
      <c r="AF274" s="48" t="str">
        <f t="shared" si="63"/>
        <v/>
      </c>
      <c r="AG274" s="48" t="str">
        <f t="shared" si="64"/>
        <v/>
      </c>
      <c r="AH274" s="209"/>
      <c r="AI274" s="210" t="str">
        <f t="shared" si="65"/>
        <v>Débil</v>
      </c>
      <c r="AJ274" s="21" t="str">
        <f>IFERROR(VLOOKUP((CONCATENATE(AG274,AI274)),Listados!$U$3:$V$11,2,FALSE),"")</f>
        <v/>
      </c>
      <c r="AK274" s="48">
        <f t="shared" si="66"/>
        <v>100</v>
      </c>
      <c r="AL274" s="355"/>
      <c r="AM274" s="357"/>
      <c r="AN274" s="173">
        <f>+IF(AND(Q274="Preventivo",AM271="Fuerte"),2,IF(AND(Q274="Preventivo",AM271="Moderado"),1,0))</f>
        <v>0</v>
      </c>
      <c r="AO274" s="173">
        <f t="shared" si="67"/>
        <v>0</v>
      </c>
      <c r="AP274" s="173">
        <f>+K271-AN274</f>
        <v>1</v>
      </c>
      <c r="AQ274" s="173">
        <f>+M271-AO274</f>
        <v>2</v>
      </c>
      <c r="AR274" s="346"/>
      <c r="AS274" s="346"/>
      <c r="AT274" s="346"/>
      <c r="AU274" s="346"/>
      <c r="AV274" s="311"/>
      <c r="AW274" s="312"/>
      <c r="AX274" s="313"/>
      <c r="AY274" s="311"/>
      <c r="AZ274" s="312"/>
      <c r="BA274" s="313"/>
      <c r="BB274" s="311"/>
      <c r="BC274" s="312"/>
      <c r="BD274" s="313"/>
    </row>
    <row r="275" spans="1:56" ht="15.75" thickBot="1">
      <c r="A275" s="329"/>
      <c r="B275" s="331"/>
      <c r="C275" s="332"/>
      <c r="D275" s="333"/>
      <c r="E275" s="203"/>
      <c r="F275" s="203"/>
      <c r="G275" s="204"/>
      <c r="H275" s="204"/>
      <c r="I275" s="204"/>
      <c r="J275" s="331"/>
      <c r="K275" s="349"/>
      <c r="L275" s="352"/>
      <c r="M275" s="349"/>
      <c r="N275" s="359"/>
      <c r="O275" s="203"/>
      <c r="P275" s="205"/>
      <c r="Q275" s="205"/>
      <c r="R275" s="215"/>
      <c r="S275" s="27" t="str">
        <f t="shared" si="56"/>
        <v/>
      </c>
      <c r="T275" s="215"/>
      <c r="U275" s="27" t="str">
        <f t="shared" si="57"/>
        <v/>
      </c>
      <c r="V275" s="208"/>
      <c r="W275" s="27" t="str">
        <f t="shared" si="58"/>
        <v/>
      </c>
      <c r="X275" s="208"/>
      <c r="Y275" s="27" t="str">
        <f t="shared" si="59"/>
        <v/>
      </c>
      <c r="Z275" s="208"/>
      <c r="AA275" s="27" t="str">
        <f t="shared" si="60"/>
        <v/>
      </c>
      <c r="AB275" s="208"/>
      <c r="AC275" s="27" t="str">
        <f t="shared" si="61"/>
        <v/>
      </c>
      <c r="AD275" s="208"/>
      <c r="AE275" s="27" t="str">
        <f t="shared" si="62"/>
        <v/>
      </c>
      <c r="AF275" s="48" t="str">
        <f t="shared" si="63"/>
        <v/>
      </c>
      <c r="AG275" s="48" t="str">
        <f t="shared" si="64"/>
        <v/>
      </c>
      <c r="AH275" s="209"/>
      <c r="AI275" s="210" t="str">
        <f t="shared" si="65"/>
        <v>Débil</v>
      </c>
      <c r="AJ275" s="21" t="str">
        <f>IFERROR(VLOOKUP((CONCATENATE(AG275,AI275)),Listados!$U$3:$V$11,2,FALSE),"")</f>
        <v/>
      </c>
      <c r="AK275" s="48">
        <f t="shared" si="66"/>
        <v>100</v>
      </c>
      <c r="AL275" s="355"/>
      <c r="AM275" s="357"/>
      <c r="AN275" s="173">
        <f>+IF(AND(Q275="Preventivo",AM271="Fuerte"),2,IF(AND(Q275="Preventivo",AM271="Moderado"),1,0))</f>
        <v>0</v>
      </c>
      <c r="AO275" s="173">
        <f t="shared" si="67"/>
        <v>0</v>
      </c>
      <c r="AP275" s="173">
        <f>+K271-AN275</f>
        <v>1</v>
      </c>
      <c r="AQ275" s="173">
        <f>+M271-AO275</f>
        <v>2</v>
      </c>
      <c r="AR275" s="346"/>
      <c r="AS275" s="346"/>
      <c r="AT275" s="346"/>
      <c r="AU275" s="346"/>
      <c r="AV275" s="311"/>
      <c r="AW275" s="312"/>
      <c r="AX275" s="313"/>
      <c r="AY275" s="311"/>
      <c r="AZ275" s="312"/>
      <c r="BA275" s="313"/>
      <c r="BB275" s="311"/>
      <c r="BC275" s="312"/>
      <c r="BD275" s="313"/>
    </row>
    <row r="276" spans="1:56" ht="15.75" thickBot="1">
      <c r="A276" s="330"/>
      <c r="B276" s="331"/>
      <c r="C276" s="332"/>
      <c r="D276" s="333"/>
      <c r="E276" s="203"/>
      <c r="F276" s="203"/>
      <c r="G276" s="204"/>
      <c r="H276" s="204"/>
      <c r="I276" s="204"/>
      <c r="J276" s="331"/>
      <c r="K276" s="350"/>
      <c r="L276" s="352"/>
      <c r="M276" s="350"/>
      <c r="N276" s="359"/>
      <c r="O276" s="203"/>
      <c r="P276" s="205"/>
      <c r="Q276" s="205"/>
      <c r="R276" s="215"/>
      <c r="S276" s="27" t="str">
        <f t="shared" si="56"/>
        <v/>
      </c>
      <c r="T276" s="215"/>
      <c r="U276" s="27" t="str">
        <f t="shared" si="57"/>
        <v/>
      </c>
      <c r="V276" s="208"/>
      <c r="W276" s="27" t="str">
        <f t="shared" si="58"/>
        <v/>
      </c>
      <c r="X276" s="208"/>
      <c r="Y276" s="27" t="str">
        <f t="shared" si="59"/>
        <v/>
      </c>
      <c r="Z276" s="208"/>
      <c r="AA276" s="27" t="str">
        <f t="shared" si="60"/>
        <v/>
      </c>
      <c r="AB276" s="208"/>
      <c r="AC276" s="27" t="str">
        <f t="shared" si="61"/>
        <v/>
      </c>
      <c r="AD276" s="208"/>
      <c r="AE276" s="27" t="str">
        <f t="shared" si="62"/>
        <v/>
      </c>
      <c r="AF276" s="48" t="str">
        <f t="shared" si="63"/>
        <v/>
      </c>
      <c r="AG276" s="48" t="str">
        <f t="shared" si="64"/>
        <v/>
      </c>
      <c r="AH276" s="209"/>
      <c r="AI276" s="210" t="str">
        <f t="shared" si="65"/>
        <v>Débil</v>
      </c>
      <c r="AJ276" s="21" t="str">
        <f>IFERROR(VLOOKUP((CONCATENATE(AG276,AI276)),Listados!$U$3:$V$11,2,FALSE),"")</f>
        <v/>
      </c>
      <c r="AK276" s="48">
        <f t="shared" si="66"/>
        <v>100</v>
      </c>
      <c r="AL276" s="356"/>
      <c r="AM276" s="357"/>
      <c r="AN276" s="173">
        <f>+IF(AND(Q276="Preventivo",AM271="Fuerte"),2,IF(AND(Q276="Preventivo",AM271="Moderado"),1,0))</f>
        <v>0</v>
      </c>
      <c r="AO276" s="173">
        <f t="shared" si="67"/>
        <v>0</v>
      </c>
      <c r="AP276" s="173">
        <f>+K271-AN276</f>
        <v>1</v>
      </c>
      <c r="AQ276" s="173">
        <f>+M271-AO276</f>
        <v>2</v>
      </c>
      <c r="AR276" s="347"/>
      <c r="AS276" s="347"/>
      <c r="AT276" s="347"/>
      <c r="AU276" s="347"/>
      <c r="AV276" s="311"/>
      <c r="AW276" s="312"/>
      <c r="AX276" s="313"/>
      <c r="AY276" s="311"/>
      <c r="AZ276" s="312"/>
      <c r="BA276" s="313"/>
      <c r="BB276" s="311"/>
      <c r="BC276" s="312"/>
      <c r="BD276" s="313"/>
    </row>
    <row r="277" spans="1:56" ht="201" thickBot="1">
      <c r="A277" s="328">
        <v>46</v>
      </c>
      <c r="B277" s="331" t="s">
        <v>68</v>
      </c>
      <c r="C277" s="332" t="str">
        <f>IFERROR(VLOOKUP(B277,Listados!B$3:C$20,2,FALSE),"")</f>
        <v>Gestión contra la Criminalidad y la Reincidencia</v>
      </c>
      <c r="D277" s="333" t="s">
        <v>557</v>
      </c>
      <c r="E277" s="203" t="s">
        <v>15</v>
      </c>
      <c r="F277" s="203" t="s">
        <v>178</v>
      </c>
      <c r="G277" s="204" t="s">
        <v>558</v>
      </c>
      <c r="H277" s="204" t="s">
        <v>30</v>
      </c>
      <c r="I277" s="204" t="s">
        <v>559</v>
      </c>
      <c r="J277" s="331" t="s">
        <v>31</v>
      </c>
      <c r="K277" s="348">
        <f>+VLOOKUP(J277,[4]Listados!$K$8:$L$12,2,0)</f>
        <v>2</v>
      </c>
      <c r="L277" s="351" t="s">
        <v>32</v>
      </c>
      <c r="M277" s="348">
        <f>+VLOOKUP(L277,Listados!$K$13:$L$17,2,0)</f>
        <v>2</v>
      </c>
      <c r="N277" s="358" t="str">
        <f>IF(AND(J277&lt;&gt;"",L277&lt;&gt;""),VLOOKUP(J277&amp;L277,Listados!$M$3:$N$27,2,FALSE),"")</f>
        <v>Bajo</v>
      </c>
      <c r="O277" s="205" t="s">
        <v>560</v>
      </c>
      <c r="P277" s="203" t="s">
        <v>558</v>
      </c>
      <c r="Q277" s="204" t="s">
        <v>20</v>
      </c>
      <c r="R277" s="215"/>
      <c r="S277" s="27" t="str">
        <f t="shared" si="56"/>
        <v/>
      </c>
      <c r="T277" s="215"/>
      <c r="U277" s="27" t="str">
        <f t="shared" si="57"/>
        <v/>
      </c>
      <c r="V277" s="208"/>
      <c r="W277" s="27" t="str">
        <f t="shared" si="58"/>
        <v/>
      </c>
      <c r="X277" s="208"/>
      <c r="Y277" s="27" t="str">
        <f t="shared" si="59"/>
        <v/>
      </c>
      <c r="Z277" s="208"/>
      <c r="AA277" s="27" t="str">
        <f t="shared" si="60"/>
        <v/>
      </c>
      <c r="AB277" s="208"/>
      <c r="AC277" s="27" t="str">
        <f t="shared" si="61"/>
        <v/>
      </c>
      <c r="AD277" s="208"/>
      <c r="AE277" s="27" t="str">
        <f t="shared" si="62"/>
        <v/>
      </c>
      <c r="AF277" s="48" t="str">
        <f t="shared" si="63"/>
        <v/>
      </c>
      <c r="AG277" s="48" t="str">
        <f t="shared" si="64"/>
        <v/>
      </c>
      <c r="AH277" s="209"/>
      <c r="AI277" s="210" t="str">
        <f t="shared" si="65"/>
        <v>Débil</v>
      </c>
      <c r="AJ277" s="21" t="str">
        <f>IFERROR(VLOOKUP((CONCATENATE(AG277,AI277)),Listados!$U$3:$V$11,2,FALSE),"")</f>
        <v/>
      </c>
      <c r="AK277" s="48">
        <f t="shared" si="66"/>
        <v>100</v>
      </c>
      <c r="AL277" s="354">
        <f>AVERAGE(AK277:AK282)</f>
        <v>100</v>
      </c>
      <c r="AM277" s="356" t="str">
        <f>IF(AL277&lt;=50, "Débil", IF(AL277&lt;=99,"Moderado","Fuerte"))</f>
        <v>Fuerte</v>
      </c>
      <c r="AN277" s="173">
        <f>+IF(AND(Q277="Preventivo",AM277="Fuerte"),2,IF(AND(Q277="Preventivo",AM277="Moderado"),1,0))</f>
        <v>2</v>
      </c>
      <c r="AO277" s="173">
        <f t="shared" si="67"/>
        <v>1</v>
      </c>
      <c r="AP277" s="173">
        <f>+K277-AN277</f>
        <v>0</v>
      </c>
      <c r="AQ277" s="173">
        <f>+M277-AO277</f>
        <v>1</v>
      </c>
      <c r="AR277" s="345" t="str">
        <f>+VLOOKUP(MIN(AP277,AP278,AP279,AP280,AP281,AP282),Listados!$J$18:$K$24,2,TRUE)</f>
        <v>Rara Vez</v>
      </c>
      <c r="AS277" s="345" t="str">
        <f>+VLOOKUP(MIN(AQ277,AQ278,AQ279,AQ280,AQ281,AQ282),Listados!$J$27:$K$32,2,TRUE)</f>
        <v>Insignificante</v>
      </c>
      <c r="AT277" s="345" t="str">
        <f>IF(AND(AR277&lt;&gt;"",AS277&lt;&gt;""),VLOOKUP(AR277&amp;AS277,Listados!$M$3:$N$27,2,FALSE),"")</f>
        <v>Bajo</v>
      </c>
      <c r="AU277" s="345" t="str">
        <f>+VLOOKUP(AT277,Listados!$P$3:$Q$6,2,FALSE)</f>
        <v>Asumir el riesgo</v>
      </c>
      <c r="AV277" s="311"/>
      <c r="AW277" s="312"/>
      <c r="AX277" s="313"/>
      <c r="AY277" s="311"/>
      <c r="AZ277" s="312"/>
      <c r="BA277" s="313"/>
      <c r="BB277" s="311"/>
      <c r="BC277" s="312"/>
      <c r="BD277" s="313"/>
    </row>
    <row r="278" spans="1:56" ht="201" thickBot="1">
      <c r="A278" s="329"/>
      <c r="B278" s="331"/>
      <c r="C278" s="332"/>
      <c r="D278" s="333"/>
      <c r="E278" s="203"/>
      <c r="F278" s="203"/>
      <c r="G278" s="204" t="s">
        <v>561</v>
      </c>
      <c r="H278" s="204" t="s">
        <v>16</v>
      </c>
      <c r="I278" s="204" t="s">
        <v>562</v>
      </c>
      <c r="J278" s="331"/>
      <c r="K278" s="349"/>
      <c r="L278" s="352"/>
      <c r="M278" s="349"/>
      <c r="N278" s="359"/>
      <c r="O278" s="205" t="s">
        <v>560</v>
      </c>
      <c r="P278" s="203" t="s">
        <v>561</v>
      </c>
      <c r="Q278" s="204" t="s">
        <v>20</v>
      </c>
      <c r="R278" s="215"/>
      <c r="S278" s="27" t="str">
        <f t="shared" si="56"/>
        <v/>
      </c>
      <c r="T278" s="215"/>
      <c r="U278" s="27" t="str">
        <f t="shared" si="57"/>
        <v/>
      </c>
      <c r="V278" s="208"/>
      <c r="W278" s="27" t="str">
        <f t="shared" si="58"/>
        <v/>
      </c>
      <c r="X278" s="208"/>
      <c r="Y278" s="27" t="str">
        <f t="shared" si="59"/>
        <v/>
      </c>
      <c r="Z278" s="208"/>
      <c r="AA278" s="27" t="str">
        <f t="shared" si="60"/>
        <v/>
      </c>
      <c r="AB278" s="208"/>
      <c r="AC278" s="27" t="str">
        <f t="shared" si="61"/>
        <v/>
      </c>
      <c r="AD278" s="208"/>
      <c r="AE278" s="27" t="str">
        <f t="shared" si="62"/>
        <v/>
      </c>
      <c r="AF278" s="48" t="str">
        <f t="shared" si="63"/>
        <v/>
      </c>
      <c r="AG278" s="48" t="str">
        <f t="shared" si="64"/>
        <v/>
      </c>
      <c r="AH278" s="209"/>
      <c r="AI278" s="210" t="str">
        <f t="shared" si="65"/>
        <v>Débil</v>
      </c>
      <c r="AJ278" s="21" t="str">
        <f>IFERROR(VLOOKUP((CONCATENATE(AG278,AI278)),Listados!$U$3:$V$11,2,FALSE),"")</f>
        <v/>
      </c>
      <c r="AK278" s="48">
        <f t="shared" si="66"/>
        <v>100</v>
      </c>
      <c r="AL278" s="355"/>
      <c r="AM278" s="357"/>
      <c r="AN278" s="173">
        <f>+IF(AND(Q278="Preventivo",AM277="Fuerte"),2,IF(AND(Q278="Preventivo",AM277="Moderado"),1,0))</f>
        <v>2</v>
      </c>
      <c r="AO278" s="173">
        <f t="shared" si="67"/>
        <v>1</v>
      </c>
      <c r="AP278" s="173">
        <f>+K277-AN278</f>
        <v>0</v>
      </c>
      <c r="AQ278" s="173">
        <f>+M277-AO278</f>
        <v>1</v>
      </c>
      <c r="AR278" s="346"/>
      <c r="AS278" s="346"/>
      <c r="AT278" s="346"/>
      <c r="AU278" s="346"/>
      <c r="AV278" s="311"/>
      <c r="AW278" s="312"/>
      <c r="AX278" s="313"/>
      <c r="AY278" s="311"/>
      <c r="AZ278" s="312"/>
      <c r="BA278" s="313"/>
      <c r="BB278" s="311"/>
      <c r="BC278" s="312"/>
      <c r="BD278" s="313"/>
    </row>
    <row r="279" spans="1:56" ht="15.75" thickBot="1">
      <c r="A279" s="329"/>
      <c r="B279" s="331"/>
      <c r="C279" s="332"/>
      <c r="D279" s="333"/>
      <c r="E279" s="203"/>
      <c r="F279" s="203"/>
      <c r="G279" s="204"/>
      <c r="H279" s="204"/>
      <c r="I279" s="204" t="s">
        <v>402</v>
      </c>
      <c r="J279" s="331"/>
      <c r="K279" s="349"/>
      <c r="L279" s="352"/>
      <c r="M279" s="349"/>
      <c r="N279" s="359"/>
      <c r="O279" s="203"/>
      <c r="P279" s="205"/>
      <c r="Q279" s="205"/>
      <c r="R279" s="215"/>
      <c r="S279" s="27" t="str">
        <f t="shared" si="56"/>
        <v/>
      </c>
      <c r="T279" s="215"/>
      <c r="U279" s="27" t="str">
        <f t="shared" si="57"/>
        <v/>
      </c>
      <c r="V279" s="208"/>
      <c r="W279" s="27" t="str">
        <f t="shared" si="58"/>
        <v/>
      </c>
      <c r="X279" s="208"/>
      <c r="Y279" s="27" t="str">
        <f t="shared" si="59"/>
        <v/>
      </c>
      <c r="Z279" s="208"/>
      <c r="AA279" s="27" t="str">
        <f t="shared" si="60"/>
        <v/>
      </c>
      <c r="AB279" s="208"/>
      <c r="AC279" s="27" t="str">
        <f t="shared" si="61"/>
        <v/>
      </c>
      <c r="AD279" s="208"/>
      <c r="AE279" s="27" t="str">
        <f t="shared" si="62"/>
        <v/>
      </c>
      <c r="AF279" s="48" t="str">
        <f t="shared" si="63"/>
        <v/>
      </c>
      <c r="AG279" s="48" t="str">
        <f t="shared" si="64"/>
        <v/>
      </c>
      <c r="AH279" s="209"/>
      <c r="AI279" s="210" t="str">
        <f t="shared" si="65"/>
        <v>Débil</v>
      </c>
      <c r="AJ279" s="21" t="str">
        <f>IFERROR(VLOOKUP((CONCATENATE(AG279,AI279)),Listados!$U$3:$V$11,2,FALSE),"")</f>
        <v/>
      </c>
      <c r="AK279" s="48">
        <f t="shared" si="66"/>
        <v>100</v>
      </c>
      <c r="AL279" s="355"/>
      <c r="AM279" s="357"/>
      <c r="AN279" s="173">
        <f>+IF(AND(Q279="Preventivo",AM277="Fuerte"),2,IF(AND(Q279="Preventivo",AM277="Moderado"),1,0))</f>
        <v>0</v>
      </c>
      <c r="AO279" s="173">
        <f t="shared" si="67"/>
        <v>0</v>
      </c>
      <c r="AP279" s="173">
        <f>+K277-AN279</f>
        <v>2</v>
      </c>
      <c r="AQ279" s="173">
        <f>+M277-AO279</f>
        <v>2</v>
      </c>
      <c r="AR279" s="346"/>
      <c r="AS279" s="346"/>
      <c r="AT279" s="346"/>
      <c r="AU279" s="346"/>
      <c r="AV279" s="311"/>
      <c r="AW279" s="312"/>
      <c r="AX279" s="313"/>
      <c r="AY279" s="311"/>
      <c r="AZ279" s="312"/>
      <c r="BA279" s="313"/>
      <c r="BB279" s="311"/>
      <c r="BC279" s="312"/>
      <c r="BD279" s="313"/>
    </row>
    <row r="280" spans="1:56" ht="29.25" thickBot="1">
      <c r="A280" s="329"/>
      <c r="B280" s="331"/>
      <c r="C280" s="332"/>
      <c r="D280" s="333"/>
      <c r="E280" s="203"/>
      <c r="F280" s="203"/>
      <c r="G280" s="204"/>
      <c r="H280" s="204"/>
      <c r="I280" s="204" t="s">
        <v>563</v>
      </c>
      <c r="J280" s="331"/>
      <c r="K280" s="349"/>
      <c r="L280" s="352"/>
      <c r="M280" s="349"/>
      <c r="N280" s="359"/>
      <c r="O280" s="203"/>
      <c r="P280" s="205"/>
      <c r="Q280" s="205"/>
      <c r="R280" s="215"/>
      <c r="S280" s="27" t="str">
        <f t="shared" si="56"/>
        <v/>
      </c>
      <c r="T280" s="215"/>
      <c r="U280" s="27" t="str">
        <f t="shared" si="57"/>
        <v/>
      </c>
      <c r="V280" s="208"/>
      <c r="W280" s="27" t="str">
        <f t="shared" si="58"/>
        <v/>
      </c>
      <c r="X280" s="208"/>
      <c r="Y280" s="27" t="str">
        <f t="shared" si="59"/>
        <v/>
      </c>
      <c r="Z280" s="208"/>
      <c r="AA280" s="27" t="str">
        <f t="shared" si="60"/>
        <v/>
      </c>
      <c r="AB280" s="208"/>
      <c r="AC280" s="27" t="str">
        <f t="shared" si="61"/>
        <v/>
      </c>
      <c r="AD280" s="208"/>
      <c r="AE280" s="27" t="str">
        <f t="shared" si="62"/>
        <v/>
      </c>
      <c r="AF280" s="48" t="str">
        <f t="shared" si="63"/>
        <v/>
      </c>
      <c r="AG280" s="48" t="str">
        <f t="shared" si="64"/>
        <v/>
      </c>
      <c r="AH280" s="209"/>
      <c r="AI280" s="210" t="str">
        <f t="shared" si="65"/>
        <v>Débil</v>
      </c>
      <c r="AJ280" s="21" t="str">
        <f>IFERROR(VLOOKUP((CONCATENATE(AG280,AI280)),Listados!$U$3:$V$11,2,FALSE),"")</f>
        <v/>
      </c>
      <c r="AK280" s="48">
        <f t="shared" si="66"/>
        <v>100</v>
      </c>
      <c r="AL280" s="355"/>
      <c r="AM280" s="357"/>
      <c r="AN280" s="173">
        <f>+IF(AND(Q280="Preventivo",AM277="Fuerte"),2,IF(AND(Q280="Preventivo",AM277="Moderado"),1,0))</f>
        <v>0</v>
      </c>
      <c r="AO280" s="173">
        <f t="shared" si="67"/>
        <v>0</v>
      </c>
      <c r="AP280" s="173">
        <f>+K277-AN280</f>
        <v>2</v>
      </c>
      <c r="AQ280" s="173">
        <f>+M277-AO280</f>
        <v>2</v>
      </c>
      <c r="AR280" s="346"/>
      <c r="AS280" s="346"/>
      <c r="AT280" s="346"/>
      <c r="AU280" s="346"/>
      <c r="AV280" s="311"/>
      <c r="AW280" s="312"/>
      <c r="AX280" s="313"/>
      <c r="AY280" s="311"/>
      <c r="AZ280" s="312"/>
      <c r="BA280" s="313"/>
      <c r="BB280" s="311"/>
      <c r="BC280" s="312"/>
      <c r="BD280" s="313"/>
    </row>
    <row r="281" spans="1:56" ht="15.75" thickBot="1">
      <c r="A281" s="329"/>
      <c r="B281" s="331"/>
      <c r="C281" s="332"/>
      <c r="D281" s="333"/>
      <c r="E281" s="203"/>
      <c r="F281" s="203"/>
      <c r="G281" s="204"/>
      <c r="H281" s="204"/>
      <c r="I281" s="204"/>
      <c r="J281" s="331"/>
      <c r="K281" s="349"/>
      <c r="L281" s="352"/>
      <c r="M281" s="349"/>
      <c r="N281" s="359"/>
      <c r="O281" s="203"/>
      <c r="P281" s="205"/>
      <c r="Q281" s="205"/>
      <c r="R281" s="215"/>
      <c r="S281" s="27" t="str">
        <f t="shared" si="56"/>
        <v/>
      </c>
      <c r="T281" s="215"/>
      <c r="U281" s="27" t="str">
        <f t="shared" si="57"/>
        <v/>
      </c>
      <c r="V281" s="208"/>
      <c r="W281" s="27" t="str">
        <f t="shared" si="58"/>
        <v/>
      </c>
      <c r="X281" s="208"/>
      <c r="Y281" s="27" t="str">
        <f t="shared" si="59"/>
        <v/>
      </c>
      <c r="Z281" s="208"/>
      <c r="AA281" s="27" t="str">
        <f t="shared" si="60"/>
        <v/>
      </c>
      <c r="AB281" s="208"/>
      <c r="AC281" s="27" t="str">
        <f t="shared" si="61"/>
        <v/>
      </c>
      <c r="AD281" s="208"/>
      <c r="AE281" s="27" t="str">
        <f t="shared" si="62"/>
        <v/>
      </c>
      <c r="AF281" s="48" t="str">
        <f t="shared" si="63"/>
        <v/>
      </c>
      <c r="AG281" s="48" t="str">
        <f t="shared" si="64"/>
        <v/>
      </c>
      <c r="AH281" s="209"/>
      <c r="AI281" s="210" t="str">
        <f t="shared" si="65"/>
        <v>Débil</v>
      </c>
      <c r="AJ281" s="21" t="str">
        <f>IFERROR(VLOOKUP((CONCATENATE(AG281,AI281)),Listados!$U$3:$V$11,2,FALSE),"")</f>
        <v/>
      </c>
      <c r="AK281" s="48">
        <f t="shared" si="66"/>
        <v>100</v>
      </c>
      <c r="AL281" s="355"/>
      <c r="AM281" s="357"/>
      <c r="AN281" s="173">
        <f>+IF(AND(Q281="Preventivo",AM277="Fuerte"),2,IF(AND(Q281="Preventivo",AM277="Moderado"),1,0))</f>
        <v>0</v>
      </c>
      <c r="AO281" s="173">
        <f t="shared" si="67"/>
        <v>0</v>
      </c>
      <c r="AP281" s="173">
        <f>+K277-AN281</f>
        <v>2</v>
      </c>
      <c r="AQ281" s="173">
        <f>+M277-AO281</f>
        <v>2</v>
      </c>
      <c r="AR281" s="346"/>
      <c r="AS281" s="346"/>
      <c r="AT281" s="346"/>
      <c r="AU281" s="346"/>
      <c r="AV281" s="311"/>
      <c r="AW281" s="312"/>
      <c r="AX281" s="313"/>
      <c r="AY281" s="311"/>
      <c r="AZ281" s="312"/>
      <c r="BA281" s="313"/>
      <c r="BB281" s="311"/>
      <c r="BC281" s="312"/>
      <c r="BD281" s="313"/>
    </row>
    <row r="282" spans="1:56" ht="15.75" thickBot="1">
      <c r="A282" s="330"/>
      <c r="B282" s="331"/>
      <c r="C282" s="332"/>
      <c r="D282" s="333"/>
      <c r="E282" s="203"/>
      <c r="F282" s="203"/>
      <c r="G282" s="204"/>
      <c r="H282" s="204"/>
      <c r="I282" s="204"/>
      <c r="J282" s="331"/>
      <c r="K282" s="350"/>
      <c r="L282" s="352"/>
      <c r="M282" s="350"/>
      <c r="N282" s="359"/>
      <c r="O282" s="203"/>
      <c r="P282" s="205"/>
      <c r="Q282" s="205"/>
      <c r="R282" s="215"/>
      <c r="S282" s="27" t="str">
        <f t="shared" si="56"/>
        <v/>
      </c>
      <c r="T282" s="215"/>
      <c r="U282" s="27" t="str">
        <f t="shared" si="57"/>
        <v/>
      </c>
      <c r="V282" s="208"/>
      <c r="W282" s="27" t="str">
        <f t="shared" si="58"/>
        <v/>
      </c>
      <c r="X282" s="208"/>
      <c r="Y282" s="27" t="str">
        <f t="shared" si="59"/>
        <v/>
      </c>
      <c r="Z282" s="208"/>
      <c r="AA282" s="27" t="str">
        <f t="shared" si="60"/>
        <v/>
      </c>
      <c r="AB282" s="208"/>
      <c r="AC282" s="27" t="str">
        <f t="shared" si="61"/>
        <v/>
      </c>
      <c r="AD282" s="208"/>
      <c r="AE282" s="27" t="str">
        <f t="shared" si="62"/>
        <v/>
      </c>
      <c r="AF282" s="48" t="str">
        <f t="shared" si="63"/>
        <v/>
      </c>
      <c r="AG282" s="48" t="str">
        <f t="shared" si="64"/>
        <v/>
      </c>
      <c r="AH282" s="209"/>
      <c r="AI282" s="210" t="str">
        <f t="shared" si="65"/>
        <v>Débil</v>
      </c>
      <c r="AJ282" s="21" t="str">
        <f>IFERROR(VLOOKUP((CONCATENATE(AG282,AI282)),Listados!$U$3:$V$11,2,FALSE),"")</f>
        <v/>
      </c>
      <c r="AK282" s="48">
        <f t="shared" si="66"/>
        <v>100</v>
      </c>
      <c r="AL282" s="356"/>
      <c r="AM282" s="357"/>
      <c r="AN282" s="173">
        <f>+IF(AND(Q282="Preventivo",AM277="Fuerte"),2,IF(AND(Q282="Preventivo",AM277="Moderado"),1,0))</f>
        <v>0</v>
      </c>
      <c r="AO282" s="173">
        <f t="shared" si="67"/>
        <v>0</v>
      </c>
      <c r="AP282" s="173">
        <f>+K277-AN282</f>
        <v>2</v>
      </c>
      <c r="AQ282" s="173">
        <f>+M277-AO282</f>
        <v>2</v>
      </c>
      <c r="AR282" s="347"/>
      <c r="AS282" s="347"/>
      <c r="AT282" s="347"/>
      <c r="AU282" s="347"/>
      <c r="AV282" s="311"/>
      <c r="AW282" s="312"/>
      <c r="AX282" s="313"/>
      <c r="AY282" s="311"/>
      <c r="AZ282" s="312"/>
      <c r="BA282" s="313"/>
      <c r="BB282" s="311"/>
      <c r="BC282" s="312"/>
      <c r="BD282" s="313"/>
    </row>
    <row r="283" spans="1:56" ht="172.5" thickBot="1">
      <c r="A283" s="328">
        <v>47</v>
      </c>
      <c r="B283" s="331" t="s">
        <v>68</v>
      </c>
      <c r="C283" s="332" t="str">
        <f>IFERROR(VLOOKUP(B283,Listados!B$3:C$20,2,FALSE),"")</f>
        <v>Gestión contra la Criminalidad y la Reincidencia</v>
      </c>
      <c r="D283" s="333" t="s">
        <v>564</v>
      </c>
      <c r="E283" s="203" t="s">
        <v>15</v>
      </c>
      <c r="F283" s="203" t="s">
        <v>178</v>
      </c>
      <c r="G283" s="204" t="s">
        <v>565</v>
      </c>
      <c r="H283" s="204" t="s">
        <v>30</v>
      </c>
      <c r="I283" s="204" t="s">
        <v>402</v>
      </c>
      <c r="J283" s="331" t="s">
        <v>31</v>
      </c>
      <c r="K283" s="348">
        <f>+VLOOKUP(J283,[4]Listados!$K$8:$L$12,2,0)</f>
        <v>2</v>
      </c>
      <c r="L283" s="351" t="s">
        <v>32</v>
      </c>
      <c r="M283" s="348">
        <f>+VLOOKUP(L283,Listados!$K$13:$L$17,2,0)</f>
        <v>2</v>
      </c>
      <c r="N283" s="358" t="str">
        <f>IF(AND(J283&lt;&gt;"",L283&lt;&gt;""),VLOOKUP(J283&amp;L283,Listados!$M$3:$N$27,2,FALSE),"")</f>
        <v>Bajo</v>
      </c>
      <c r="O283" s="226" t="s">
        <v>566</v>
      </c>
      <c r="P283" s="205" t="s">
        <v>565</v>
      </c>
      <c r="Q283" s="205" t="s">
        <v>20</v>
      </c>
      <c r="R283" s="215"/>
      <c r="S283" s="27" t="str">
        <f t="shared" si="56"/>
        <v/>
      </c>
      <c r="T283" s="215"/>
      <c r="U283" s="27" t="str">
        <f t="shared" si="57"/>
        <v/>
      </c>
      <c r="V283" s="208"/>
      <c r="W283" s="27" t="str">
        <f t="shared" si="58"/>
        <v/>
      </c>
      <c r="X283" s="208"/>
      <c r="Y283" s="27" t="str">
        <f t="shared" si="59"/>
        <v/>
      </c>
      <c r="Z283" s="208"/>
      <c r="AA283" s="27" t="str">
        <f t="shared" si="60"/>
        <v/>
      </c>
      <c r="AB283" s="208"/>
      <c r="AC283" s="27" t="str">
        <f t="shared" si="61"/>
        <v/>
      </c>
      <c r="AD283" s="208"/>
      <c r="AE283" s="27" t="str">
        <f t="shared" si="62"/>
        <v/>
      </c>
      <c r="AF283" s="48" t="str">
        <f t="shared" si="63"/>
        <v/>
      </c>
      <c r="AG283" s="48" t="str">
        <f t="shared" si="64"/>
        <v/>
      </c>
      <c r="AH283" s="209"/>
      <c r="AI283" s="210" t="str">
        <f t="shared" si="65"/>
        <v>Débil</v>
      </c>
      <c r="AJ283" s="21" t="str">
        <f>IFERROR(VLOOKUP((CONCATENATE(AG283,AI283)),Listados!$U$3:$V$11,2,FALSE),"")</f>
        <v/>
      </c>
      <c r="AK283" s="48">
        <f t="shared" si="66"/>
        <v>100</v>
      </c>
      <c r="AL283" s="354">
        <f>AVERAGE(AK283:AK288)</f>
        <v>100</v>
      </c>
      <c r="AM283" s="356" t="str">
        <f>IF(AL283&lt;=50, "Débil", IF(AL283&lt;=99,"Moderado","Fuerte"))</f>
        <v>Fuerte</v>
      </c>
      <c r="AN283" s="173">
        <f>+IF(AND(Q283="Preventivo",AM283="Fuerte"),2,IF(AND(Q283="Preventivo",AM283="Moderado"),1,0))</f>
        <v>2</v>
      </c>
      <c r="AO283" s="173">
        <f t="shared" si="67"/>
        <v>1</v>
      </c>
      <c r="AP283" s="173">
        <f>+K283-AN283</f>
        <v>0</v>
      </c>
      <c r="AQ283" s="173">
        <f>+M283-AO283</f>
        <v>1</v>
      </c>
      <c r="AR283" s="345" t="str">
        <f>+VLOOKUP(MIN(AP283,AP284,AP285,AP286,AP287,AP288),Listados!$J$18:$K$24,2,TRUE)</f>
        <v>Rara Vez</v>
      </c>
      <c r="AS283" s="345" t="str">
        <f>+VLOOKUP(MIN(AQ283,AQ284,AQ285,AQ286,AQ287,AQ288),Listados!$J$27:$K$32,2,TRUE)</f>
        <v>Insignificante</v>
      </c>
      <c r="AT283" s="345" t="str">
        <f>IF(AND(AR283&lt;&gt;"",AS283&lt;&gt;""),VLOOKUP(AR283&amp;AS283,Listados!$M$3:$N$27,2,FALSE),"")</f>
        <v>Bajo</v>
      </c>
      <c r="AU283" s="345" t="str">
        <f>+VLOOKUP(AT283,Listados!$P$3:$Q$6,2,FALSE)</f>
        <v>Asumir el riesgo</v>
      </c>
      <c r="AV283" s="311"/>
      <c r="AW283" s="312"/>
      <c r="AX283" s="313"/>
      <c r="AY283" s="311"/>
      <c r="AZ283" s="312"/>
      <c r="BA283" s="313"/>
      <c r="BB283" s="311"/>
      <c r="BC283" s="312"/>
      <c r="BD283" s="313"/>
    </row>
    <row r="284" spans="1:56" ht="225" customHeight="1" thickBot="1">
      <c r="A284" s="329"/>
      <c r="B284" s="331"/>
      <c r="C284" s="332"/>
      <c r="D284" s="333"/>
      <c r="E284" s="203"/>
      <c r="F284" s="203"/>
      <c r="G284" s="230" t="s">
        <v>567</v>
      </c>
      <c r="H284" s="204"/>
      <c r="I284" s="204" t="s">
        <v>563</v>
      </c>
      <c r="J284" s="331"/>
      <c r="K284" s="349"/>
      <c r="L284" s="352"/>
      <c r="M284" s="349"/>
      <c r="N284" s="359"/>
      <c r="O284" s="226" t="s">
        <v>568</v>
      </c>
      <c r="P284" s="205" t="s">
        <v>565</v>
      </c>
      <c r="Q284" s="205" t="s">
        <v>20</v>
      </c>
      <c r="R284" s="215"/>
      <c r="S284" s="27" t="str">
        <f t="shared" si="56"/>
        <v/>
      </c>
      <c r="T284" s="215"/>
      <c r="U284" s="27" t="str">
        <f t="shared" si="57"/>
        <v/>
      </c>
      <c r="V284" s="208"/>
      <c r="W284" s="27" t="str">
        <f t="shared" si="58"/>
        <v/>
      </c>
      <c r="X284" s="208"/>
      <c r="Y284" s="27" t="str">
        <f t="shared" si="59"/>
        <v/>
      </c>
      <c r="Z284" s="208"/>
      <c r="AA284" s="27" t="str">
        <f t="shared" si="60"/>
        <v/>
      </c>
      <c r="AB284" s="208"/>
      <c r="AC284" s="27" t="str">
        <f t="shared" si="61"/>
        <v/>
      </c>
      <c r="AD284" s="208"/>
      <c r="AE284" s="27" t="str">
        <f t="shared" si="62"/>
        <v/>
      </c>
      <c r="AF284" s="48" t="str">
        <f t="shared" si="63"/>
        <v/>
      </c>
      <c r="AG284" s="48" t="str">
        <f t="shared" si="64"/>
        <v/>
      </c>
      <c r="AH284" s="209"/>
      <c r="AI284" s="210" t="str">
        <f t="shared" si="65"/>
        <v>Débil</v>
      </c>
      <c r="AJ284" s="21" t="str">
        <f>IFERROR(VLOOKUP((CONCATENATE(AG284,AI284)),Listados!$U$3:$V$11,2,FALSE),"")</f>
        <v/>
      </c>
      <c r="AK284" s="48">
        <f t="shared" si="66"/>
        <v>100</v>
      </c>
      <c r="AL284" s="355"/>
      <c r="AM284" s="357"/>
      <c r="AN284" s="173">
        <f>+IF(AND(Q284="Preventivo",AM283="Fuerte"),2,IF(AND(Q284="Preventivo",AM283="Moderado"),1,0))</f>
        <v>2</v>
      </c>
      <c r="AO284" s="173">
        <f t="shared" si="67"/>
        <v>1</v>
      </c>
      <c r="AP284" s="173">
        <f>+K283-AN284</f>
        <v>0</v>
      </c>
      <c r="AQ284" s="173">
        <f>+M283-AO284</f>
        <v>1</v>
      </c>
      <c r="AR284" s="346"/>
      <c r="AS284" s="346"/>
      <c r="AT284" s="346"/>
      <c r="AU284" s="346"/>
      <c r="AV284" s="311"/>
      <c r="AW284" s="312"/>
      <c r="AX284" s="313"/>
      <c r="AY284" s="311"/>
      <c r="AZ284" s="312"/>
      <c r="BA284" s="313"/>
      <c r="BB284" s="311"/>
      <c r="BC284" s="312"/>
      <c r="BD284" s="313"/>
    </row>
    <row r="285" spans="1:56" ht="57.75" thickBot="1">
      <c r="A285" s="329"/>
      <c r="B285" s="331"/>
      <c r="C285" s="332"/>
      <c r="D285" s="333"/>
      <c r="E285" s="203"/>
      <c r="F285" s="203"/>
      <c r="G285" s="230" t="s">
        <v>569</v>
      </c>
      <c r="H285" s="204"/>
      <c r="I285" s="204"/>
      <c r="J285" s="331"/>
      <c r="K285" s="349"/>
      <c r="L285" s="352"/>
      <c r="M285" s="349"/>
      <c r="N285" s="359"/>
      <c r="O285" s="203"/>
      <c r="P285" s="205"/>
      <c r="Q285" s="205"/>
      <c r="R285" s="215"/>
      <c r="S285" s="27" t="str">
        <f t="shared" si="56"/>
        <v/>
      </c>
      <c r="T285" s="215"/>
      <c r="U285" s="27" t="str">
        <f t="shared" si="57"/>
        <v/>
      </c>
      <c r="V285" s="208"/>
      <c r="W285" s="27" t="str">
        <f t="shared" si="58"/>
        <v/>
      </c>
      <c r="X285" s="208"/>
      <c r="Y285" s="27" t="str">
        <f t="shared" si="59"/>
        <v/>
      </c>
      <c r="Z285" s="208"/>
      <c r="AA285" s="27" t="str">
        <f t="shared" si="60"/>
        <v/>
      </c>
      <c r="AB285" s="208"/>
      <c r="AC285" s="27" t="str">
        <f t="shared" si="61"/>
        <v/>
      </c>
      <c r="AD285" s="208"/>
      <c r="AE285" s="27" t="str">
        <f t="shared" si="62"/>
        <v/>
      </c>
      <c r="AF285" s="48" t="str">
        <f t="shared" si="63"/>
        <v/>
      </c>
      <c r="AG285" s="48" t="str">
        <f t="shared" si="64"/>
        <v/>
      </c>
      <c r="AH285" s="209"/>
      <c r="AI285" s="210" t="str">
        <f t="shared" si="65"/>
        <v>Débil</v>
      </c>
      <c r="AJ285" s="21" t="str">
        <f>IFERROR(VLOOKUP((CONCATENATE(AG285,AI285)),Listados!$U$3:$V$11,2,FALSE),"")</f>
        <v/>
      </c>
      <c r="AK285" s="48">
        <f t="shared" si="66"/>
        <v>100</v>
      </c>
      <c r="AL285" s="355"/>
      <c r="AM285" s="357"/>
      <c r="AN285" s="173">
        <f>+IF(AND(Q285="Preventivo",AM283="Fuerte"),2,IF(AND(Q285="Preventivo",AM283="Moderado"),1,0))</f>
        <v>0</v>
      </c>
      <c r="AO285" s="173">
        <f t="shared" si="67"/>
        <v>0</v>
      </c>
      <c r="AP285" s="173">
        <f>+K283-AN285</f>
        <v>2</v>
      </c>
      <c r="AQ285" s="173">
        <f>+M283-AO285</f>
        <v>2</v>
      </c>
      <c r="AR285" s="346"/>
      <c r="AS285" s="346"/>
      <c r="AT285" s="346"/>
      <c r="AU285" s="346"/>
      <c r="AV285" s="311"/>
      <c r="AW285" s="312"/>
      <c r="AX285" s="313"/>
      <c r="AY285" s="311"/>
      <c r="AZ285" s="312"/>
      <c r="BA285" s="313"/>
      <c r="BB285" s="311"/>
      <c r="BC285" s="312"/>
      <c r="BD285" s="313"/>
    </row>
    <row r="286" spans="1:56" ht="72" thickBot="1">
      <c r="A286" s="329"/>
      <c r="B286" s="331"/>
      <c r="C286" s="332"/>
      <c r="D286" s="333"/>
      <c r="E286" s="203"/>
      <c r="F286" s="203"/>
      <c r="G286" s="230" t="s">
        <v>570</v>
      </c>
      <c r="H286" s="204"/>
      <c r="I286" s="204"/>
      <c r="J286" s="331"/>
      <c r="K286" s="349"/>
      <c r="L286" s="352"/>
      <c r="M286" s="349"/>
      <c r="N286" s="359"/>
      <c r="O286" s="203"/>
      <c r="P286" s="205"/>
      <c r="Q286" s="205"/>
      <c r="R286" s="215"/>
      <c r="S286" s="27" t="str">
        <f t="shared" si="56"/>
        <v/>
      </c>
      <c r="T286" s="215"/>
      <c r="U286" s="27" t="str">
        <f t="shared" si="57"/>
        <v/>
      </c>
      <c r="V286" s="208"/>
      <c r="W286" s="27" t="str">
        <f t="shared" si="58"/>
        <v/>
      </c>
      <c r="X286" s="208"/>
      <c r="Y286" s="27" t="str">
        <f t="shared" si="59"/>
        <v/>
      </c>
      <c r="Z286" s="208"/>
      <c r="AA286" s="27" t="str">
        <f t="shared" si="60"/>
        <v/>
      </c>
      <c r="AB286" s="208"/>
      <c r="AC286" s="27" t="str">
        <f t="shared" si="61"/>
        <v/>
      </c>
      <c r="AD286" s="208"/>
      <c r="AE286" s="27" t="str">
        <f t="shared" si="62"/>
        <v/>
      </c>
      <c r="AF286" s="48" t="str">
        <f t="shared" si="63"/>
        <v/>
      </c>
      <c r="AG286" s="48" t="str">
        <f t="shared" si="64"/>
        <v/>
      </c>
      <c r="AH286" s="209"/>
      <c r="AI286" s="210" t="str">
        <f t="shared" si="65"/>
        <v>Débil</v>
      </c>
      <c r="AJ286" s="21" t="str">
        <f>IFERROR(VLOOKUP((CONCATENATE(AG286,AI286)),Listados!$U$3:$V$11,2,FALSE),"")</f>
        <v/>
      </c>
      <c r="AK286" s="48">
        <f t="shared" si="66"/>
        <v>100</v>
      </c>
      <c r="AL286" s="355"/>
      <c r="AM286" s="357"/>
      <c r="AN286" s="173">
        <f>+IF(AND(Q286="Preventivo",AM283="Fuerte"),2,IF(AND(Q286="Preventivo",AM283="Moderado"),1,0))</f>
        <v>0</v>
      </c>
      <c r="AO286" s="173">
        <f t="shared" si="67"/>
        <v>0</v>
      </c>
      <c r="AP286" s="173">
        <f>+K283-AN286</f>
        <v>2</v>
      </c>
      <c r="AQ286" s="173">
        <f>+M283-AO286</f>
        <v>2</v>
      </c>
      <c r="AR286" s="346"/>
      <c r="AS286" s="346"/>
      <c r="AT286" s="346"/>
      <c r="AU286" s="346"/>
      <c r="AV286" s="311"/>
      <c r="AW286" s="312"/>
      <c r="AX286" s="313"/>
      <c r="AY286" s="311"/>
      <c r="AZ286" s="312"/>
      <c r="BA286" s="313"/>
      <c r="BB286" s="311"/>
      <c r="BC286" s="312"/>
      <c r="BD286" s="313"/>
    </row>
    <row r="287" spans="1:56" ht="72" thickBot="1">
      <c r="A287" s="329"/>
      <c r="B287" s="331"/>
      <c r="C287" s="332"/>
      <c r="D287" s="333"/>
      <c r="E287" s="203"/>
      <c r="F287" s="203"/>
      <c r="G287" s="230" t="s">
        <v>571</v>
      </c>
      <c r="H287" s="204"/>
      <c r="I287" s="204"/>
      <c r="J287" s="331"/>
      <c r="K287" s="349"/>
      <c r="L287" s="352"/>
      <c r="M287" s="349"/>
      <c r="N287" s="359"/>
      <c r="O287" s="203"/>
      <c r="P287" s="205"/>
      <c r="Q287" s="205"/>
      <c r="R287" s="215"/>
      <c r="S287" s="27" t="str">
        <f t="shared" si="56"/>
        <v/>
      </c>
      <c r="T287" s="215"/>
      <c r="U287" s="27" t="str">
        <f t="shared" si="57"/>
        <v/>
      </c>
      <c r="V287" s="208"/>
      <c r="W287" s="27" t="str">
        <f t="shared" si="58"/>
        <v/>
      </c>
      <c r="X287" s="208"/>
      <c r="Y287" s="27" t="str">
        <f t="shared" si="59"/>
        <v/>
      </c>
      <c r="Z287" s="208"/>
      <c r="AA287" s="27" t="str">
        <f t="shared" si="60"/>
        <v/>
      </c>
      <c r="AB287" s="208"/>
      <c r="AC287" s="27" t="str">
        <f t="shared" si="61"/>
        <v/>
      </c>
      <c r="AD287" s="208"/>
      <c r="AE287" s="27" t="str">
        <f t="shared" si="62"/>
        <v/>
      </c>
      <c r="AF287" s="48" t="str">
        <f t="shared" si="63"/>
        <v/>
      </c>
      <c r="AG287" s="48" t="str">
        <f t="shared" si="64"/>
        <v/>
      </c>
      <c r="AH287" s="209"/>
      <c r="AI287" s="210" t="str">
        <f t="shared" si="65"/>
        <v>Débil</v>
      </c>
      <c r="AJ287" s="21" t="str">
        <f>IFERROR(VLOOKUP((CONCATENATE(AG287,AI287)),Listados!$U$3:$V$11,2,FALSE),"")</f>
        <v/>
      </c>
      <c r="AK287" s="48">
        <f t="shared" si="66"/>
        <v>100</v>
      </c>
      <c r="AL287" s="355"/>
      <c r="AM287" s="357"/>
      <c r="AN287" s="173">
        <f>+IF(AND(Q287="Preventivo",AM283="Fuerte"),2,IF(AND(Q287="Preventivo",AM283="Moderado"),1,0))</f>
        <v>0</v>
      </c>
      <c r="AO287" s="173">
        <f t="shared" si="67"/>
        <v>0</v>
      </c>
      <c r="AP287" s="173">
        <f>+K283-AN287</f>
        <v>2</v>
      </c>
      <c r="AQ287" s="173">
        <f>+M283-AO287</f>
        <v>2</v>
      </c>
      <c r="AR287" s="346"/>
      <c r="AS287" s="346"/>
      <c r="AT287" s="346"/>
      <c r="AU287" s="346"/>
      <c r="AV287" s="311"/>
      <c r="AW287" s="312"/>
      <c r="AX287" s="313"/>
      <c r="AY287" s="311"/>
      <c r="AZ287" s="312"/>
      <c r="BA287" s="313"/>
      <c r="BB287" s="311"/>
      <c r="BC287" s="312"/>
      <c r="BD287" s="313"/>
    </row>
    <row r="288" spans="1:56" ht="15.75" thickBot="1">
      <c r="A288" s="330"/>
      <c r="B288" s="331"/>
      <c r="C288" s="332"/>
      <c r="D288" s="333"/>
      <c r="E288" s="203"/>
      <c r="F288" s="203"/>
      <c r="G288" s="204"/>
      <c r="H288" s="204"/>
      <c r="I288" s="204"/>
      <c r="J288" s="331"/>
      <c r="K288" s="350"/>
      <c r="L288" s="352"/>
      <c r="M288" s="350"/>
      <c r="N288" s="359"/>
      <c r="O288" s="203"/>
      <c r="P288" s="205"/>
      <c r="Q288" s="205"/>
      <c r="R288" s="215"/>
      <c r="S288" s="27" t="str">
        <f t="shared" si="56"/>
        <v/>
      </c>
      <c r="T288" s="215"/>
      <c r="U288" s="27" t="str">
        <f t="shared" si="57"/>
        <v/>
      </c>
      <c r="V288" s="208"/>
      <c r="W288" s="27" t="str">
        <f t="shared" si="58"/>
        <v/>
      </c>
      <c r="X288" s="208"/>
      <c r="Y288" s="27" t="str">
        <f t="shared" si="59"/>
        <v/>
      </c>
      <c r="Z288" s="208"/>
      <c r="AA288" s="27" t="str">
        <f t="shared" si="60"/>
        <v/>
      </c>
      <c r="AB288" s="208"/>
      <c r="AC288" s="27" t="str">
        <f t="shared" si="61"/>
        <v/>
      </c>
      <c r="AD288" s="208"/>
      <c r="AE288" s="27" t="str">
        <f t="shared" si="62"/>
        <v/>
      </c>
      <c r="AF288" s="48" t="str">
        <f t="shared" si="63"/>
        <v/>
      </c>
      <c r="AG288" s="48" t="str">
        <f t="shared" si="64"/>
        <v/>
      </c>
      <c r="AH288" s="209"/>
      <c r="AI288" s="210" t="str">
        <f t="shared" si="65"/>
        <v>Débil</v>
      </c>
      <c r="AJ288" s="21" t="str">
        <f>IFERROR(VLOOKUP((CONCATENATE(AG288,AI288)),Listados!$U$3:$V$11,2,FALSE),"")</f>
        <v/>
      </c>
      <c r="AK288" s="48">
        <f t="shared" si="66"/>
        <v>100</v>
      </c>
      <c r="AL288" s="356"/>
      <c r="AM288" s="357"/>
      <c r="AN288" s="173">
        <f>+IF(AND(Q288="Preventivo",AM283="Fuerte"),2,IF(AND(Q288="Preventivo",AM283="Moderado"),1,0))</f>
        <v>0</v>
      </c>
      <c r="AO288" s="173">
        <f t="shared" si="67"/>
        <v>0</v>
      </c>
      <c r="AP288" s="173">
        <f>+K283-AN288</f>
        <v>2</v>
      </c>
      <c r="AQ288" s="173">
        <f>+M283-AO288</f>
        <v>2</v>
      </c>
      <c r="AR288" s="347"/>
      <c r="AS288" s="347"/>
      <c r="AT288" s="347"/>
      <c r="AU288" s="347"/>
      <c r="AV288" s="311"/>
      <c r="AW288" s="312"/>
      <c r="AX288" s="313"/>
      <c r="AY288" s="311"/>
      <c r="AZ288" s="312"/>
      <c r="BA288" s="313"/>
      <c r="BB288" s="311"/>
      <c r="BC288" s="312"/>
      <c r="BD288" s="313"/>
    </row>
    <row r="289" spans="1:56" ht="229.5" thickBot="1">
      <c r="A289" s="328">
        <v>48</v>
      </c>
      <c r="B289" s="331" t="s">
        <v>77</v>
      </c>
      <c r="C289" s="332" t="str">
        <f>IFERROR(VLOOKUP(B289,Listados!B$3:C$20,2,FALSE),"")</f>
        <v>Acceso a la Justicia</v>
      </c>
      <c r="D289" s="333" t="s">
        <v>572</v>
      </c>
      <c r="E289" s="203" t="s">
        <v>15</v>
      </c>
      <c r="F289" s="203" t="s">
        <v>178</v>
      </c>
      <c r="G289" s="204" t="s">
        <v>573</v>
      </c>
      <c r="H289" s="204" t="s">
        <v>16</v>
      </c>
      <c r="I289" s="204" t="s">
        <v>574</v>
      </c>
      <c r="J289" s="331" t="s">
        <v>44</v>
      </c>
      <c r="K289" s="348">
        <f>+VLOOKUP(J289,Listados!$K$8:$L$12,2,0)</f>
        <v>3</v>
      </c>
      <c r="L289" s="351" t="s">
        <v>64</v>
      </c>
      <c r="M289" s="348">
        <f>+VLOOKUP(L289,Listados!$K$13:$L$17,2,0)</f>
        <v>5</v>
      </c>
      <c r="N289" s="358" t="str">
        <f>IF(AND(J289&lt;&gt;"",L289&lt;&gt;""),VLOOKUP(J289&amp;L289,Listados!$M$3:$N$27,2,FALSE),"")</f>
        <v>Extremo</v>
      </c>
      <c r="O289" s="205" t="s">
        <v>575</v>
      </c>
      <c r="P289" s="203" t="s">
        <v>573</v>
      </c>
      <c r="Q289" s="204" t="s">
        <v>20</v>
      </c>
      <c r="R289" s="215"/>
      <c r="S289" s="27" t="str">
        <f t="shared" si="56"/>
        <v/>
      </c>
      <c r="T289" s="215"/>
      <c r="U289" s="27" t="str">
        <f t="shared" si="57"/>
        <v/>
      </c>
      <c r="V289" s="208"/>
      <c r="W289" s="27" t="str">
        <f t="shared" si="58"/>
        <v/>
      </c>
      <c r="X289" s="208"/>
      <c r="Y289" s="27" t="str">
        <f t="shared" si="59"/>
        <v/>
      </c>
      <c r="Z289" s="208"/>
      <c r="AA289" s="27" t="str">
        <f t="shared" si="60"/>
        <v/>
      </c>
      <c r="AB289" s="208"/>
      <c r="AC289" s="27" t="str">
        <f t="shared" si="61"/>
        <v/>
      </c>
      <c r="AD289" s="208"/>
      <c r="AE289" s="27" t="str">
        <f t="shared" si="62"/>
        <v/>
      </c>
      <c r="AF289" s="48" t="str">
        <f t="shared" si="63"/>
        <v/>
      </c>
      <c r="AG289" s="48" t="str">
        <f t="shared" si="64"/>
        <v/>
      </c>
      <c r="AH289" s="209"/>
      <c r="AI289" s="210" t="str">
        <f t="shared" si="65"/>
        <v>Débil</v>
      </c>
      <c r="AJ289" s="21" t="str">
        <f>IFERROR(VLOOKUP((CONCATENATE(AG289,AI289)),Listados!$U$3:$V$11,2,FALSE),"")</f>
        <v/>
      </c>
      <c r="AK289" s="48">
        <f t="shared" si="66"/>
        <v>100</v>
      </c>
      <c r="AL289" s="354">
        <f>AVERAGE(AK289:AK294)</f>
        <v>100</v>
      </c>
      <c r="AM289" s="356" t="str">
        <f>IF(AL289&lt;=50, "Débil", IF(AL289&lt;=99,"Moderado","Fuerte"))</f>
        <v>Fuerte</v>
      </c>
      <c r="AN289" s="173">
        <f>+IF(AND(Q289="Preventivo",AM289="Fuerte"),2,IF(AND(Q289="Preventivo",AM289="Moderado"),1,0))</f>
        <v>2</v>
      </c>
      <c r="AO289" s="173">
        <f t="shared" si="67"/>
        <v>1</v>
      </c>
      <c r="AP289" s="173">
        <f>+K289-AN289</f>
        <v>1</v>
      </c>
      <c r="AQ289" s="173">
        <f>+M289-AO289</f>
        <v>4</v>
      </c>
      <c r="AR289" s="345" t="str">
        <f>+VLOOKUP(MIN(AP289,AP290,AP291,AP292,AP293,AP294),Listados!$J$18:$K$24,2,TRUE)</f>
        <v>Rara Vez</v>
      </c>
      <c r="AS289" s="345" t="str">
        <f>+VLOOKUP(MIN(AQ289,AQ290,AQ291,AQ292,AQ293,AQ294),Listados!$J$27:$K$32,2,TRUE)</f>
        <v>Mayor</v>
      </c>
      <c r="AT289" s="345" t="str">
        <f>IF(AND(AR289&lt;&gt;"",AS289&lt;&gt;""),VLOOKUP(AR289&amp;AS289,Listados!$M$3:$N$27,2,FALSE),"")</f>
        <v>Alto</v>
      </c>
      <c r="AU289" s="345" t="str">
        <f>+VLOOKUP(AT289,Listados!$P$3:$Q$6,2,FALSE)</f>
        <v>Reducir el riesgo</v>
      </c>
      <c r="AV289" s="311"/>
      <c r="AW289" s="312"/>
      <c r="AX289" s="313"/>
      <c r="AY289" s="311"/>
      <c r="AZ289" s="312"/>
      <c r="BA289" s="313"/>
      <c r="BB289" s="311"/>
      <c r="BC289" s="312"/>
      <c r="BD289" s="313"/>
    </row>
    <row r="290" spans="1:56" ht="158.25" thickBot="1">
      <c r="A290" s="329"/>
      <c r="B290" s="331"/>
      <c r="C290" s="332"/>
      <c r="D290" s="333"/>
      <c r="E290" s="203"/>
      <c r="F290" s="203"/>
      <c r="G290" s="204" t="s">
        <v>576</v>
      </c>
      <c r="H290" s="204" t="s">
        <v>16</v>
      </c>
      <c r="I290" s="204" t="s">
        <v>437</v>
      </c>
      <c r="J290" s="331"/>
      <c r="K290" s="349"/>
      <c r="L290" s="352"/>
      <c r="M290" s="349"/>
      <c r="N290" s="359"/>
      <c r="O290" s="205" t="s">
        <v>577</v>
      </c>
      <c r="P290" s="203" t="s">
        <v>576</v>
      </c>
      <c r="Q290" s="204" t="s">
        <v>20</v>
      </c>
      <c r="R290" s="215"/>
      <c r="S290" s="27" t="str">
        <f t="shared" si="56"/>
        <v/>
      </c>
      <c r="T290" s="215"/>
      <c r="U290" s="27" t="str">
        <f t="shared" si="57"/>
        <v/>
      </c>
      <c r="V290" s="208"/>
      <c r="W290" s="27" t="str">
        <f t="shared" si="58"/>
        <v/>
      </c>
      <c r="X290" s="208"/>
      <c r="Y290" s="27" t="str">
        <f t="shared" si="59"/>
        <v/>
      </c>
      <c r="Z290" s="208"/>
      <c r="AA290" s="27" t="str">
        <f t="shared" si="60"/>
        <v/>
      </c>
      <c r="AB290" s="208"/>
      <c r="AC290" s="27" t="str">
        <f t="shared" si="61"/>
        <v/>
      </c>
      <c r="AD290" s="208"/>
      <c r="AE290" s="27" t="str">
        <f t="shared" si="62"/>
        <v/>
      </c>
      <c r="AF290" s="48" t="str">
        <f t="shared" si="63"/>
        <v/>
      </c>
      <c r="AG290" s="48" t="str">
        <f t="shared" si="64"/>
        <v/>
      </c>
      <c r="AH290" s="209"/>
      <c r="AI290" s="210" t="str">
        <f t="shared" si="65"/>
        <v>Débil</v>
      </c>
      <c r="AJ290" s="21" t="str">
        <f>IFERROR(VLOOKUP((CONCATENATE(AG290,AI290)),Listados!$U$3:$V$11,2,FALSE),"")</f>
        <v/>
      </c>
      <c r="AK290" s="48">
        <f t="shared" si="66"/>
        <v>100</v>
      </c>
      <c r="AL290" s="355"/>
      <c r="AM290" s="357"/>
      <c r="AN290" s="173">
        <f>+IF(AND(Q290="Preventivo",AM289="Fuerte"),2,IF(AND(Q290="Preventivo",AM289="Moderado"),1,0))</f>
        <v>2</v>
      </c>
      <c r="AO290" s="173">
        <f t="shared" si="67"/>
        <v>1</v>
      </c>
      <c r="AP290" s="173">
        <f>+K289-AN290</f>
        <v>1</v>
      </c>
      <c r="AQ290" s="173">
        <f>+M289-AO290</f>
        <v>4</v>
      </c>
      <c r="AR290" s="346"/>
      <c r="AS290" s="346"/>
      <c r="AT290" s="346"/>
      <c r="AU290" s="346"/>
      <c r="AV290" s="311"/>
      <c r="AW290" s="312"/>
      <c r="AX290" s="313"/>
      <c r="AY290" s="311"/>
      <c r="AZ290" s="312"/>
      <c r="BA290" s="313"/>
      <c r="BB290" s="311"/>
      <c r="BC290" s="312"/>
      <c r="BD290" s="313"/>
    </row>
    <row r="291" spans="1:56" ht="172.5" thickBot="1">
      <c r="A291" s="329"/>
      <c r="B291" s="331"/>
      <c r="C291" s="332"/>
      <c r="D291" s="333"/>
      <c r="E291" s="203"/>
      <c r="F291" s="203"/>
      <c r="G291" s="204" t="s">
        <v>578</v>
      </c>
      <c r="H291" s="204" t="s">
        <v>16</v>
      </c>
      <c r="I291" s="204" t="s">
        <v>579</v>
      </c>
      <c r="J291" s="331"/>
      <c r="K291" s="349"/>
      <c r="L291" s="352"/>
      <c r="M291" s="349"/>
      <c r="N291" s="359"/>
      <c r="O291" s="205" t="s">
        <v>580</v>
      </c>
      <c r="P291" s="203" t="s">
        <v>578</v>
      </c>
      <c r="Q291" s="204" t="s">
        <v>20</v>
      </c>
      <c r="R291" s="215"/>
      <c r="S291" s="27" t="str">
        <f t="shared" si="56"/>
        <v/>
      </c>
      <c r="T291" s="215"/>
      <c r="U291" s="27" t="str">
        <f t="shared" si="57"/>
        <v/>
      </c>
      <c r="V291" s="208"/>
      <c r="W291" s="27" t="str">
        <f t="shared" si="58"/>
        <v/>
      </c>
      <c r="X291" s="208"/>
      <c r="Y291" s="27" t="str">
        <f t="shared" si="59"/>
        <v/>
      </c>
      <c r="Z291" s="208"/>
      <c r="AA291" s="27" t="str">
        <f t="shared" si="60"/>
        <v/>
      </c>
      <c r="AB291" s="208"/>
      <c r="AC291" s="27" t="str">
        <f t="shared" si="61"/>
        <v/>
      </c>
      <c r="AD291" s="208"/>
      <c r="AE291" s="27" t="str">
        <f t="shared" si="62"/>
        <v/>
      </c>
      <c r="AF291" s="48" t="str">
        <f t="shared" si="63"/>
        <v/>
      </c>
      <c r="AG291" s="48" t="str">
        <f t="shared" si="64"/>
        <v/>
      </c>
      <c r="AH291" s="209"/>
      <c r="AI291" s="210" t="str">
        <f t="shared" si="65"/>
        <v>Débil</v>
      </c>
      <c r="AJ291" s="21" t="str">
        <f>IFERROR(VLOOKUP((CONCATENATE(AG291,AI291)),Listados!$U$3:$V$11,2,FALSE),"")</f>
        <v/>
      </c>
      <c r="AK291" s="48">
        <f t="shared" si="66"/>
        <v>100</v>
      </c>
      <c r="AL291" s="355"/>
      <c r="AM291" s="357"/>
      <c r="AN291" s="173">
        <f>+IF(AND(Q291="Preventivo",AM289="Fuerte"),2,IF(AND(Q291="Preventivo",AM289="Moderado"),1,0))</f>
        <v>2</v>
      </c>
      <c r="AO291" s="173">
        <f t="shared" si="67"/>
        <v>1</v>
      </c>
      <c r="AP291" s="173">
        <f>+K289-AN291</f>
        <v>1</v>
      </c>
      <c r="AQ291" s="173">
        <f>+M289-AO291</f>
        <v>4</v>
      </c>
      <c r="AR291" s="346"/>
      <c r="AS291" s="346"/>
      <c r="AT291" s="346"/>
      <c r="AU291" s="346"/>
      <c r="AV291" s="311"/>
      <c r="AW291" s="312"/>
      <c r="AX291" s="313"/>
      <c r="AY291" s="311"/>
      <c r="AZ291" s="312"/>
      <c r="BA291" s="313"/>
      <c r="BB291" s="311"/>
      <c r="BC291" s="312"/>
      <c r="BD291" s="313"/>
    </row>
    <row r="292" spans="1:56" ht="29.25" thickBot="1">
      <c r="A292" s="329"/>
      <c r="B292" s="331"/>
      <c r="C292" s="332"/>
      <c r="D292" s="333"/>
      <c r="E292" s="203"/>
      <c r="F292" s="203"/>
      <c r="G292" s="204"/>
      <c r="H292" s="204"/>
      <c r="I292" s="204" t="s">
        <v>399</v>
      </c>
      <c r="J292" s="331"/>
      <c r="K292" s="349"/>
      <c r="L292" s="352"/>
      <c r="M292" s="349"/>
      <c r="N292" s="359"/>
      <c r="O292" s="203"/>
      <c r="P292" s="205"/>
      <c r="Q292" s="205"/>
      <c r="R292" s="215"/>
      <c r="S292" s="27" t="str">
        <f t="shared" si="56"/>
        <v/>
      </c>
      <c r="T292" s="215"/>
      <c r="U292" s="27" t="str">
        <f t="shared" si="57"/>
        <v/>
      </c>
      <c r="V292" s="208"/>
      <c r="W292" s="27" t="str">
        <f t="shared" si="58"/>
        <v/>
      </c>
      <c r="X292" s="208"/>
      <c r="Y292" s="27" t="str">
        <f t="shared" si="59"/>
        <v/>
      </c>
      <c r="Z292" s="208"/>
      <c r="AA292" s="27" t="str">
        <f t="shared" si="60"/>
        <v/>
      </c>
      <c r="AB292" s="208"/>
      <c r="AC292" s="27" t="str">
        <f t="shared" si="61"/>
        <v/>
      </c>
      <c r="AD292" s="208"/>
      <c r="AE292" s="27" t="str">
        <f t="shared" si="62"/>
        <v/>
      </c>
      <c r="AF292" s="48" t="str">
        <f t="shared" si="63"/>
        <v/>
      </c>
      <c r="AG292" s="48" t="str">
        <f t="shared" si="64"/>
        <v/>
      </c>
      <c r="AH292" s="209"/>
      <c r="AI292" s="210" t="str">
        <f t="shared" si="65"/>
        <v>Débil</v>
      </c>
      <c r="AJ292" s="21" t="str">
        <f>IFERROR(VLOOKUP((CONCATENATE(AG292,AI292)),Listados!$U$3:$V$11,2,FALSE),"")</f>
        <v/>
      </c>
      <c r="AK292" s="48">
        <f t="shared" si="66"/>
        <v>100</v>
      </c>
      <c r="AL292" s="355"/>
      <c r="AM292" s="357"/>
      <c r="AN292" s="173">
        <f>+IF(AND(Q292="Preventivo",AM289="Fuerte"),2,IF(AND(Q292="Preventivo",AM289="Moderado"),1,0))</f>
        <v>0</v>
      </c>
      <c r="AO292" s="173">
        <f t="shared" si="67"/>
        <v>0</v>
      </c>
      <c r="AP292" s="173">
        <f>+K289-AN292</f>
        <v>3</v>
      </c>
      <c r="AQ292" s="173">
        <f>+M289-AO292</f>
        <v>5</v>
      </c>
      <c r="AR292" s="346"/>
      <c r="AS292" s="346"/>
      <c r="AT292" s="346"/>
      <c r="AU292" s="346"/>
      <c r="AV292" s="311"/>
      <c r="AW292" s="312"/>
      <c r="AX292" s="313"/>
      <c r="AY292" s="311"/>
      <c r="AZ292" s="312"/>
      <c r="BA292" s="313"/>
      <c r="BB292" s="311"/>
      <c r="BC292" s="312"/>
      <c r="BD292" s="313"/>
    </row>
    <row r="293" spans="1:56" ht="15.75" thickBot="1">
      <c r="A293" s="329"/>
      <c r="B293" s="331"/>
      <c r="C293" s="332"/>
      <c r="D293" s="333"/>
      <c r="E293" s="203"/>
      <c r="F293" s="203"/>
      <c r="G293" s="204"/>
      <c r="H293" s="204"/>
      <c r="I293" s="204"/>
      <c r="J293" s="331"/>
      <c r="K293" s="349"/>
      <c r="L293" s="352"/>
      <c r="M293" s="349"/>
      <c r="N293" s="359"/>
      <c r="O293" s="203"/>
      <c r="P293" s="205"/>
      <c r="Q293" s="205"/>
      <c r="R293" s="215"/>
      <c r="S293" s="27" t="str">
        <f t="shared" si="56"/>
        <v/>
      </c>
      <c r="T293" s="215"/>
      <c r="U293" s="27" t="str">
        <f t="shared" si="57"/>
        <v/>
      </c>
      <c r="V293" s="208"/>
      <c r="W293" s="27" t="str">
        <f t="shared" si="58"/>
        <v/>
      </c>
      <c r="X293" s="208"/>
      <c r="Y293" s="27" t="str">
        <f t="shared" si="59"/>
        <v/>
      </c>
      <c r="Z293" s="208"/>
      <c r="AA293" s="27" t="str">
        <f t="shared" si="60"/>
        <v/>
      </c>
      <c r="AB293" s="208"/>
      <c r="AC293" s="27" t="str">
        <f t="shared" si="61"/>
        <v/>
      </c>
      <c r="AD293" s="208"/>
      <c r="AE293" s="27" t="str">
        <f t="shared" si="62"/>
        <v/>
      </c>
      <c r="AF293" s="48" t="str">
        <f t="shared" si="63"/>
        <v/>
      </c>
      <c r="AG293" s="48" t="str">
        <f t="shared" si="64"/>
        <v/>
      </c>
      <c r="AH293" s="209"/>
      <c r="AI293" s="210" t="str">
        <f t="shared" si="65"/>
        <v>Débil</v>
      </c>
      <c r="AJ293" s="21" t="str">
        <f>IFERROR(VLOOKUP((CONCATENATE(AG293,AI293)),Listados!$U$3:$V$11,2,FALSE),"")</f>
        <v/>
      </c>
      <c r="AK293" s="48">
        <f t="shared" si="66"/>
        <v>100</v>
      </c>
      <c r="AL293" s="355"/>
      <c r="AM293" s="357"/>
      <c r="AN293" s="173">
        <f>+IF(AND(Q293="Preventivo",AM289="Fuerte"),2,IF(AND(Q293="Preventivo",AM289="Moderado"),1,0))</f>
        <v>0</v>
      </c>
      <c r="AO293" s="173">
        <f t="shared" si="67"/>
        <v>0</v>
      </c>
      <c r="AP293" s="173">
        <f>+K289-AN293</f>
        <v>3</v>
      </c>
      <c r="AQ293" s="173">
        <f>+M289-AO293</f>
        <v>5</v>
      </c>
      <c r="AR293" s="346"/>
      <c r="AS293" s="346"/>
      <c r="AT293" s="346"/>
      <c r="AU293" s="346"/>
      <c r="AV293" s="311"/>
      <c r="AW293" s="312"/>
      <c r="AX293" s="313"/>
      <c r="AY293" s="311"/>
      <c r="AZ293" s="312"/>
      <c r="BA293" s="313"/>
      <c r="BB293" s="311"/>
      <c r="BC293" s="312"/>
      <c r="BD293" s="313"/>
    </row>
    <row r="294" spans="1:56" ht="15.75" thickBot="1">
      <c r="A294" s="330"/>
      <c r="B294" s="331"/>
      <c r="C294" s="332"/>
      <c r="D294" s="333"/>
      <c r="E294" s="203"/>
      <c r="F294" s="203"/>
      <c r="G294" s="204"/>
      <c r="H294" s="204"/>
      <c r="I294" s="204"/>
      <c r="J294" s="331"/>
      <c r="K294" s="350"/>
      <c r="L294" s="352"/>
      <c r="M294" s="350"/>
      <c r="N294" s="359"/>
      <c r="O294" s="203"/>
      <c r="P294" s="205"/>
      <c r="Q294" s="205"/>
      <c r="R294" s="215"/>
      <c r="S294" s="27" t="str">
        <f t="shared" si="56"/>
        <v/>
      </c>
      <c r="T294" s="215"/>
      <c r="U294" s="27" t="str">
        <f t="shared" si="57"/>
        <v/>
      </c>
      <c r="V294" s="208"/>
      <c r="W294" s="27" t="str">
        <f t="shared" si="58"/>
        <v/>
      </c>
      <c r="X294" s="208"/>
      <c r="Y294" s="27" t="str">
        <f t="shared" si="59"/>
        <v/>
      </c>
      <c r="Z294" s="208"/>
      <c r="AA294" s="27" t="str">
        <f t="shared" si="60"/>
        <v/>
      </c>
      <c r="AB294" s="208"/>
      <c r="AC294" s="27" t="str">
        <f t="shared" si="61"/>
        <v/>
      </c>
      <c r="AD294" s="208"/>
      <c r="AE294" s="27" t="str">
        <f t="shared" si="62"/>
        <v/>
      </c>
      <c r="AF294" s="48" t="str">
        <f t="shared" si="63"/>
        <v/>
      </c>
      <c r="AG294" s="48" t="str">
        <f t="shared" si="64"/>
        <v/>
      </c>
      <c r="AH294" s="209"/>
      <c r="AI294" s="210" t="str">
        <f t="shared" si="65"/>
        <v>Débil</v>
      </c>
      <c r="AJ294" s="21" t="str">
        <f>IFERROR(VLOOKUP((CONCATENATE(AG294,AI294)),Listados!$U$3:$V$11,2,FALSE),"")</f>
        <v/>
      </c>
      <c r="AK294" s="48">
        <f t="shared" si="66"/>
        <v>100</v>
      </c>
      <c r="AL294" s="356"/>
      <c r="AM294" s="357"/>
      <c r="AN294" s="173">
        <f>+IF(AND(Q294="Preventivo",AM289="Fuerte"),2,IF(AND(Q294="Preventivo",AM289="Moderado"),1,0))</f>
        <v>0</v>
      </c>
      <c r="AO294" s="173">
        <f t="shared" si="67"/>
        <v>0</v>
      </c>
      <c r="AP294" s="173">
        <f>+K289-AN294</f>
        <v>3</v>
      </c>
      <c r="AQ294" s="173">
        <f>+M289-AO294</f>
        <v>5</v>
      </c>
      <c r="AR294" s="347"/>
      <c r="AS294" s="347"/>
      <c r="AT294" s="347"/>
      <c r="AU294" s="347"/>
      <c r="AV294" s="311"/>
      <c r="AW294" s="312"/>
      <c r="AX294" s="313"/>
      <c r="AY294" s="311"/>
      <c r="AZ294" s="312"/>
      <c r="BA294" s="313"/>
      <c r="BB294" s="311"/>
      <c r="BC294" s="312"/>
      <c r="BD294" s="313"/>
    </row>
    <row r="295" spans="1:56" ht="201" thickBot="1">
      <c r="A295" s="328">
        <v>49</v>
      </c>
      <c r="B295" s="331" t="s">
        <v>77</v>
      </c>
      <c r="C295" s="332" t="str">
        <f>IFERROR(VLOOKUP(B295,Listados!B$3:C$20,2,FALSE),"")</f>
        <v>Acceso a la Justicia</v>
      </c>
      <c r="D295" s="333" t="s">
        <v>581</v>
      </c>
      <c r="E295" s="203" t="s">
        <v>52</v>
      </c>
      <c r="F295" s="203"/>
      <c r="G295" s="204" t="s">
        <v>582</v>
      </c>
      <c r="H295" s="204" t="s">
        <v>16</v>
      </c>
      <c r="I295" s="204" t="s">
        <v>583</v>
      </c>
      <c r="J295" s="331" t="s">
        <v>44</v>
      </c>
      <c r="K295" s="348">
        <f>+VLOOKUP(J295,Listados!$K$8:$L$12,2,0)</f>
        <v>3</v>
      </c>
      <c r="L295" s="351" t="s">
        <v>36</v>
      </c>
      <c r="M295" s="348">
        <f>+VLOOKUP(L295,Listados!$K$13:$L$17,2,0)</f>
        <v>3</v>
      </c>
      <c r="N295" s="358" t="str">
        <f>IF(AND(J295&lt;&gt;"",L295&lt;&gt;""),VLOOKUP(J295&amp;L295,Listados!$M$3:$N$27,2,FALSE),"")</f>
        <v>Alto</v>
      </c>
      <c r="O295" s="205" t="s">
        <v>584</v>
      </c>
      <c r="P295" s="204" t="s">
        <v>582</v>
      </c>
      <c r="Q295" s="205" t="s">
        <v>20</v>
      </c>
      <c r="R295" s="215"/>
      <c r="S295" s="27" t="str">
        <f t="shared" si="56"/>
        <v/>
      </c>
      <c r="T295" s="215"/>
      <c r="U295" s="27" t="str">
        <f t="shared" si="57"/>
        <v/>
      </c>
      <c r="V295" s="208"/>
      <c r="W295" s="27" t="str">
        <f t="shared" si="58"/>
        <v/>
      </c>
      <c r="X295" s="208"/>
      <c r="Y295" s="27" t="str">
        <f t="shared" si="59"/>
        <v/>
      </c>
      <c r="Z295" s="208"/>
      <c r="AA295" s="27" t="str">
        <f t="shared" si="60"/>
        <v/>
      </c>
      <c r="AB295" s="208"/>
      <c r="AC295" s="27" t="str">
        <f t="shared" si="61"/>
        <v/>
      </c>
      <c r="AD295" s="208"/>
      <c r="AE295" s="27" t="str">
        <f t="shared" si="62"/>
        <v/>
      </c>
      <c r="AF295" s="48" t="str">
        <f t="shared" si="63"/>
        <v/>
      </c>
      <c r="AG295" s="48" t="str">
        <f t="shared" si="64"/>
        <v/>
      </c>
      <c r="AH295" s="209"/>
      <c r="AI295" s="210" t="str">
        <f t="shared" si="65"/>
        <v>Débil</v>
      </c>
      <c r="AJ295" s="21" t="str">
        <f>IFERROR(VLOOKUP((CONCATENATE(AG295,AI295)),Listados!$U$3:$V$11,2,FALSE),"")</f>
        <v/>
      </c>
      <c r="AK295" s="48">
        <f t="shared" si="66"/>
        <v>100</v>
      </c>
      <c r="AL295" s="354">
        <f>AVERAGE(AK295:AK300)</f>
        <v>100</v>
      </c>
      <c r="AM295" s="356" t="str">
        <f>IF(AL295&lt;=50, "Débil", IF(AL295&lt;=99,"Moderado","Fuerte"))</f>
        <v>Fuerte</v>
      </c>
      <c r="AN295" s="173">
        <f>+IF(AND(Q295="Preventivo",AM295="Fuerte"),2,IF(AND(Q295="Preventivo",AM295="Moderado"),1,0))</f>
        <v>2</v>
      </c>
      <c r="AO295" s="173">
        <f t="shared" si="67"/>
        <v>1</v>
      </c>
      <c r="AP295" s="173">
        <f>+K295-AN295</f>
        <v>1</v>
      </c>
      <c r="AQ295" s="173">
        <f>+M295-AO295</f>
        <v>2</v>
      </c>
      <c r="AR295" s="345" t="str">
        <f>+VLOOKUP(MIN(AP295,AP296,AP297,AP298,AP299,AP300),Listados!$J$18:$K$24,2,TRUE)</f>
        <v>Rara Vez</v>
      </c>
      <c r="AS295" s="345" t="str">
        <f>+VLOOKUP(MIN(AQ295,AQ296,AQ297,AQ298,AQ299,AQ300),Listados!$J$27:$K$32,2,TRUE)</f>
        <v>Menor</v>
      </c>
      <c r="AT295" s="345" t="str">
        <f>IF(AND(AR295&lt;&gt;"",AS295&lt;&gt;""),VLOOKUP(AR295&amp;AS295,Listados!$M$3:$N$27,2,FALSE),"")</f>
        <v>Bajo</v>
      </c>
      <c r="AU295" s="345" t="str">
        <f>+VLOOKUP(AT295,Listados!$P$3:$Q$6,2,FALSE)</f>
        <v>Asumir el riesgo</v>
      </c>
      <c r="AV295" s="311"/>
      <c r="AW295" s="312"/>
      <c r="AX295" s="313"/>
      <c r="AY295" s="311"/>
      <c r="AZ295" s="312"/>
      <c r="BA295" s="313"/>
      <c r="BB295" s="311"/>
      <c r="BC295" s="312"/>
      <c r="BD295" s="313"/>
    </row>
    <row r="296" spans="1:56" ht="57.75" thickBot="1">
      <c r="A296" s="329"/>
      <c r="B296" s="331"/>
      <c r="C296" s="332"/>
      <c r="D296" s="333"/>
      <c r="E296" s="203"/>
      <c r="F296" s="203"/>
      <c r="G296" s="204"/>
      <c r="H296" s="204" t="s">
        <v>16</v>
      </c>
      <c r="I296" s="204" t="s">
        <v>585</v>
      </c>
      <c r="J296" s="331"/>
      <c r="K296" s="349"/>
      <c r="L296" s="352"/>
      <c r="M296" s="349"/>
      <c r="N296" s="359"/>
      <c r="O296" s="203"/>
      <c r="P296" s="205"/>
      <c r="Q296" s="205"/>
      <c r="R296" s="215"/>
      <c r="S296" s="27" t="str">
        <f t="shared" si="56"/>
        <v/>
      </c>
      <c r="T296" s="215"/>
      <c r="U296" s="27" t="str">
        <f t="shared" si="57"/>
        <v/>
      </c>
      <c r="V296" s="208"/>
      <c r="W296" s="27" t="str">
        <f t="shared" si="58"/>
        <v/>
      </c>
      <c r="X296" s="208"/>
      <c r="Y296" s="27" t="str">
        <f t="shared" si="59"/>
        <v/>
      </c>
      <c r="Z296" s="208"/>
      <c r="AA296" s="27" t="str">
        <f t="shared" si="60"/>
        <v/>
      </c>
      <c r="AB296" s="208"/>
      <c r="AC296" s="27" t="str">
        <f t="shared" si="61"/>
        <v/>
      </c>
      <c r="AD296" s="208"/>
      <c r="AE296" s="27" t="str">
        <f t="shared" si="62"/>
        <v/>
      </c>
      <c r="AF296" s="48" t="str">
        <f t="shared" si="63"/>
        <v/>
      </c>
      <c r="AG296" s="48" t="str">
        <f t="shared" si="64"/>
        <v/>
      </c>
      <c r="AH296" s="209"/>
      <c r="AI296" s="210" t="str">
        <f t="shared" si="65"/>
        <v>Débil</v>
      </c>
      <c r="AJ296" s="21" t="str">
        <f>IFERROR(VLOOKUP((CONCATENATE(AG296,AI296)),Listados!$U$3:$V$11,2,FALSE),"")</f>
        <v/>
      </c>
      <c r="AK296" s="48">
        <f t="shared" si="66"/>
        <v>100</v>
      </c>
      <c r="AL296" s="355"/>
      <c r="AM296" s="357"/>
      <c r="AN296" s="173">
        <f>+IF(AND(Q296="Preventivo",AM295="Fuerte"),2,IF(AND(Q296="Preventivo",AM295="Moderado"),1,0))</f>
        <v>0</v>
      </c>
      <c r="AO296" s="173">
        <f t="shared" si="67"/>
        <v>0</v>
      </c>
      <c r="AP296" s="173">
        <f>+K295-AN296</f>
        <v>3</v>
      </c>
      <c r="AQ296" s="173">
        <f>+M295-AO296</f>
        <v>3</v>
      </c>
      <c r="AR296" s="346"/>
      <c r="AS296" s="346"/>
      <c r="AT296" s="346"/>
      <c r="AU296" s="346"/>
      <c r="AV296" s="311"/>
      <c r="AW296" s="312"/>
      <c r="AX296" s="313"/>
      <c r="AY296" s="311"/>
      <c r="AZ296" s="312"/>
      <c r="BA296" s="313"/>
      <c r="BB296" s="311"/>
      <c r="BC296" s="312"/>
      <c r="BD296" s="313"/>
    </row>
    <row r="297" spans="1:56" ht="29.25" thickBot="1">
      <c r="A297" s="329"/>
      <c r="B297" s="331"/>
      <c r="C297" s="332"/>
      <c r="D297" s="333"/>
      <c r="E297" s="203"/>
      <c r="F297" s="203"/>
      <c r="G297" s="204"/>
      <c r="H297" s="204" t="s">
        <v>16</v>
      </c>
      <c r="I297" s="204" t="s">
        <v>424</v>
      </c>
      <c r="J297" s="331"/>
      <c r="K297" s="349"/>
      <c r="L297" s="352"/>
      <c r="M297" s="349"/>
      <c r="N297" s="359"/>
      <c r="O297" s="203"/>
      <c r="P297" s="205"/>
      <c r="Q297" s="205"/>
      <c r="R297" s="215"/>
      <c r="S297" s="27" t="str">
        <f t="shared" si="56"/>
        <v/>
      </c>
      <c r="T297" s="215"/>
      <c r="U297" s="27" t="str">
        <f t="shared" si="57"/>
        <v/>
      </c>
      <c r="V297" s="208"/>
      <c r="W297" s="27" t="str">
        <f t="shared" si="58"/>
        <v/>
      </c>
      <c r="X297" s="208"/>
      <c r="Y297" s="27" t="str">
        <f t="shared" si="59"/>
        <v/>
      </c>
      <c r="Z297" s="208"/>
      <c r="AA297" s="27" t="str">
        <f t="shared" si="60"/>
        <v/>
      </c>
      <c r="AB297" s="208"/>
      <c r="AC297" s="27" t="str">
        <f t="shared" si="61"/>
        <v/>
      </c>
      <c r="AD297" s="208"/>
      <c r="AE297" s="27" t="str">
        <f t="shared" si="62"/>
        <v/>
      </c>
      <c r="AF297" s="48" t="str">
        <f t="shared" si="63"/>
        <v/>
      </c>
      <c r="AG297" s="48" t="str">
        <f t="shared" si="64"/>
        <v/>
      </c>
      <c r="AH297" s="209"/>
      <c r="AI297" s="210" t="str">
        <f t="shared" si="65"/>
        <v>Débil</v>
      </c>
      <c r="AJ297" s="21" t="str">
        <f>IFERROR(VLOOKUP((CONCATENATE(AG297,AI297)),Listados!$U$3:$V$11,2,FALSE),"")</f>
        <v/>
      </c>
      <c r="AK297" s="48">
        <f t="shared" si="66"/>
        <v>100</v>
      </c>
      <c r="AL297" s="355"/>
      <c r="AM297" s="357"/>
      <c r="AN297" s="173">
        <f>+IF(AND(Q297="Preventivo",AM295="Fuerte"),2,IF(AND(Q297="Preventivo",AM295="Moderado"),1,0))</f>
        <v>0</v>
      </c>
      <c r="AO297" s="173">
        <f t="shared" si="67"/>
        <v>0</v>
      </c>
      <c r="AP297" s="173">
        <f>+K295-AN297</f>
        <v>3</v>
      </c>
      <c r="AQ297" s="173">
        <f>+M295-AO297</f>
        <v>3</v>
      </c>
      <c r="AR297" s="346"/>
      <c r="AS297" s="346"/>
      <c r="AT297" s="346"/>
      <c r="AU297" s="346"/>
      <c r="AV297" s="311"/>
      <c r="AW297" s="312"/>
      <c r="AX297" s="313"/>
      <c r="AY297" s="311"/>
      <c r="AZ297" s="312"/>
      <c r="BA297" s="313"/>
      <c r="BB297" s="311"/>
      <c r="BC297" s="312"/>
      <c r="BD297" s="313"/>
    </row>
    <row r="298" spans="1:56" ht="15.75" thickBot="1">
      <c r="A298" s="329"/>
      <c r="B298" s="331"/>
      <c r="C298" s="332"/>
      <c r="D298" s="333"/>
      <c r="E298" s="203"/>
      <c r="F298" s="203"/>
      <c r="G298" s="204"/>
      <c r="H298" s="204"/>
      <c r="I298" s="204"/>
      <c r="J298" s="331"/>
      <c r="K298" s="349"/>
      <c r="L298" s="352"/>
      <c r="M298" s="349"/>
      <c r="N298" s="359"/>
      <c r="O298" s="203"/>
      <c r="P298" s="205"/>
      <c r="Q298" s="205"/>
      <c r="R298" s="215"/>
      <c r="S298" s="27" t="str">
        <f t="shared" si="56"/>
        <v/>
      </c>
      <c r="T298" s="215"/>
      <c r="U298" s="27" t="str">
        <f t="shared" si="57"/>
        <v/>
      </c>
      <c r="V298" s="208"/>
      <c r="W298" s="27" t="str">
        <f t="shared" si="58"/>
        <v/>
      </c>
      <c r="X298" s="208"/>
      <c r="Y298" s="27" t="str">
        <f t="shared" si="59"/>
        <v/>
      </c>
      <c r="Z298" s="208"/>
      <c r="AA298" s="27" t="str">
        <f t="shared" si="60"/>
        <v/>
      </c>
      <c r="AB298" s="208"/>
      <c r="AC298" s="27" t="str">
        <f t="shared" si="61"/>
        <v/>
      </c>
      <c r="AD298" s="208"/>
      <c r="AE298" s="27" t="str">
        <f t="shared" si="62"/>
        <v/>
      </c>
      <c r="AF298" s="48" t="str">
        <f t="shared" si="63"/>
        <v/>
      </c>
      <c r="AG298" s="48" t="str">
        <f t="shared" si="64"/>
        <v/>
      </c>
      <c r="AH298" s="209"/>
      <c r="AI298" s="210" t="str">
        <f t="shared" si="65"/>
        <v>Débil</v>
      </c>
      <c r="AJ298" s="21" t="str">
        <f>IFERROR(VLOOKUP((CONCATENATE(AG298,AI298)),Listados!$U$3:$V$11,2,FALSE),"")</f>
        <v/>
      </c>
      <c r="AK298" s="48">
        <f t="shared" si="66"/>
        <v>100</v>
      </c>
      <c r="AL298" s="355"/>
      <c r="AM298" s="357"/>
      <c r="AN298" s="173">
        <f>+IF(AND(Q298="Preventivo",AM295="Fuerte"),2,IF(AND(Q298="Preventivo",AM295="Moderado"),1,0))</f>
        <v>0</v>
      </c>
      <c r="AO298" s="173">
        <f t="shared" si="67"/>
        <v>0</v>
      </c>
      <c r="AP298" s="173">
        <f>+K295-AN298</f>
        <v>3</v>
      </c>
      <c r="AQ298" s="173">
        <f>+M295-AO298</f>
        <v>3</v>
      </c>
      <c r="AR298" s="346"/>
      <c r="AS298" s="346"/>
      <c r="AT298" s="346"/>
      <c r="AU298" s="346"/>
      <c r="AV298" s="311"/>
      <c r="AW298" s="312"/>
      <c r="AX298" s="313"/>
      <c r="AY298" s="311"/>
      <c r="AZ298" s="312"/>
      <c r="BA298" s="313"/>
      <c r="BB298" s="311"/>
      <c r="BC298" s="312"/>
      <c r="BD298" s="313"/>
    </row>
    <row r="299" spans="1:56" ht="15.75" thickBot="1">
      <c r="A299" s="329"/>
      <c r="B299" s="331"/>
      <c r="C299" s="332"/>
      <c r="D299" s="333"/>
      <c r="E299" s="203"/>
      <c r="F299" s="203"/>
      <c r="G299" s="204"/>
      <c r="H299" s="204"/>
      <c r="I299" s="204"/>
      <c r="J299" s="331"/>
      <c r="K299" s="349"/>
      <c r="L299" s="352"/>
      <c r="M299" s="349"/>
      <c r="N299" s="359"/>
      <c r="O299" s="203"/>
      <c r="P299" s="205"/>
      <c r="Q299" s="205"/>
      <c r="R299" s="215"/>
      <c r="S299" s="27" t="str">
        <f t="shared" si="56"/>
        <v/>
      </c>
      <c r="T299" s="215"/>
      <c r="U299" s="27" t="str">
        <f t="shared" si="57"/>
        <v/>
      </c>
      <c r="V299" s="208"/>
      <c r="W299" s="27" t="str">
        <f t="shared" si="58"/>
        <v/>
      </c>
      <c r="X299" s="208"/>
      <c r="Y299" s="27" t="str">
        <f t="shared" si="59"/>
        <v/>
      </c>
      <c r="Z299" s="208"/>
      <c r="AA299" s="27" t="str">
        <f t="shared" si="60"/>
        <v/>
      </c>
      <c r="AB299" s="208"/>
      <c r="AC299" s="27" t="str">
        <f t="shared" si="61"/>
        <v/>
      </c>
      <c r="AD299" s="208"/>
      <c r="AE299" s="27" t="str">
        <f t="shared" si="62"/>
        <v/>
      </c>
      <c r="AF299" s="48" t="str">
        <f t="shared" si="63"/>
        <v/>
      </c>
      <c r="AG299" s="48" t="str">
        <f t="shared" si="64"/>
        <v/>
      </c>
      <c r="AH299" s="209"/>
      <c r="AI299" s="210" t="str">
        <f t="shared" si="65"/>
        <v>Débil</v>
      </c>
      <c r="AJ299" s="21" t="str">
        <f>IFERROR(VLOOKUP((CONCATENATE(AG299,AI299)),Listados!$U$3:$V$11,2,FALSE),"")</f>
        <v/>
      </c>
      <c r="AK299" s="48">
        <f t="shared" si="66"/>
        <v>100</v>
      </c>
      <c r="AL299" s="355"/>
      <c r="AM299" s="357"/>
      <c r="AN299" s="173">
        <f>+IF(AND(Q299="Preventivo",AM295="Fuerte"),2,IF(AND(Q299="Preventivo",AM295="Moderado"),1,0))</f>
        <v>0</v>
      </c>
      <c r="AO299" s="173">
        <f t="shared" si="67"/>
        <v>0</v>
      </c>
      <c r="AP299" s="173">
        <f>+K295-AN299</f>
        <v>3</v>
      </c>
      <c r="AQ299" s="173">
        <f>+M295-AO299</f>
        <v>3</v>
      </c>
      <c r="AR299" s="346"/>
      <c r="AS299" s="346"/>
      <c r="AT299" s="346"/>
      <c r="AU299" s="346"/>
      <c r="AV299" s="311"/>
      <c r="AW299" s="312"/>
      <c r="AX299" s="313"/>
      <c r="AY299" s="311"/>
      <c r="AZ299" s="312"/>
      <c r="BA299" s="313"/>
      <c r="BB299" s="311"/>
      <c r="BC299" s="312"/>
      <c r="BD299" s="313"/>
    </row>
    <row r="300" spans="1:56" ht="15.75" thickBot="1">
      <c r="A300" s="330"/>
      <c r="B300" s="331"/>
      <c r="C300" s="332"/>
      <c r="D300" s="333"/>
      <c r="E300" s="203"/>
      <c r="F300" s="203"/>
      <c r="G300" s="204"/>
      <c r="H300" s="204"/>
      <c r="I300" s="204"/>
      <c r="J300" s="331"/>
      <c r="K300" s="350"/>
      <c r="L300" s="352"/>
      <c r="M300" s="350"/>
      <c r="N300" s="359"/>
      <c r="O300" s="203"/>
      <c r="P300" s="205"/>
      <c r="Q300" s="205"/>
      <c r="R300" s="215"/>
      <c r="S300" s="27" t="str">
        <f t="shared" si="56"/>
        <v/>
      </c>
      <c r="T300" s="215"/>
      <c r="U300" s="27" t="str">
        <f t="shared" si="57"/>
        <v/>
      </c>
      <c r="V300" s="208"/>
      <c r="W300" s="27" t="str">
        <f t="shared" si="58"/>
        <v/>
      </c>
      <c r="X300" s="208"/>
      <c r="Y300" s="27" t="str">
        <f t="shared" si="59"/>
        <v/>
      </c>
      <c r="Z300" s="208"/>
      <c r="AA300" s="27" t="str">
        <f t="shared" si="60"/>
        <v/>
      </c>
      <c r="AB300" s="208"/>
      <c r="AC300" s="27" t="str">
        <f t="shared" si="61"/>
        <v/>
      </c>
      <c r="AD300" s="208"/>
      <c r="AE300" s="27" t="str">
        <f t="shared" si="62"/>
        <v/>
      </c>
      <c r="AF300" s="48" t="str">
        <f t="shared" si="63"/>
        <v/>
      </c>
      <c r="AG300" s="48" t="str">
        <f t="shared" si="64"/>
        <v/>
      </c>
      <c r="AH300" s="209"/>
      <c r="AI300" s="210" t="str">
        <f t="shared" si="65"/>
        <v>Débil</v>
      </c>
      <c r="AJ300" s="21" t="str">
        <f>IFERROR(VLOOKUP((CONCATENATE(AG300,AI300)),Listados!$U$3:$V$11,2,FALSE),"")</f>
        <v/>
      </c>
      <c r="AK300" s="48">
        <f t="shared" si="66"/>
        <v>100</v>
      </c>
      <c r="AL300" s="356"/>
      <c r="AM300" s="357"/>
      <c r="AN300" s="173">
        <f>+IF(AND(Q300="Preventivo",AM295="Fuerte"),2,IF(AND(Q300="Preventivo",AM295="Moderado"),1,0))</f>
        <v>0</v>
      </c>
      <c r="AO300" s="173">
        <f t="shared" si="67"/>
        <v>0</v>
      </c>
      <c r="AP300" s="173">
        <f>+K295-AN300</f>
        <v>3</v>
      </c>
      <c r="AQ300" s="173">
        <f>+M295-AO300</f>
        <v>3</v>
      </c>
      <c r="AR300" s="347"/>
      <c r="AS300" s="347"/>
      <c r="AT300" s="347"/>
      <c r="AU300" s="347"/>
      <c r="AV300" s="311"/>
      <c r="AW300" s="312"/>
      <c r="AX300" s="313"/>
      <c r="AY300" s="311"/>
      <c r="AZ300" s="312"/>
      <c r="BA300" s="313"/>
      <c r="BB300" s="311"/>
      <c r="BC300" s="312"/>
      <c r="BD300" s="313"/>
    </row>
    <row r="301" spans="1:56" ht="129.75" thickBot="1">
      <c r="A301" s="328">
        <v>50</v>
      </c>
      <c r="B301" s="363" t="s">
        <v>83</v>
      </c>
      <c r="C301" s="364" t="str">
        <f>IFERROR(VLOOKUP(B301,Listados!B$3:C$20,2,FALSE),"")</f>
        <v>Fijar los lineamientos, parámetros y actividades requeridas para garantizar la gestión de los servicios administrativos, logísticos y la administración de los bienes necesario para la operación del Ministerio de Justicia y del Derecho.</v>
      </c>
      <c r="D301" s="366" t="s">
        <v>586</v>
      </c>
      <c r="E301" s="105" t="s">
        <v>29</v>
      </c>
      <c r="F301" s="105"/>
      <c r="G301" s="204" t="s">
        <v>587</v>
      </c>
      <c r="H301" s="204" t="s">
        <v>16</v>
      </c>
      <c r="I301" s="204" t="s">
        <v>588</v>
      </c>
      <c r="J301" s="369" t="s">
        <v>21</v>
      </c>
      <c r="K301" s="348">
        <f>+VLOOKUP(J301,Listados!$K$8:$L$12,2,0)</f>
        <v>1</v>
      </c>
      <c r="L301" s="351" t="s">
        <v>64</v>
      </c>
      <c r="M301" s="348">
        <f>+VLOOKUP(L301,Listados!$K$13:$L$17,2,0)</f>
        <v>5</v>
      </c>
      <c r="N301" s="347" t="str">
        <f>IF(AND(J301&lt;&gt;"",L301&lt;&gt;""),VLOOKUP(J301&amp;L301,Listados!$M$3:$N$27,2,FALSE),"")</f>
        <v>Extremo</v>
      </c>
      <c r="O301" s="205" t="s">
        <v>589</v>
      </c>
      <c r="P301" s="231" t="s">
        <v>587</v>
      </c>
      <c r="Q301" s="232" t="s">
        <v>123</v>
      </c>
      <c r="R301" s="215"/>
      <c r="S301" s="27" t="str">
        <f t="shared" si="56"/>
        <v/>
      </c>
      <c r="T301" s="215"/>
      <c r="U301" s="27" t="str">
        <f t="shared" si="57"/>
        <v/>
      </c>
      <c r="V301" s="208"/>
      <c r="W301" s="27" t="str">
        <f t="shared" si="58"/>
        <v/>
      </c>
      <c r="X301" s="208"/>
      <c r="Y301" s="27" t="str">
        <f t="shared" si="59"/>
        <v/>
      </c>
      <c r="Z301" s="208"/>
      <c r="AA301" s="27" t="str">
        <f t="shared" si="60"/>
        <v/>
      </c>
      <c r="AB301" s="208"/>
      <c r="AC301" s="27" t="str">
        <f t="shared" si="61"/>
        <v/>
      </c>
      <c r="AD301" s="208"/>
      <c r="AE301" s="27" t="str">
        <f t="shared" si="62"/>
        <v/>
      </c>
      <c r="AF301" s="48" t="str">
        <f t="shared" si="63"/>
        <v/>
      </c>
      <c r="AG301" s="48" t="str">
        <f t="shared" si="64"/>
        <v/>
      </c>
      <c r="AH301" s="209"/>
      <c r="AI301" s="210" t="str">
        <f t="shared" si="65"/>
        <v>Débil</v>
      </c>
      <c r="AJ301" s="21" t="str">
        <f>IFERROR(VLOOKUP((CONCATENATE(AG301,AI301)),Listados!$U$3:$V$11,2,FALSE),"")</f>
        <v/>
      </c>
      <c r="AK301" s="48">
        <f t="shared" si="66"/>
        <v>100</v>
      </c>
      <c r="AL301" s="354">
        <f>AVERAGE(AK301:AK306)</f>
        <v>100</v>
      </c>
      <c r="AM301" s="356" t="str">
        <f>IF(AL301&lt;=50, "Débil", IF(AL301&lt;=99,"Moderado","Fuerte"))</f>
        <v>Fuerte</v>
      </c>
      <c r="AN301" s="173">
        <f>+IF(AND(Q301="Preventivo",AM301="Fuerte"),2,IF(AND(Q301="Preventivo",AM301="Moderado"),1,0))</f>
        <v>0</v>
      </c>
      <c r="AO301" s="173">
        <f t="shared" si="67"/>
        <v>2</v>
      </c>
      <c r="AP301" s="173">
        <f>+K301-AN301</f>
        <v>1</v>
      </c>
      <c r="AQ301" s="173">
        <f>+M301-AO301</f>
        <v>3</v>
      </c>
      <c r="AR301" s="345" t="str">
        <f>+VLOOKUP(MIN(AP301,AP302,AP303,AP304,AP305,AP306),Listados!$J$18:$K$24,2,TRUE)</f>
        <v>Rara Vez</v>
      </c>
      <c r="AS301" s="345" t="str">
        <f>+VLOOKUP(MIN(AQ301,AQ302,AQ303,AQ304,AQ305,AQ306),Listados!$J$27:$K$32,2,TRUE)</f>
        <v>Moderado</v>
      </c>
      <c r="AT301" s="345" t="str">
        <f>IF(AND(AR301&lt;&gt;"",AS301&lt;&gt;""),VLOOKUP(AR301&amp;AS301,Listados!$M$3:$N$27,2,FALSE),"")</f>
        <v>Moderado</v>
      </c>
      <c r="AU301" s="345" t="str">
        <f>+VLOOKUP(AT301,Listados!$P$3:$Q$6,2,FALSE)</f>
        <v xml:space="preserve"> Reducir el riesgo</v>
      </c>
      <c r="AV301" s="311"/>
      <c r="AW301" s="312"/>
      <c r="AX301" s="313"/>
      <c r="AY301" s="311"/>
      <c r="AZ301" s="312"/>
      <c r="BA301" s="313"/>
      <c r="BB301" s="311"/>
      <c r="BC301" s="312"/>
      <c r="BD301" s="313"/>
    </row>
    <row r="302" spans="1:56" ht="158.25" thickBot="1">
      <c r="A302" s="329"/>
      <c r="B302" s="363"/>
      <c r="C302" s="364"/>
      <c r="D302" s="367"/>
      <c r="E302" s="233"/>
      <c r="F302" s="233"/>
      <c r="G302" s="204" t="s">
        <v>590</v>
      </c>
      <c r="H302" s="204" t="s">
        <v>16</v>
      </c>
      <c r="I302" s="204" t="s">
        <v>591</v>
      </c>
      <c r="J302" s="370"/>
      <c r="K302" s="349"/>
      <c r="L302" s="352"/>
      <c r="M302" s="349"/>
      <c r="N302" s="353"/>
      <c r="O302" s="205" t="s">
        <v>592</v>
      </c>
      <c r="P302" s="231" t="s">
        <v>590</v>
      </c>
      <c r="Q302" s="232" t="s">
        <v>20</v>
      </c>
      <c r="R302" s="215"/>
      <c r="S302" s="27" t="str">
        <f t="shared" si="56"/>
        <v/>
      </c>
      <c r="T302" s="215"/>
      <c r="U302" s="27" t="str">
        <f t="shared" si="57"/>
        <v/>
      </c>
      <c r="V302" s="208"/>
      <c r="W302" s="27" t="str">
        <f t="shared" si="58"/>
        <v/>
      </c>
      <c r="X302" s="208"/>
      <c r="Y302" s="27" t="str">
        <f t="shared" si="59"/>
        <v/>
      </c>
      <c r="Z302" s="208"/>
      <c r="AA302" s="27" t="str">
        <f t="shared" si="60"/>
        <v/>
      </c>
      <c r="AB302" s="208"/>
      <c r="AC302" s="27" t="str">
        <f t="shared" si="61"/>
        <v/>
      </c>
      <c r="AD302" s="208"/>
      <c r="AE302" s="27" t="str">
        <f t="shared" si="62"/>
        <v/>
      </c>
      <c r="AF302" s="48" t="str">
        <f t="shared" si="63"/>
        <v/>
      </c>
      <c r="AG302" s="48" t="str">
        <f t="shared" si="64"/>
        <v/>
      </c>
      <c r="AH302" s="209"/>
      <c r="AI302" s="210" t="str">
        <f t="shared" si="65"/>
        <v>Débil</v>
      </c>
      <c r="AJ302" s="21" t="str">
        <f>IFERROR(VLOOKUP((CONCATENATE(AG302,AI302)),Listados!$U$3:$V$11,2,FALSE),"")</f>
        <v/>
      </c>
      <c r="AK302" s="48">
        <f t="shared" si="66"/>
        <v>100</v>
      </c>
      <c r="AL302" s="355"/>
      <c r="AM302" s="357"/>
      <c r="AN302" s="173">
        <f>+IF(AND(Q302="Preventivo",AM301="Fuerte"),2,IF(AND(Q302="Preventivo",AM301="Moderado"),1,0))</f>
        <v>2</v>
      </c>
      <c r="AO302" s="173">
        <f t="shared" si="67"/>
        <v>1</v>
      </c>
      <c r="AP302" s="173">
        <f>+K301-AN302</f>
        <v>-1</v>
      </c>
      <c r="AQ302" s="173">
        <f>+M301-AO302</f>
        <v>4</v>
      </c>
      <c r="AR302" s="346"/>
      <c r="AS302" s="346"/>
      <c r="AT302" s="346"/>
      <c r="AU302" s="346"/>
      <c r="AV302" s="311"/>
      <c r="AW302" s="312"/>
      <c r="AX302" s="313"/>
      <c r="AY302" s="311"/>
      <c r="AZ302" s="312"/>
      <c r="BA302" s="313"/>
      <c r="BB302" s="311"/>
      <c r="BC302" s="312"/>
      <c r="BD302" s="313"/>
    </row>
    <row r="303" spans="1:56" ht="72" thickBot="1">
      <c r="A303" s="329"/>
      <c r="B303" s="363"/>
      <c r="C303" s="364"/>
      <c r="D303" s="367"/>
      <c r="E303" s="233"/>
      <c r="F303" s="233"/>
      <c r="G303" s="204"/>
      <c r="H303" s="204"/>
      <c r="I303" s="204" t="s">
        <v>593</v>
      </c>
      <c r="J303" s="370"/>
      <c r="K303" s="349"/>
      <c r="L303" s="352"/>
      <c r="M303" s="349"/>
      <c r="N303" s="353"/>
      <c r="O303" s="47"/>
      <c r="P303" s="215"/>
      <c r="Q303" s="215"/>
      <c r="R303" s="215"/>
      <c r="S303" s="27" t="str">
        <f t="shared" si="56"/>
        <v/>
      </c>
      <c r="T303" s="215"/>
      <c r="U303" s="27" t="str">
        <f t="shared" si="57"/>
        <v/>
      </c>
      <c r="V303" s="208"/>
      <c r="W303" s="27" t="str">
        <f t="shared" si="58"/>
        <v/>
      </c>
      <c r="X303" s="208"/>
      <c r="Y303" s="27" t="str">
        <f t="shared" si="59"/>
        <v/>
      </c>
      <c r="Z303" s="208"/>
      <c r="AA303" s="27" t="str">
        <f t="shared" si="60"/>
        <v/>
      </c>
      <c r="AB303" s="208"/>
      <c r="AC303" s="27" t="str">
        <f t="shared" si="61"/>
        <v/>
      </c>
      <c r="AD303" s="208"/>
      <c r="AE303" s="27" t="str">
        <f t="shared" si="62"/>
        <v/>
      </c>
      <c r="AF303" s="48" t="str">
        <f t="shared" si="63"/>
        <v/>
      </c>
      <c r="AG303" s="48" t="str">
        <f t="shared" si="64"/>
        <v/>
      </c>
      <c r="AH303" s="209"/>
      <c r="AI303" s="210" t="str">
        <f t="shared" si="65"/>
        <v>Débil</v>
      </c>
      <c r="AJ303" s="21" t="str">
        <f>IFERROR(VLOOKUP((CONCATENATE(AG303,AI303)),Listados!$U$3:$V$11,2,FALSE),"")</f>
        <v/>
      </c>
      <c r="AK303" s="48">
        <f t="shared" si="66"/>
        <v>100</v>
      </c>
      <c r="AL303" s="355"/>
      <c r="AM303" s="357"/>
      <c r="AN303" s="173">
        <f>+IF(AND(Q303="Preventivo",AM301="Fuerte"),2,IF(AND(Q303="Preventivo",AM301="Moderado"),1,0))</f>
        <v>0</v>
      </c>
      <c r="AO303" s="173">
        <f t="shared" si="67"/>
        <v>0</v>
      </c>
      <c r="AP303" s="173">
        <f>+K301-AN303</f>
        <v>1</v>
      </c>
      <c r="AQ303" s="173">
        <f>+M301-AO303</f>
        <v>5</v>
      </c>
      <c r="AR303" s="346"/>
      <c r="AS303" s="346"/>
      <c r="AT303" s="346"/>
      <c r="AU303" s="346"/>
      <c r="AV303" s="311"/>
      <c r="AW303" s="312"/>
      <c r="AX303" s="313"/>
      <c r="AY303" s="311"/>
      <c r="AZ303" s="312"/>
      <c r="BA303" s="313"/>
      <c r="BB303" s="311"/>
      <c r="BC303" s="312"/>
      <c r="BD303" s="313"/>
    </row>
    <row r="304" spans="1:56" ht="15.75" thickBot="1">
      <c r="A304" s="329"/>
      <c r="B304" s="363"/>
      <c r="C304" s="364"/>
      <c r="D304" s="367"/>
      <c r="E304" s="233"/>
      <c r="F304" s="233"/>
      <c r="G304" s="235"/>
      <c r="H304" s="236"/>
      <c r="I304" s="222"/>
      <c r="J304" s="370"/>
      <c r="K304" s="349"/>
      <c r="L304" s="352"/>
      <c r="M304" s="349"/>
      <c r="N304" s="353"/>
      <c r="O304" s="47"/>
      <c r="P304" s="215"/>
      <c r="Q304" s="215"/>
      <c r="R304" s="215"/>
      <c r="S304" s="27" t="str">
        <f t="shared" si="56"/>
        <v/>
      </c>
      <c r="T304" s="215"/>
      <c r="U304" s="27" t="str">
        <f t="shared" si="57"/>
        <v/>
      </c>
      <c r="V304" s="208"/>
      <c r="W304" s="27" t="str">
        <f t="shared" si="58"/>
        <v/>
      </c>
      <c r="X304" s="208"/>
      <c r="Y304" s="27" t="str">
        <f t="shared" si="59"/>
        <v/>
      </c>
      <c r="Z304" s="208"/>
      <c r="AA304" s="27" t="str">
        <f t="shared" si="60"/>
        <v/>
      </c>
      <c r="AB304" s="208"/>
      <c r="AC304" s="27" t="str">
        <f t="shared" si="61"/>
        <v/>
      </c>
      <c r="AD304" s="208"/>
      <c r="AE304" s="27" t="str">
        <f t="shared" si="62"/>
        <v/>
      </c>
      <c r="AF304" s="48" t="str">
        <f t="shared" si="63"/>
        <v/>
      </c>
      <c r="AG304" s="48" t="str">
        <f t="shared" si="64"/>
        <v/>
      </c>
      <c r="AH304" s="209"/>
      <c r="AI304" s="210" t="str">
        <f t="shared" si="65"/>
        <v>Débil</v>
      </c>
      <c r="AJ304" s="21" t="str">
        <f>IFERROR(VLOOKUP((CONCATENATE(AG304,AI304)),Listados!$U$3:$V$11,2,FALSE),"")</f>
        <v/>
      </c>
      <c r="AK304" s="48">
        <f t="shared" si="66"/>
        <v>100</v>
      </c>
      <c r="AL304" s="355"/>
      <c r="AM304" s="357"/>
      <c r="AN304" s="173">
        <f>+IF(AND(Q304="Preventivo",AM301="Fuerte"),2,IF(AND(Q304="Preventivo",AM301="Moderado"),1,0))</f>
        <v>0</v>
      </c>
      <c r="AO304" s="173">
        <f t="shared" si="67"/>
        <v>0</v>
      </c>
      <c r="AP304" s="173">
        <f>+K301-AN304</f>
        <v>1</v>
      </c>
      <c r="AQ304" s="173">
        <f>+M301-AO304</f>
        <v>5</v>
      </c>
      <c r="AR304" s="346"/>
      <c r="AS304" s="346"/>
      <c r="AT304" s="346"/>
      <c r="AU304" s="346"/>
      <c r="AV304" s="311"/>
      <c r="AW304" s="312"/>
      <c r="AX304" s="313"/>
      <c r="AY304" s="311"/>
      <c r="AZ304" s="312"/>
      <c r="BA304" s="313"/>
      <c r="BB304" s="311"/>
      <c r="BC304" s="312"/>
      <c r="BD304" s="313"/>
    </row>
    <row r="305" spans="1:56" ht="15.75" thickBot="1">
      <c r="A305" s="329"/>
      <c r="B305" s="363"/>
      <c r="C305" s="364"/>
      <c r="D305" s="367"/>
      <c r="E305" s="109"/>
      <c r="F305" s="109"/>
      <c r="G305" s="28"/>
      <c r="H305" s="29"/>
      <c r="I305" s="222"/>
      <c r="J305" s="370"/>
      <c r="K305" s="349"/>
      <c r="L305" s="352"/>
      <c r="M305" s="349"/>
      <c r="N305" s="353"/>
      <c r="O305" s="47"/>
      <c r="P305" s="215"/>
      <c r="Q305" s="215"/>
      <c r="R305" s="215"/>
      <c r="S305" s="27" t="str">
        <f t="shared" si="56"/>
        <v/>
      </c>
      <c r="T305" s="215"/>
      <c r="U305" s="27" t="str">
        <f t="shared" si="57"/>
        <v/>
      </c>
      <c r="V305" s="208"/>
      <c r="W305" s="27" t="str">
        <f t="shared" si="58"/>
        <v/>
      </c>
      <c r="X305" s="208"/>
      <c r="Y305" s="27" t="str">
        <f t="shared" si="59"/>
        <v/>
      </c>
      <c r="Z305" s="208"/>
      <c r="AA305" s="27" t="str">
        <f t="shared" si="60"/>
        <v/>
      </c>
      <c r="AB305" s="208"/>
      <c r="AC305" s="27" t="str">
        <f t="shared" si="61"/>
        <v/>
      </c>
      <c r="AD305" s="208"/>
      <c r="AE305" s="27" t="str">
        <f t="shared" si="62"/>
        <v/>
      </c>
      <c r="AF305" s="48" t="str">
        <f t="shared" si="63"/>
        <v/>
      </c>
      <c r="AG305" s="48" t="str">
        <f t="shared" si="64"/>
        <v/>
      </c>
      <c r="AH305" s="209"/>
      <c r="AI305" s="210" t="str">
        <f t="shared" si="65"/>
        <v>Débil</v>
      </c>
      <c r="AJ305" s="21" t="str">
        <f>IFERROR(VLOOKUP((CONCATENATE(AG305,AI305)),Listados!$U$3:$V$11,2,FALSE),"")</f>
        <v/>
      </c>
      <c r="AK305" s="48">
        <f t="shared" si="66"/>
        <v>100</v>
      </c>
      <c r="AL305" s="355"/>
      <c r="AM305" s="357"/>
      <c r="AN305" s="173">
        <f>+IF(AND(Q305="Preventivo",AM301="Fuerte"),2,IF(AND(Q305="Preventivo",AM301="Moderado"),1,0))</f>
        <v>0</v>
      </c>
      <c r="AO305" s="173">
        <f t="shared" si="67"/>
        <v>0</v>
      </c>
      <c r="AP305" s="173">
        <f>+K301-AN305</f>
        <v>1</v>
      </c>
      <c r="AQ305" s="173">
        <f>+M301-AO305</f>
        <v>5</v>
      </c>
      <c r="AR305" s="346"/>
      <c r="AS305" s="346"/>
      <c r="AT305" s="346"/>
      <c r="AU305" s="346"/>
      <c r="AV305" s="311"/>
      <c r="AW305" s="312"/>
      <c r="AX305" s="313"/>
      <c r="AY305" s="311"/>
      <c r="AZ305" s="312"/>
      <c r="BA305" s="313"/>
      <c r="BB305" s="311"/>
      <c r="BC305" s="312"/>
      <c r="BD305" s="313"/>
    </row>
    <row r="306" spans="1:56" ht="15.75" thickBot="1">
      <c r="A306" s="330"/>
      <c r="B306" s="363"/>
      <c r="C306" s="365"/>
      <c r="D306" s="368"/>
      <c r="E306" s="106"/>
      <c r="F306" s="106"/>
      <c r="G306" s="30"/>
      <c r="H306" s="31"/>
      <c r="I306" s="222"/>
      <c r="J306" s="370"/>
      <c r="K306" s="350"/>
      <c r="L306" s="352"/>
      <c r="M306" s="350"/>
      <c r="N306" s="353"/>
      <c r="O306" s="47"/>
      <c r="P306" s="215"/>
      <c r="Q306" s="215"/>
      <c r="R306" s="215"/>
      <c r="S306" s="27" t="str">
        <f t="shared" si="56"/>
        <v/>
      </c>
      <c r="T306" s="215"/>
      <c r="U306" s="27" t="str">
        <f t="shared" si="57"/>
        <v/>
      </c>
      <c r="V306" s="208"/>
      <c r="W306" s="27" t="str">
        <f t="shared" si="58"/>
        <v/>
      </c>
      <c r="X306" s="208"/>
      <c r="Y306" s="27" t="str">
        <f t="shared" si="59"/>
        <v/>
      </c>
      <c r="Z306" s="208"/>
      <c r="AA306" s="27" t="str">
        <f t="shared" si="60"/>
        <v/>
      </c>
      <c r="AB306" s="208"/>
      <c r="AC306" s="27" t="str">
        <f t="shared" si="61"/>
        <v/>
      </c>
      <c r="AD306" s="208"/>
      <c r="AE306" s="27" t="str">
        <f t="shared" si="62"/>
        <v/>
      </c>
      <c r="AF306" s="48" t="str">
        <f t="shared" si="63"/>
        <v/>
      </c>
      <c r="AG306" s="48" t="str">
        <f t="shared" si="64"/>
        <v/>
      </c>
      <c r="AH306" s="209"/>
      <c r="AI306" s="210" t="str">
        <f t="shared" si="65"/>
        <v>Débil</v>
      </c>
      <c r="AJ306" s="21" t="str">
        <f>IFERROR(VLOOKUP((CONCATENATE(AG306,AI306)),Listados!$U$3:$V$11,2,FALSE),"")</f>
        <v/>
      </c>
      <c r="AK306" s="48">
        <f t="shared" si="66"/>
        <v>100</v>
      </c>
      <c r="AL306" s="356"/>
      <c r="AM306" s="357"/>
      <c r="AN306" s="173">
        <f>+IF(AND(Q306="Preventivo",AM301="Fuerte"),2,IF(AND(Q306="Preventivo",AM301="Moderado"),1,0))</f>
        <v>0</v>
      </c>
      <c r="AO306" s="173">
        <f t="shared" si="67"/>
        <v>0</v>
      </c>
      <c r="AP306" s="173">
        <f>+K301-AN306</f>
        <v>1</v>
      </c>
      <c r="AQ306" s="173">
        <f>+M301-AO306</f>
        <v>5</v>
      </c>
      <c r="AR306" s="347"/>
      <c r="AS306" s="347"/>
      <c r="AT306" s="347"/>
      <c r="AU306" s="347"/>
      <c r="AV306" s="311"/>
      <c r="AW306" s="312"/>
      <c r="AX306" s="313"/>
      <c r="AY306" s="311"/>
      <c r="AZ306" s="312"/>
      <c r="BA306" s="313"/>
      <c r="BB306" s="311"/>
      <c r="BC306" s="312"/>
      <c r="BD306" s="313"/>
    </row>
    <row r="307" spans="1:56" ht="144" thickBot="1">
      <c r="A307" s="328">
        <v>51</v>
      </c>
      <c r="B307" s="363" t="s">
        <v>83</v>
      </c>
      <c r="C307" s="371" t="str">
        <f>IFERROR(VLOOKUP(B307,Listados!B$3:C$20,2,FALSE),"")</f>
        <v>Fijar los lineamientos, parámetros y actividades requeridas para garantizar la gestión de los servicios administrativos, logísticos y la administración de los bienes necesario para la operación del Ministerio de Justicia y del Derecho.</v>
      </c>
      <c r="D307" s="372" t="s">
        <v>594</v>
      </c>
      <c r="E307" s="107" t="s">
        <v>29</v>
      </c>
      <c r="F307" s="107"/>
      <c r="G307" s="204" t="s">
        <v>595</v>
      </c>
      <c r="H307" s="103" t="s">
        <v>16</v>
      </c>
      <c r="I307" s="204" t="s">
        <v>596</v>
      </c>
      <c r="J307" s="369" t="s">
        <v>21</v>
      </c>
      <c r="K307" s="348">
        <f>+VLOOKUP(J307,Listados!$K$8:$L$12,2,0)</f>
        <v>1</v>
      </c>
      <c r="L307" s="351" t="s">
        <v>64</v>
      </c>
      <c r="M307" s="348">
        <f>+VLOOKUP(L307,Listados!$K$13:$L$17,2,0)</f>
        <v>5</v>
      </c>
      <c r="N307" s="347" t="str">
        <f>IF(AND(J307&lt;&gt;"",L307&lt;&gt;""),VLOOKUP(J307&amp;L307,Listados!$M$3:$N$27,2,FALSE),"")</f>
        <v>Extremo</v>
      </c>
      <c r="O307" s="205" t="s">
        <v>597</v>
      </c>
      <c r="P307" s="175" t="s">
        <v>595</v>
      </c>
      <c r="Q307" s="215"/>
      <c r="R307" s="215"/>
      <c r="S307" s="27" t="str">
        <f t="shared" si="56"/>
        <v/>
      </c>
      <c r="T307" s="215"/>
      <c r="U307" s="27" t="str">
        <f t="shared" si="57"/>
        <v/>
      </c>
      <c r="V307" s="208"/>
      <c r="W307" s="27" t="str">
        <f t="shared" si="58"/>
        <v/>
      </c>
      <c r="X307" s="208"/>
      <c r="Y307" s="27" t="str">
        <f t="shared" si="59"/>
        <v/>
      </c>
      <c r="Z307" s="208"/>
      <c r="AA307" s="27" t="str">
        <f t="shared" si="60"/>
        <v/>
      </c>
      <c r="AB307" s="208"/>
      <c r="AC307" s="27" t="str">
        <f t="shared" si="61"/>
        <v/>
      </c>
      <c r="AD307" s="208"/>
      <c r="AE307" s="27" t="str">
        <f t="shared" si="62"/>
        <v/>
      </c>
      <c r="AF307" s="48" t="str">
        <f t="shared" si="63"/>
        <v/>
      </c>
      <c r="AG307" s="48" t="str">
        <f t="shared" si="64"/>
        <v/>
      </c>
      <c r="AH307" s="209"/>
      <c r="AI307" s="210" t="str">
        <f t="shared" si="65"/>
        <v>Débil</v>
      </c>
      <c r="AJ307" s="21" t="str">
        <f>IFERROR(VLOOKUP((CONCATENATE(AG307,AI307)),Listados!$U$3:$V$11,2,FALSE),"")</f>
        <v/>
      </c>
      <c r="AK307" s="48">
        <f t="shared" si="66"/>
        <v>100</v>
      </c>
      <c r="AL307" s="354">
        <f>AVERAGE(AK307:AK312)</f>
        <v>100</v>
      </c>
      <c r="AM307" s="356" t="str">
        <f>IF(AL307&lt;=50, "Débil", IF(AL307&lt;=99,"Moderado","Fuerte"))</f>
        <v>Fuerte</v>
      </c>
      <c r="AN307" s="173">
        <f>+IF(AND(Q307="Preventivo",AM307="Fuerte"),2,IF(AND(Q307="Preventivo",AM307="Moderado"),1,0))</f>
        <v>0</v>
      </c>
      <c r="AO307" s="173">
        <f t="shared" si="67"/>
        <v>0</v>
      </c>
      <c r="AP307" s="173">
        <f>+K307-AN307</f>
        <v>1</v>
      </c>
      <c r="AQ307" s="173">
        <f>+M307-AO307</f>
        <v>5</v>
      </c>
      <c r="AR307" s="345" t="str">
        <f>+VLOOKUP(MIN(AP307,AP308,AP309,AP310,AP311,AP312),Listados!$J$18:$K$24,2,TRUE)</f>
        <v>Rara Vez</v>
      </c>
      <c r="AS307" s="345" t="str">
        <f>+VLOOKUP(MIN(AQ307,AQ308,AQ309,AQ310,AQ311,AQ312),Listados!$J$27:$K$32,2,TRUE)</f>
        <v>Catastrófico</v>
      </c>
      <c r="AT307" s="345" t="str">
        <f>IF(AND(AR307&lt;&gt;"",AS307&lt;&gt;""),VLOOKUP(AR307&amp;AS307,Listados!$M$3:$N$27,2,FALSE),"")</f>
        <v>Extremo</v>
      </c>
      <c r="AU307" s="345" t="str">
        <f>+VLOOKUP(AT307,Listados!$P$3:$Q$6,2,FALSE)</f>
        <v>Evitar el riesgo</v>
      </c>
      <c r="AV307" s="311"/>
      <c r="AW307" s="312"/>
      <c r="AX307" s="313"/>
      <c r="AY307" s="311"/>
      <c r="AZ307" s="312"/>
      <c r="BA307" s="313"/>
      <c r="BB307" s="311"/>
      <c r="BC307" s="312"/>
      <c r="BD307" s="313"/>
    </row>
    <row r="308" spans="1:56" ht="201" thickBot="1">
      <c r="A308" s="329"/>
      <c r="B308" s="363"/>
      <c r="C308" s="364"/>
      <c r="D308" s="367"/>
      <c r="E308" s="233"/>
      <c r="F308" s="233"/>
      <c r="G308" s="204" t="s">
        <v>598</v>
      </c>
      <c r="H308" s="236" t="s">
        <v>16</v>
      </c>
      <c r="I308" s="204" t="s">
        <v>599</v>
      </c>
      <c r="J308" s="370"/>
      <c r="K308" s="349"/>
      <c r="L308" s="352"/>
      <c r="M308" s="349"/>
      <c r="N308" s="353"/>
      <c r="O308" s="205" t="s">
        <v>600</v>
      </c>
      <c r="P308" s="175" t="s">
        <v>598</v>
      </c>
      <c r="Q308" s="215"/>
      <c r="R308" s="215"/>
      <c r="S308" s="27" t="str">
        <f t="shared" si="56"/>
        <v/>
      </c>
      <c r="T308" s="215"/>
      <c r="U308" s="27" t="str">
        <f t="shared" si="57"/>
        <v/>
      </c>
      <c r="V308" s="208"/>
      <c r="W308" s="27" t="str">
        <f t="shared" si="58"/>
        <v/>
      </c>
      <c r="X308" s="208"/>
      <c r="Y308" s="27" t="str">
        <f t="shared" si="59"/>
        <v/>
      </c>
      <c r="Z308" s="208"/>
      <c r="AA308" s="27" t="str">
        <f t="shared" si="60"/>
        <v/>
      </c>
      <c r="AB308" s="208"/>
      <c r="AC308" s="27" t="str">
        <f t="shared" si="61"/>
        <v/>
      </c>
      <c r="AD308" s="208"/>
      <c r="AE308" s="27" t="str">
        <f t="shared" si="62"/>
        <v/>
      </c>
      <c r="AF308" s="48" t="str">
        <f t="shared" si="63"/>
        <v/>
      </c>
      <c r="AG308" s="48" t="str">
        <f t="shared" si="64"/>
        <v/>
      </c>
      <c r="AH308" s="209"/>
      <c r="AI308" s="210" t="str">
        <f t="shared" si="65"/>
        <v>Débil</v>
      </c>
      <c r="AJ308" s="21" t="str">
        <f>IFERROR(VLOOKUP((CONCATENATE(AG308,AI308)),Listados!$U$3:$V$11,2,FALSE),"")</f>
        <v/>
      </c>
      <c r="AK308" s="48">
        <f t="shared" si="66"/>
        <v>100</v>
      </c>
      <c r="AL308" s="355"/>
      <c r="AM308" s="357"/>
      <c r="AN308" s="173">
        <f>+IF(AND(Q308="Preventivo",AM307="Fuerte"),2,IF(AND(Q308="Preventivo",AM307="Moderado"),1,0))</f>
        <v>0</v>
      </c>
      <c r="AO308" s="173">
        <f t="shared" si="67"/>
        <v>0</v>
      </c>
      <c r="AP308" s="173">
        <f>+K307-AN308</f>
        <v>1</v>
      </c>
      <c r="AQ308" s="173">
        <f>+M307-AO308</f>
        <v>5</v>
      </c>
      <c r="AR308" s="346"/>
      <c r="AS308" s="346"/>
      <c r="AT308" s="346"/>
      <c r="AU308" s="346"/>
      <c r="AV308" s="311"/>
      <c r="AW308" s="312"/>
      <c r="AX308" s="313"/>
      <c r="AY308" s="311"/>
      <c r="AZ308" s="312"/>
      <c r="BA308" s="313"/>
      <c r="BB308" s="311"/>
      <c r="BC308" s="312"/>
      <c r="BD308" s="313"/>
    </row>
    <row r="309" spans="1:56" ht="115.5" thickBot="1">
      <c r="A309" s="329"/>
      <c r="B309" s="363"/>
      <c r="C309" s="364"/>
      <c r="D309" s="367"/>
      <c r="E309" s="233"/>
      <c r="F309" s="233"/>
      <c r="G309" s="204" t="s">
        <v>601</v>
      </c>
      <c r="H309" s="236" t="s">
        <v>16</v>
      </c>
      <c r="I309" s="204" t="s">
        <v>602</v>
      </c>
      <c r="J309" s="370"/>
      <c r="K309" s="349"/>
      <c r="L309" s="352"/>
      <c r="M309" s="349"/>
      <c r="N309" s="353"/>
      <c r="O309" s="205" t="s">
        <v>603</v>
      </c>
      <c r="P309" s="175" t="s">
        <v>601</v>
      </c>
      <c r="Q309" s="215"/>
      <c r="R309" s="215"/>
      <c r="S309" s="27" t="str">
        <f t="shared" si="56"/>
        <v/>
      </c>
      <c r="T309" s="215"/>
      <c r="U309" s="27" t="str">
        <f t="shared" si="57"/>
        <v/>
      </c>
      <c r="V309" s="208"/>
      <c r="W309" s="27" t="str">
        <f t="shared" si="58"/>
        <v/>
      </c>
      <c r="X309" s="208"/>
      <c r="Y309" s="27" t="str">
        <f t="shared" si="59"/>
        <v/>
      </c>
      <c r="Z309" s="208"/>
      <c r="AA309" s="27" t="str">
        <f t="shared" si="60"/>
        <v/>
      </c>
      <c r="AB309" s="208"/>
      <c r="AC309" s="27" t="str">
        <f t="shared" si="61"/>
        <v/>
      </c>
      <c r="AD309" s="208"/>
      <c r="AE309" s="27" t="str">
        <f t="shared" si="62"/>
        <v/>
      </c>
      <c r="AF309" s="48" t="str">
        <f t="shared" si="63"/>
        <v/>
      </c>
      <c r="AG309" s="48" t="str">
        <f t="shared" si="64"/>
        <v/>
      </c>
      <c r="AH309" s="209"/>
      <c r="AI309" s="210" t="str">
        <f t="shared" si="65"/>
        <v>Débil</v>
      </c>
      <c r="AJ309" s="21" t="str">
        <f>IFERROR(VLOOKUP((CONCATENATE(AG309,AI309)),Listados!$U$3:$V$11,2,FALSE),"")</f>
        <v/>
      </c>
      <c r="AK309" s="48">
        <f t="shared" si="66"/>
        <v>100</v>
      </c>
      <c r="AL309" s="355"/>
      <c r="AM309" s="357"/>
      <c r="AN309" s="173">
        <f>+IF(AND(Q309="Preventivo",AM307="Fuerte"),2,IF(AND(Q309="Preventivo",AM307="Moderado"),1,0))</f>
        <v>0</v>
      </c>
      <c r="AO309" s="173">
        <f t="shared" si="67"/>
        <v>0</v>
      </c>
      <c r="AP309" s="173">
        <f>+K307-AN309</f>
        <v>1</v>
      </c>
      <c r="AQ309" s="173">
        <f>+M307-AO309</f>
        <v>5</v>
      </c>
      <c r="AR309" s="346"/>
      <c r="AS309" s="346"/>
      <c r="AT309" s="346"/>
      <c r="AU309" s="346"/>
      <c r="AV309" s="311"/>
      <c r="AW309" s="312"/>
      <c r="AX309" s="313"/>
      <c r="AY309" s="311"/>
      <c r="AZ309" s="312"/>
      <c r="BA309" s="313"/>
      <c r="BB309" s="311"/>
      <c r="BC309" s="312"/>
      <c r="BD309" s="313"/>
    </row>
    <row r="310" spans="1:56" ht="25.5" customHeight="1" thickBot="1">
      <c r="A310" s="329"/>
      <c r="B310" s="363"/>
      <c r="C310" s="364"/>
      <c r="D310" s="367"/>
      <c r="E310" s="233"/>
      <c r="F310" s="233"/>
      <c r="G310" s="235"/>
      <c r="H310" s="236"/>
      <c r="I310" s="222"/>
      <c r="J310" s="370"/>
      <c r="K310" s="349"/>
      <c r="L310" s="352"/>
      <c r="M310" s="349"/>
      <c r="N310" s="353"/>
      <c r="O310" s="47"/>
      <c r="P310" s="215"/>
      <c r="Q310" s="215"/>
      <c r="R310" s="215"/>
      <c r="S310" s="27" t="str">
        <f t="shared" si="56"/>
        <v/>
      </c>
      <c r="T310" s="215"/>
      <c r="U310" s="27" t="str">
        <f t="shared" si="57"/>
        <v/>
      </c>
      <c r="V310" s="208"/>
      <c r="W310" s="27" t="str">
        <f t="shared" si="58"/>
        <v/>
      </c>
      <c r="X310" s="208"/>
      <c r="Y310" s="27" t="str">
        <f t="shared" si="59"/>
        <v/>
      </c>
      <c r="Z310" s="208"/>
      <c r="AA310" s="27" t="str">
        <f t="shared" si="60"/>
        <v/>
      </c>
      <c r="AB310" s="208"/>
      <c r="AC310" s="27" t="str">
        <f t="shared" si="61"/>
        <v/>
      </c>
      <c r="AD310" s="208"/>
      <c r="AE310" s="27" t="str">
        <f t="shared" si="62"/>
        <v/>
      </c>
      <c r="AF310" s="48" t="str">
        <f t="shared" si="63"/>
        <v/>
      </c>
      <c r="AG310" s="48" t="str">
        <f t="shared" si="64"/>
        <v/>
      </c>
      <c r="AH310" s="209"/>
      <c r="AI310" s="210" t="str">
        <f t="shared" si="65"/>
        <v>Débil</v>
      </c>
      <c r="AJ310" s="21" t="str">
        <f>IFERROR(VLOOKUP((CONCATENATE(AG310,AI310)),Listados!$U$3:$V$11,2,FALSE),"")</f>
        <v/>
      </c>
      <c r="AK310" s="48">
        <f t="shared" si="66"/>
        <v>100</v>
      </c>
      <c r="AL310" s="355"/>
      <c r="AM310" s="357"/>
      <c r="AN310" s="173">
        <f>+IF(AND(Q310="Preventivo",AM307="Fuerte"),2,IF(AND(Q310="Preventivo",AM307="Moderado"),1,0))</f>
        <v>0</v>
      </c>
      <c r="AO310" s="173">
        <f t="shared" si="67"/>
        <v>0</v>
      </c>
      <c r="AP310" s="173">
        <f>+K307-AN310</f>
        <v>1</v>
      </c>
      <c r="AQ310" s="173">
        <f>+M307-AO310</f>
        <v>5</v>
      </c>
      <c r="AR310" s="346"/>
      <c r="AS310" s="346"/>
      <c r="AT310" s="346"/>
      <c r="AU310" s="346"/>
      <c r="AV310" s="311"/>
      <c r="AW310" s="312"/>
      <c r="AX310" s="313"/>
      <c r="AY310" s="311"/>
      <c r="AZ310" s="312"/>
      <c r="BA310" s="313"/>
      <c r="BB310" s="311"/>
      <c r="BC310" s="312"/>
      <c r="BD310" s="313"/>
    </row>
    <row r="311" spans="1:56" ht="25.5" customHeight="1" thickBot="1">
      <c r="A311" s="329"/>
      <c r="B311" s="363"/>
      <c r="C311" s="364"/>
      <c r="D311" s="367"/>
      <c r="E311" s="109"/>
      <c r="F311" s="109"/>
      <c r="G311" s="28"/>
      <c r="H311" s="29"/>
      <c r="I311" s="222"/>
      <c r="J311" s="370"/>
      <c r="K311" s="349"/>
      <c r="L311" s="352"/>
      <c r="M311" s="349"/>
      <c r="N311" s="353"/>
      <c r="O311" s="47"/>
      <c r="P311" s="215"/>
      <c r="Q311" s="215"/>
      <c r="R311" s="215"/>
      <c r="S311" s="27" t="str">
        <f t="shared" si="56"/>
        <v/>
      </c>
      <c r="T311" s="215"/>
      <c r="U311" s="27" t="str">
        <f t="shared" si="57"/>
        <v/>
      </c>
      <c r="V311" s="208"/>
      <c r="W311" s="27" t="str">
        <f t="shared" si="58"/>
        <v/>
      </c>
      <c r="X311" s="208"/>
      <c r="Y311" s="27" t="str">
        <f t="shared" si="59"/>
        <v/>
      </c>
      <c r="Z311" s="208"/>
      <c r="AA311" s="27" t="str">
        <f t="shared" si="60"/>
        <v/>
      </c>
      <c r="AB311" s="208"/>
      <c r="AC311" s="27" t="str">
        <f t="shared" si="61"/>
        <v/>
      </c>
      <c r="AD311" s="208"/>
      <c r="AE311" s="27" t="str">
        <f t="shared" si="62"/>
        <v/>
      </c>
      <c r="AF311" s="48" t="str">
        <f t="shared" si="63"/>
        <v/>
      </c>
      <c r="AG311" s="48" t="str">
        <f t="shared" si="64"/>
        <v/>
      </c>
      <c r="AH311" s="209"/>
      <c r="AI311" s="210" t="str">
        <f t="shared" si="65"/>
        <v>Débil</v>
      </c>
      <c r="AJ311" s="21" t="str">
        <f>IFERROR(VLOOKUP((CONCATENATE(AG311,AI311)),Listados!$U$3:$V$11,2,FALSE),"")</f>
        <v/>
      </c>
      <c r="AK311" s="48">
        <f t="shared" si="66"/>
        <v>100</v>
      </c>
      <c r="AL311" s="355"/>
      <c r="AM311" s="357"/>
      <c r="AN311" s="173">
        <f>+IF(AND(Q311="Preventivo",AM307="Fuerte"),2,IF(AND(Q311="Preventivo",AM307="Moderado"),1,0))</f>
        <v>0</v>
      </c>
      <c r="AO311" s="173">
        <f t="shared" si="67"/>
        <v>0</v>
      </c>
      <c r="AP311" s="173">
        <f>+K307-AN311</f>
        <v>1</v>
      </c>
      <c r="AQ311" s="173">
        <f>+M307-AO311</f>
        <v>5</v>
      </c>
      <c r="AR311" s="346"/>
      <c r="AS311" s="346"/>
      <c r="AT311" s="346"/>
      <c r="AU311" s="346"/>
      <c r="AV311" s="311"/>
      <c r="AW311" s="312"/>
      <c r="AX311" s="313"/>
      <c r="AY311" s="311"/>
      <c r="AZ311" s="312"/>
      <c r="BA311" s="313"/>
      <c r="BB311" s="311"/>
      <c r="BC311" s="312"/>
      <c r="BD311" s="313"/>
    </row>
    <row r="312" spans="1:56" ht="26.25" customHeight="1" thickBot="1">
      <c r="A312" s="330"/>
      <c r="B312" s="363"/>
      <c r="C312" s="365"/>
      <c r="D312" s="368"/>
      <c r="E312" s="106"/>
      <c r="F312" s="106"/>
      <c r="G312" s="30"/>
      <c r="H312" s="31"/>
      <c r="I312" s="222"/>
      <c r="J312" s="370"/>
      <c r="K312" s="350"/>
      <c r="L312" s="352"/>
      <c r="M312" s="350"/>
      <c r="N312" s="353"/>
      <c r="O312" s="47"/>
      <c r="P312" s="215"/>
      <c r="Q312" s="215"/>
      <c r="R312" s="215"/>
      <c r="S312" s="27" t="str">
        <f t="shared" si="56"/>
        <v/>
      </c>
      <c r="T312" s="215"/>
      <c r="U312" s="27" t="str">
        <f t="shared" si="57"/>
        <v/>
      </c>
      <c r="V312" s="208"/>
      <c r="W312" s="27" t="str">
        <f t="shared" si="58"/>
        <v/>
      </c>
      <c r="X312" s="208"/>
      <c r="Y312" s="27" t="str">
        <f t="shared" si="59"/>
        <v/>
      </c>
      <c r="Z312" s="208"/>
      <c r="AA312" s="27" t="str">
        <f t="shared" si="60"/>
        <v/>
      </c>
      <c r="AB312" s="208"/>
      <c r="AC312" s="27" t="str">
        <f t="shared" si="61"/>
        <v/>
      </c>
      <c r="AD312" s="208"/>
      <c r="AE312" s="27" t="str">
        <f t="shared" si="62"/>
        <v/>
      </c>
      <c r="AF312" s="48" t="str">
        <f t="shared" si="63"/>
        <v/>
      </c>
      <c r="AG312" s="48" t="str">
        <f t="shared" si="64"/>
        <v/>
      </c>
      <c r="AH312" s="209"/>
      <c r="AI312" s="210" t="str">
        <f t="shared" si="65"/>
        <v>Débil</v>
      </c>
      <c r="AJ312" s="21" t="str">
        <f>IFERROR(VLOOKUP((CONCATENATE(AG312,AI312)),Listados!$U$3:$V$11,2,FALSE),"")</f>
        <v/>
      </c>
      <c r="AK312" s="48">
        <f t="shared" si="66"/>
        <v>100</v>
      </c>
      <c r="AL312" s="356"/>
      <c r="AM312" s="357"/>
      <c r="AN312" s="173">
        <f>+IF(AND(Q312="Preventivo",AM307="Fuerte"),2,IF(AND(Q312="Preventivo",AM307="Moderado"),1,0))</f>
        <v>0</v>
      </c>
      <c r="AO312" s="173">
        <f t="shared" si="67"/>
        <v>0</v>
      </c>
      <c r="AP312" s="173">
        <f>+K307-AN312</f>
        <v>1</v>
      </c>
      <c r="AQ312" s="173">
        <f>+M307-AO312</f>
        <v>5</v>
      </c>
      <c r="AR312" s="347"/>
      <c r="AS312" s="347"/>
      <c r="AT312" s="347"/>
      <c r="AU312" s="347"/>
      <c r="AV312" s="311"/>
      <c r="AW312" s="312"/>
      <c r="AX312" s="313"/>
      <c r="AY312" s="311"/>
      <c r="AZ312" s="312"/>
      <c r="BA312" s="313"/>
      <c r="BB312" s="311"/>
      <c r="BC312" s="312"/>
      <c r="BD312" s="313"/>
    </row>
    <row r="313" spans="1:56" ht="158.25" thickBot="1">
      <c r="A313" s="328">
        <v>52</v>
      </c>
      <c r="B313" s="363" t="s">
        <v>83</v>
      </c>
      <c r="C313" s="371" t="str">
        <f>IFERROR(VLOOKUP(B313,Listados!B$3:C$20,2,FALSE),"")</f>
        <v>Fijar los lineamientos, parámetros y actividades requeridas para garantizar la gestión de los servicios administrativos, logísticos y la administración de los bienes necesario para la operación del Ministerio de Justicia y del Derecho.</v>
      </c>
      <c r="D313" s="372" t="s">
        <v>604</v>
      </c>
      <c r="E313" s="107" t="s">
        <v>29</v>
      </c>
      <c r="F313" s="107"/>
      <c r="G313" s="204" t="s">
        <v>605</v>
      </c>
      <c r="H313" s="103" t="s">
        <v>16</v>
      </c>
      <c r="I313" s="204" t="s">
        <v>606</v>
      </c>
      <c r="J313" s="369" t="s">
        <v>53</v>
      </c>
      <c r="K313" s="348">
        <f>+VLOOKUP(J313,Listados!$K$8:$L$12,2,0)</f>
        <v>4</v>
      </c>
      <c r="L313" s="351" t="s">
        <v>54</v>
      </c>
      <c r="M313" s="348">
        <f>+VLOOKUP(L313,Listados!$K$13:$L$17,2,0)</f>
        <v>4</v>
      </c>
      <c r="N313" s="347" t="str">
        <f>IF(AND(J313&lt;&gt;"",L313&lt;&gt;""),VLOOKUP(J313&amp;L313,Listados!$M$3:$N$27,2,FALSE),"")</f>
        <v>Extremo</v>
      </c>
      <c r="O313" s="205" t="s">
        <v>607</v>
      </c>
      <c r="P313" s="205" t="s">
        <v>608</v>
      </c>
      <c r="Q313" s="215"/>
      <c r="R313" s="215"/>
      <c r="S313" s="27" t="str">
        <f t="shared" si="56"/>
        <v/>
      </c>
      <c r="T313" s="215"/>
      <c r="U313" s="27" t="str">
        <f t="shared" si="57"/>
        <v/>
      </c>
      <c r="V313" s="208"/>
      <c r="W313" s="27" t="str">
        <f t="shared" si="58"/>
        <v/>
      </c>
      <c r="X313" s="208"/>
      <c r="Y313" s="27" t="str">
        <f t="shared" si="59"/>
        <v/>
      </c>
      <c r="Z313" s="208"/>
      <c r="AA313" s="27" t="str">
        <f t="shared" si="60"/>
        <v/>
      </c>
      <c r="AB313" s="208"/>
      <c r="AC313" s="27" t="str">
        <f t="shared" si="61"/>
        <v/>
      </c>
      <c r="AD313" s="208"/>
      <c r="AE313" s="27" t="str">
        <f t="shared" si="62"/>
        <v/>
      </c>
      <c r="AF313" s="48" t="str">
        <f t="shared" si="63"/>
        <v/>
      </c>
      <c r="AG313" s="48" t="str">
        <f t="shared" si="64"/>
        <v/>
      </c>
      <c r="AH313" s="209"/>
      <c r="AI313" s="210" t="str">
        <f t="shared" si="65"/>
        <v>Débil</v>
      </c>
      <c r="AJ313" s="21" t="str">
        <f>IFERROR(VLOOKUP((CONCATENATE(AG313,AI313)),Listados!$U$3:$V$11,2,FALSE),"")</f>
        <v/>
      </c>
      <c r="AK313" s="48">
        <f t="shared" si="66"/>
        <v>100</v>
      </c>
      <c r="AL313" s="354">
        <f>AVERAGE(AK313:AK318)</f>
        <v>100</v>
      </c>
      <c r="AM313" s="356" t="str">
        <f>IF(AL313&lt;=50, "Débil", IF(AL313&lt;=99,"Moderado","Fuerte"))</f>
        <v>Fuerte</v>
      </c>
      <c r="AN313" s="173">
        <f>+IF(AND(Q313="Preventivo",AM313="Fuerte"),2,IF(AND(Q313="Preventivo",AM313="Moderado"),1,0))</f>
        <v>0</v>
      </c>
      <c r="AO313" s="173">
        <f t="shared" si="67"/>
        <v>0</v>
      </c>
      <c r="AP313" s="173">
        <f>+K313-AN313</f>
        <v>4</v>
      </c>
      <c r="AQ313" s="173">
        <f>+M313-AO313</f>
        <v>4</v>
      </c>
      <c r="AR313" s="345" t="str">
        <f>+VLOOKUP(MIN(AP313,AP314,AP315,AP316,AP317,AP318),Listados!$J$18:$K$24,2,TRUE)</f>
        <v>Probable</v>
      </c>
      <c r="AS313" s="345" t="str">
        <f>+VLOOKUP(MIN(AQ313,AQ314,AQ315,AQ316,AQ317,AQ318),Listados!$J$27:$K$32,2,TRUE)</f>
        <v>Mayor</v>
      </c>
      <c r="AT313" s="345" t="str">
        <f>IF(AND(AR313&lt;&gt;"",AS313&lt;&gt;""),VLOOKUP(AR313&amp;AS313,Listados!$M$3:$N$27,2,FALSE),"")</f>
        <v>Extremo</v>
      </c>
      <c r="AU313" s="345" t="str">
        <f>+VLOOKUP(AT313,Listados!$P$3:$Q$6,2,FALSE)</f>
        <v>Evitar el riesgo</v>
      </c>
      <c r="AV313" s="311"/>
      <c r="AW313" s="312"/>
      <c r="AX313" s="313"/>
      <c r="AY313" s="311"/>
      <c r="AZ313" s="312"/>
      <c r="BA313" s="313"/>
      <c r="BB313" s="311"/>
      <c r="BC313" s="312"/>
      <c r="BD313" s="313"/>
    </row>
    <row r="314" spans="1:56" ht="115.5" thickBot="1">
      <c r="A314" s="329"/>
      <c r="B314" s="363"/>
      <c r="C314" s="364"/>
      <c r="D314" s="367"/>
      <c r="E314" s="233"/>
      <c r="F314" s="233"/>
      <c r="G314" s="204" t="s">
        <v>609</v>
      </c>
      <c r="H314" s="236" t="s">
        <v>30</v>
      </c>
      <c r="I314" s="204" t="s">
        <v>610</v>
      </c>
      <c r="J314" s="370"/>
      <c r="K314" s="349"/>
      <c r="L314" s="352"/>
      <c r="M314" s="349"/>
      <c r="N314" s="353"/>
      <c r="O314" s="205" t="s">
        <v>611</v>
      </c>
      <c r="P314" s="205" t="s">
        <v>609</v>
      </c>
      <c r="Q314" s="215"/>
      <c r="R314" s="215"/>
      <c r="S314" s="27" t="str">
        <f t="shared" si="56"/>
        <v/>
      </c>
      <c r="T314" s="215"/>
      <c r="U314" s="27" t="str">
        <f t="shared" si="57"/>
        <v/>
      </c>
      <c r="V314" s="208"/>
      <c r="W314" s="27" t="str">
        <f t="shared" si="58"/>
        <v/>
      </c>
      <c r="X314" s="208"/>
      <c r="Y314" s="27" t="str">
        <f t="shared" si="59"/>
        <v/>
      </c>
      <c r="Z314" s="208"/>
      <c r="AA314" s="27" t="str">
        <f t="shared" si="60"/>
        <v/>
      </c>
      <c r="AB314" s="208"/>
      <c r="AC314" s="27" t="str">
        <f t="shared" si="61"/>
        <v/>
      </c>
      <c r="AD314" s="208"/>
      <c r="AE314" s="27" t="str">
        <f t="shared" si="62"/>
        <v/>
      </c>
      <c r="AF314" s="48" t="str">
        <f t="shared" si="63"/>
        <v/>
      </c>
      <c r="AG314" s="48" t="str">
        <f t="shared" si="64"/>
        <v/>
      </c>
      <c r="AH314" s="209"/>
      <c r="AI314" s="210" t="str">
        <f t="shared" si="65"/>
        <v>Débil</v>
      </c>
      <c r="AJ314" s="21" t="str">
        <f>IFERROR(VLOOKUP((CONCATENATE(AG314,AI314)),Listados!$U$3:$V$11,2,FALSE),"")</f>
        <v/>
      </c>
      <c r="AK314" s="48">
        <f t="shared" si="66"/>
        <v>100</v>
      </c>
      <c r="AL314" s="355"/>
      <c r="AM314" s="357"/>
      <c r="AN314" s="173">
        <f>+IF(AND(Q314="Preventivo",AM313="Fuerte"),2,IF(AND(Q314="Preventivo",AM313="Moderado"),1,0))</f>
        <v>0</v>
      </c>
      <c r="AO314" s="173">
        <f t="shared" si="67"/>
        <v>0</v>
      </c>
      <c r="AP314" s="173">
        <f>+K313-AN314</f>
        <v>4</v>
      </c>
      <c r="AQ314" s="173">
        <f>+M313-AO314</f>
        <v>4</v>
      </c>
      <c r="AR314" s="346"/>
      <c r="AS314" s="346"/>
      <c r="AT314" s="346"/>
      <c r="AU314" s="346"/>
      <c r="AV314" s="311"/>
      <c r="AW314" s="312"/>
      <c r="AX314" s="313"/>
      <c r="AY314" s="311"/>
      <c r="AZ314" s="312"/>
      <c r="BA314" s="313"/>
      <c r="BB314" s="311"/>
      <c r="BC314" s="312"/>
      <c r="BD314" s="313"/>
    </row>
    <row r="315" spans="1:56" ht="158.25" thickBot="1">
      <c r="A315" s="329"/>
      <c r="B315" s="363"/>
      <c r="C315" s="364"/>
      <c r="D315" s="367"/>
      <c r="E315" s="233"/>
      <c r="F315" s="233"/>
      <c r="G315" s="204" t="s">
        <v>612</v>
      </c>
      <c r="H315" s="236" t="s">
        <v>16</v>
      </c>
      <c r="I315" s="204" t="s">
        <v>613</v>
      </c>
      <c r="J315" s="370"/>
      <c r="K315" s="349"/>
      <c r="L315" s="352"/>
      <c r="M315" s="349"/>
      <c r="N315" s="353"/>
      <c r="O315" s="205" t="s">
        <v>614</v>
      </c>
      <c r="P315" s="205" t="s">
        <v>612</v>
      </c>
      <c r="Q315" s="215"/>
      <c r="R315" s="215"/>
      <c r="S315" s="27" t="str">
        <f t="shared" si="56"/>
        <v/>
      </c>
      <c r="T315" s="215"/>
      <c r="U315" s="27" t="str">
        <f t="shared" si="57"/>
        <v/>
      </c>
      <c r="V315" s="208"/>
      <c r="W315" s="27" t="str">
        <f t="shared" si="58"/>
        <v/>
      </c>
      <c r="X315" s="208"/>
      <c r="Y315" s="27" t="str">
        <f t="shared" si="59"/>
        <v/>
      </c>
      <c r="Z315" s="208"/>
      <c r="AA315" s="27" t="str">
        <f t="shared" si="60"/>
        <v/>
      </c>
      <c r="AB315" s="208"/>
      <c r="AC315" s="27" t="str">
        <f t="shared" si="61"/>
        <v/>
      </c>
      <c r="AD315" s="208"/>
      <c r="AE315" s="27" t="str">
        <f t="shared" si="62"/>
        <v/>
      </c>
      <c r="AF315" s="48" t="str">
        <f t="shared" si="63"/>
        <v/>
      </c>
      <c r="AG315" s="48" t="str">
        <f t="shared" si="64"/>
        <v/>
      </c>
      <c r="AH315" s="209"/>
      <c r="AI315" s="210" t="str">
        <f t="shared" si="65"/>
        <v>Débil</v>
      </c>
      <c r="AJ315" s="21" t="str">
        <f>IFERROR(VLOOKUP((CONCATENATE(AG315,AI315)),Listados!$U$3:$V$11,2,FALSE),"")</f>
        <v/>
      </c>
      <c r="AK315" s="48">
        <f t="shared" si="66"/>
        <v>100</v>
      </c>
      <c r="AL315" s="355"/>
      <c r="AM315" s="357"/>
      <c r="AN315" s="173">
        <f>+IF(AND(Q315="Preventivo",AM313="Fuerte"),2,IF(AND(Q315="Preventivo",AM313="Moderado"),1,0))</f>
        <v>0</v>
      </c>
      <c r="AO315" s="173">
        <f t="shared" si="67"/>
        <v>0</v>
      </c>
      <c r="AP315" s="173">
        <f>+K313-AN315</f>
        <v>4</v>
      </c>
      <c r="AQ315" s="173">
        <f>+M313-AO315</f>
        <v>4</v>
      </c>
      <c r="AR315" s="346"/>
      <c r="AS315" s="346"/>
      <c r="AT315" s="346"/>
      <c r="AU315" s="346"/>
      <c r="AV315" s="311"/>
      <c r="AW315" s="312"/>
      <c r="AX315" s="313"/>
      <c r="AY315" s="311"/>
      <c r="AZ315" s="312"/>
      <c r="BA315" s="313"/>
      <c r="BB315" s="311"/>
      <c r="BC315" s="312"/>
      <c r="BD315" s="313"/>
    </row>
    <row r="316" spans="1:56" ht="25.5" customHeight="1" thickBot="1">
      <c r="A316" s="329"/>
      <c r="B316" s="363"/>
      <c r="C316" s="364"/>
      <c r="D316" s="367"/>
      <c r="E316" s="233"/>
      <c r="F316" s="233"/>
      <c r="G316" s="235"/>
      <c r="H316" s="236"/>
      <c r="I316" s="222"/>
      <c r="J316" s="370"/>
      <c r="K316" s="349"/>
      <c r="L316" s="352"/>
      <c r="M316" s="349"/>
      <c r="N316" s="353"/>
      <c r="O316" s="47"/>
      <c r="P316" s="215"/>
      <c r="Q316" s="215"/>
      <c r="R316" s="215"/>
      <c r="S316" s="27" t="str">
        <f t="shared" si="56"/>
        <v/>
      </c>
      <c r="T316" s="215"/>
      <c r="U316" s="27" t="str">
        <f t="shared" si="57"/>
        <v/>
      </c>
      <c r="V316" s="208"/>
      <c r="W316" s="27" t="str">
        <f t="shared" si="58"/>
        <v/>
      </c>
      <c r="X316" s="208"/>
      <c r="Y316" s="27" t="str">
        <f t="shared" si="59"/>
        <v/>
      </c>
      <c r="Z316" s="208"/>
      <c r="AA316" s="27" t="str">
        <f t="shared" si="60"/>
        <v/>
      </c>
      <c r="AB316" s="208"/>
      <c r="AC316" s="27" t="str">
        <f t="shared" si="61"/>
        <v/>
      </c>
      <c r="AD316" s="208"/>
      <c r="AE316" s="27" t="str">
        <f t="shared" si="62"/>
        <v/>
      </c>
      <c r="AF316" s="48" t="str">
        <f t="shared" si="63"/>
        <v/>
      </c>
      <c r="AG316" s="48" t="str">
        <f t="shared" si="64"/>
        <v/>
      </c>
      <c r="AH316" s="209"/>
      <c r="AI316" s="210" t="str">
        <f t="shared" si="65"/>
        <v>Débil</v>
      </c>
      <c r="AJ316" s="21" t="str">
        <f>IFERROR(VLOOKUP((CONCATENATE(AG316,AI316)),Listados!$U$3:$V$11,2,FALSE),"")</f>
        <v/>
      </c>
      <c r="AK316" s="48">
        <f t="shared" si="66"/>
        <v>100</v>
      </c>
      <c r="AL316" s="355"/>
      <c r="AM316" s="357"/>
      <c r="AN316" s="173">
        <f>+IF(AND(Q316="Preventivo",AM313="Fuerte"),2,IF(AND(Q316="Preventivo",AM313="Moderado"),1,0))</f>
        <v>0</v>
      </c>
      <c r="AO316" s="173">
        <f t="shared" si="67"/>
        <v>0</v>
      </c>
      <c r="AP316" s="173">
        <f>+K313-AN316</f>
        <v>4</v>
      </c>
      <c r="AQ316" s="173">
        <f>+M313-AO316</f>
        <v>4</v>
      </c>
      <c r="AR316" s="346"/>
      <c r="AS316" s="346"/>
      <c r="AT316" s="346"/>
      <c r="AU316" s="346"/>
      <c r="AV316" s="311"/>
      <c r="AW316" s="312"/>
      <c r="AX316" s="313"/>
      <c r="AY316" s="311"/>
      <c r="AZ316" s="312"/>
      <c r="BA316" s="313"/>
      <c r="BB316" s="311"/>
      <c r="BC316" s="312"/>
      <c r="BD316" s="313"/>
    </row>
    <row r="317" spans="1:56" ht="25.5" customHeight="1" thickBot="1">
      <c r="A317" s="329"/>
      <c r="B317" s="363"/>
      <c r="C317" s="364"/>
      <c r="D317" s="367"/>
      <c r="E317" s="109"/>
      <c r="F317" s="109"/>
      <c r="G317" s="28"/>
      <c r="H317" s="29"/>
      <c r="I317" s="222"/>
      <c r="J317" s="370"/>
      <c r="K317" s="349"/>
      <c r="L317" s="352"/>
      <c r="M317" s="349"/>
      <c r="N317" s="353"/>
      <c r="O317" s="47"/>
      <c r="P317" s="215"/>
      <c r="Q317" s="215"/>
      <c r="R317" s="215"/>
      <c r="S317" s="27" t="str">
        <f t="shared" si="56"/>
        <v/>
      </c>
      <c r="T317" s="215"/>
      <c r="U317" s="27" t="str">
        <f t="shared" si="57"/>
        <v/>
      </c>
      <c r="V317" s="208"/>
      <c r="W317" s="27" t="str">
        <f t="shared" si="58"/>
        <v/>
      </c>
      <c r="X317" s="208"/>
      <c r="Y317" s="27" t="str">
        <f t="shared" si="59"/>
        <v/>
      </c>
      <c r="Z317" s="208"/>
      <c r="AA317" s="27" t="str">
        <f t="shared" si="60"/>
        <v/>
      </c>
      <c r="AB317" s="208"/>
      <c r="AC317" s="27" t="str">
        <f t="shared" si="61"/>
        <v/>
      </c>
      <c r="AD317" s="208"/>
      <c r="AE317" s="27" t="str">
        <f t="shared" si="62"/>
        <v/>
      </c>
      <c r="AF317" s="48" t="str">
        <f t="shared" si="63"/>
        <v/>
      </c>
      <c r="AG317" s="48" t="str">
        <f t="shared" si="64"/>
        <v/>
      </c>
      <c r="AH317" s="209"/>
      <c r="AI317" s="210" t="str">
        <f t="shared" si="65"/>
        <v>Débil</v>
      </c>
      <c r="AJ317" s="21" t="str">
        <f>IFERROR(VLOOKUP((CONCATENATE(AG317,AI317)),Listados!$U$3:$V$11,2,FALSE),"")</f>
        <v/>
      </c>
      <c r="AK317" s="48">
        <f t="shared" si="66"/>
        <v>100</v>
      </c>
      <c r="AL317" s="355"/>
      <c r="AM317" s="357"/>
      <c r="AN317" s="173">
        <f>+IF(AND(Q317="Preventivo",AM313="Fuerte"),2,IF(AND(Q317="Preventivo",AM313="Moderado"),1,0))</f>
        <v>0</v>
      </c>
      <c r="AO317" s="173">
        <f t="shared" si="67"/>
        <v>0</v>
      </c>
      <c r="AP317" s="173">
        <f>+K313-AN317</f>
        <v>4</v>
      </c>
      <c r="AQ317" s="173">
        <f>+M313-AO317</f>
        <v>4</v>
      </c>
      <c r="AR317" s="346"/>
      <c r="AS317" s="346"/>
      <c r="AT317" s="346"/>
      <c r="AU317" s="346"/>
      <c r="AV317" s="311"/>
      <c r="AW317" s="312"/>
      <c r="AX317" s="313"/>
      <c r="AY317" s="311"/>
      <c r="AZ317" s="312"/>
      <c r="BA317" s="313"/>
      <c r="BB317" s="311"/>
      <c r="BC317" s="312"/>
      <c r="BD317" s="313"/>
    </row>
    <row r="318" spans="1:56" ht="26.25" customHeight="1" thickBot="1">
      <c r="A318" s="330"/>
      <c r="B318" s="363"/>
      <c r="C318" s="365"/>
      <c r="D318" s="368"/>
      <c r="E318" s="106"/>
      <c r="F318" s="106"/>
      <c r="G318" s="30"/>
      <c r="H318" s="31"/>
      <c r="I318" s="222"/>
      <c r="J318" s="370"/>
      <c r="K318" s="350"/>
      <c r="L318" s="352"/>
      <c r="M318" s="350"/>
      <c r="N318" s="353"/>
      <c r="O318" s="47"/>
      <c r="P318" s="215"/>
      <c r="Q318" s="215"/>
      <c r="R318" s="215"/>
      <c r="S318" s="27" t="str">
        <f t="shared" si="56"/>
        <v/>
      </c>
      <c r="T318" s="215"/>
      <c r="U318" s="27" t="str">
        <f t="shared" si="57"/>
        <v/>
      </c>
      <c r="V318" s="208"/>
      <c r="W318" s="27" t="str">
        <f t="shared" si="58"/>
        <v/>
      </c>
      <c r="X318" s="208"/>
      <c r="Y318" s="27" t="str">
        <f t="shared" si="59"/>
        <v/>
      </c>
      <c r="Z318" s="208"/>
      <c r="AA318" s="27" t="str">
        <f t="shared" si="60"/>
        <v/>
      </c>
      <c r="AB318" s="208"/>
      <c r="AC318" s="27" t="str">
        <f t="shared" si="61"/>
        <v/>
      </c>
      <c r="AD318" s="208"/>
      <c r="AE318" s="27" t="str">
        <f t="shared" si="62"/>
        <v/>
      </c>
      <c r="AF318" s="48" t="str">
        <f t="shared" si="63"/>
        <v/>
      </c>
      <c r="AG318" s="48" t="str">
        <f t="shared" si="64"/>
        <v/>
      </c>
      <c r="AH318" s="209"/>
      <c r="AI318" s="210" t="str">
        <f t="shared" si="65"/>
        <v>Débil</v>
      </c>
      <c r="AJ318" s="21" t="str">
        <f>IFERROR(VLOOKUP((CONCATENATE(AG318,AI318)),Listados!$U$3:$V$11,2,FALSE),"")</f>
        <v/>
      </c>
      <c r="AK318" s="48">
        <f t="shared" si="66"/>
        <v>100</v>
      </c>
      <c r="AL318" s="356"/>
      <c r="AM318" s="357"/>
      <c r="AN318" s="173">
        <f>+IF(AND(Q318="Preventivo",AM313="Fuerte"),2,IF(AND(Q318="Preventivo",AM313="Moderado"),1,0))</f>
        <v>0</v>
      </c>
      <c r="AO318" s="173">
        <f t="shared" si="67"/>
        <v>0</v>
      </c>
      <c r="AP318" s="173">
        <f>+K313-AN318</f>
        <v>4</v>
      </c>
      <c r="AQ318" s="173">
        <f>+M313-AO318</f>
        <v>4</v>
      </c>
      <c r="AR318" s="347"/>
      <c r="AS318" s="347"/>
      <c r="AT318" s="347"/>
      <c r="AU318" s="347"/>
      <c r="AV318" s="311"/>
      <c r="AW318" s="312"/>
      <c r="AX318" s="313"/>
      <c r="AY318" s="311"/>
      <c r="AZ318" s="312"/>
      <c r="BA318" s="313"/>
      <c r="BB318" s="311"/>
      <c r="BC318" s="312"/>
      <c r="BD318" s="313"/>
    </row>
    <row r="319" spans="1:56" ht="158.25" thickBot="1">
      <c r="A319" s="328">
        <v>53</v>
      </c>
      <c r="B319" s="373" t="s">
        <v>95</v>
      </c>
      <c r="C319" s="371" t="str">
        <f>IFERROR(VLOOKUP(B319,Listados!B$3:C$20,2,FALSE),"")</f>
        <v>Apoyar a las diferentes dependencias de la Entidad y del Sector Justicia en el cumplimiento de su función administrativa, emitir conceptos jurídicos, defender y representar jurídicamente al Ministerio de Justicia y del Derecho</v>
      </c>
      <c r="D319" s="372" t="s">
        <v>615</v>
      </c>
      <c r="E319" s="107" t="s">
        <v>15</v>
      </c>
      <c r="F319" s="107" t="s">
        <v>178</v>
      </c>
      <c r="G319" s="100" t="s">
        <v>616</v>
      </c>
      <c r="H319" s="103" t="s">
        <v>16</v>
      </c>
      <c r="I319" s="17" t="s">
        <v>390</v>
      </c>
      <c r="J319" s="369" t="s">
        <v>44</v>
      </c>
      <c r="K319" s="348">
        <f>+VLOOKUP(J319,Listados!$K$8:$L$12,2,0)</f>
        <v>3</v>
      </c>
      <c r="L319" s="351" t="s">
        <v>18</v>
      </c>
      <c r="M319" s="348">
        <f>+VLOOKUP(L319,Listados!$K$13:$L$17,2,0)</f>
        <v>1</v>
      </c>
      <c r="N319" s="347" t="str">
        <f>IF(AND(J319&lt;&gt;"",L319&lt;&gt;""),VLOOKUP(J319&amp;L319,Listados!$M$3:$N$27,2,FALSE),"")</f>
        <v>Bajo</v>
      </c>
      <c r="O319" s="205" t="s">
        <v>617</v>
      </c>
      <c r="P319" s="100" t="s">
        <v>616</v>
      </c>
      <c r="Q319" s="215" t="s">
        <v>20</v>
      </c>
      <c r="R319" s="215"/>
      <c r="S319" s="27" t="str">
        <f t="shared" si="56"/>
        <v/>
      </c>
      <c r="T319" s="215"/>
      <c r="U319" s="27" t="str">
        <f t="shared" si="57"/>
        <v/>
      </c>
      <c r="V319" s="208"/>
      <c r="W319" s="27" t="str">
        <f t="shared" si="58"/>
        <v/>
      </c>
      <c r="X319" s="208"/>
      <c r="Y319" s="27" t="str">
        <f t="shared" si="59"/>
        <v/>
      </c>
      <c r="Z319" s="208"/>
      <c r="AA319" s="27" t="str">
        <f t="shared" si="60"/>
        <v/>
      </c>
      <c r="AB319" s="208"/>
      <c r="AC319" s="27" t="str">
        <f t="shared" si="61"/>
        <v/>
      </c>
      <c r="AD319" s="208"/>
      <c r="AE319" s="27" t="str">
        <f t="shared" si="62"/>
        <v/>
      </c>
      <c r="AF319" s="48" t="str">
        <f t="shared" si="63"/>
        <v/>
      </c>
      <c r="AG319" s="48" t="str">
        <f t="shared" si="64"/>
        <v/>
      </c>
      <c r="AH319" s="209"/>
      <c r="AI319" s="210" t="str">
        <f t="shared" si="65"/>
        <v>Débil</v>
      </c>
      <c r="AJ319" s="21" t="str">
        <f>IFERROR(VLOOKUP((CONCATENATE(AG319,AI319)),Listados!$U$3:$V$11,2,FALSE),"")</f>
        <v/>
      </c>
      <c r="AK319" s="48">
        <f t="shared" si="66"/>
        <v>100</v>
      </c>
      <c r="AL319" s="354">
        <f>AVERAGE(AK319:AK324)</f>
        <v>100</v>
      </c>
      <c r="AM319" s="356" t="str">
        <f>IF(AL319&lt;=50, "Débil", IF(AL319&lt;=99,"Moderado","Fuerte"))</f>
        <v>Fuerte</v>
      </c>
      <c r="AN319" s="173">
        <f>+IF(AND(Q319="Preventivo",AM319="Fuerte"),2,IF(AND(Q319="Preventivo",AM319="Moderado"),1,0))</f>
        <v>2</v>
      </c>
      <c r="AO319" s="173">
        <f t="shared" si="67"/>
        <v>1</v>
      </c>
      <c r="AP319" s="173">
        <f>+K319-AN319</f>
        <v>1</v>
      </c>
      <c r="AQ319" s="173">
        <f>+M319-AO319</f>
        <v>0</v>
      </c>
      <c r="AR319" s="345" t="str">
        <f>+VLOOKUP(MIN(AP319,AP320,AP321,AP322,AP323,AP324),Listados!$J$18:$K$24,2,TRUE)</f>
        <v>Rara Vez</v>
      </c>
      <c r="AS319" s="345" t="e">
        <f>+VLOOKUP(MIN(AQ319,AQ320,AQ321,AQ322,AQ323,AQ324),Listados!$J$27:$K$32,2,TRUE)</f>
        <v>#N/A</v>
      </c>
      <c r="AT319" s="345" t="e">
        <f>IF(AND(AR319&lt;&gt;"",AS319&lt;&gt;""),VLOOKUP(AR319&amp;AS319,Listados!$M$3:$N$27,2,FALSE),"")</f>
        <v>#N/A</v>
      </c>
      <c r="AU319" s="345" t="e">
        <f>+VLOOKUP(AT319,Listados!$P$3:$Q$6,2,FALSE)</f>
        <v>#N/A</v>
      </c>
      <c r="AV319" s="311"/>
      <c r="AW319" s="312"/>
      <c r="AX319" s="313"/>
      <c r="AY319" s="311"/>
      <c r="AZ319" s="312"/>
      <c r="BA319" s="313"/>
      <c r="BB319" s="311"/>
      <c r="BC319" s="312"/>
      <c r="BD319" s="313"/>
    </row>
    <row r="320" spans="1:56" ht="144" thickBot="1">
      <c r="A320" s="329"/>
      <c r="B320" s="363"/>
      <c r="C320" s="364"/>
      <c r="D320" s="367"/>
      <c r="E320" s="233"/>
      <c r="F320" s="233"/>
      <c r="G320" s="237" t="s">
        <v>618</v>
      </c>
      <c r="H320" s="236" t="s">
        <v>16</v>
      </c>
      <c r="I320" s="222"/>
      <c r="J320" s="370"/>
      <c r="K320" s="349"/>
      <c r="L320" s="352"/>
      <c r="M320" s="349"/>
      <c r="N320" s="353"/>
      <c r="O320" s="205" t="s">
        <v>619</v>
      </c>
      <c r="P320" s="237" t="s">
        <v>618</v>
      </c>
      <c r="Q320" s="215" t="s">
        <v>123</v>
      </c>
      <c r="R320" s="215"/>
      <c r="S320" s="27" t="str">
        <f t="shared" si="56"/>
        <v/>
      </c>
      <c r="T320" s="215"/>
      <c r="U320" s="27" t="str">
        <f t="shared" si="57"/>
        <v/>
      </c>
      <c r="V320" s="208"/>
      <c r="W320" s="27" t="str">
        <f t="shared" si="58"/>
        <v/>
      </c>
      <c r="X320" s="208"/>
      <c r="Y320" s="27" t="str">
        <f t="shared" si="59"/>
        <v/>
      </c>
      <c r="Z320" s="208"/>
      <c r="AA320" s="27" t="str">
        <f t="shared" si="60"/>
        <v/>
      </c>
      <c r="AB320" s="208"/>
      <c r="AC320" s="27" t="str">
        <f t="shared" si="61"/>
        <v/>
      </c>
      <c r="AD320" s="208"/>
      <c r="AE320" s="27" t="str">
        <f t="shared" si="62"/>
        <v/>
      </c>
      <c r="AF320" s="48" t="str">
        <f t="shared" si="63"/>
        <v/>
      </c>
      <c r="AG320" s="48" t="str">
        <f t="shared" si="64"/>
        <v/>
      </c>
      <c r="AH320" s="209"/>
      <c r="AI320" s="210" t="str">
        <f t="shared" si="65"/>
        <v>Débil</v>
      </c>
      <c r="AJ320" s="21" t="str">
        <f>IFERROR(VLOOKUP((CONCATENATE(AG320,AI320)),Listados!$U$3:$V$11,2,FALSE),"")</f>
        <v/>
      </c>
      <c r="AK320" s="48">
        <f t="shared" si="66"/>
        <v>100</v>
      </c>
      <c r="AL320" s="355"/>
      <c r="AM320" s="357"/>
      <c r="AN320" s="173">
        <f>+IF(AND(Q320="Preventivo",AM319="Fuerte"),2,IF(AND(Q320="Preventivo",AM319="Moderado"),1,0))</f>
        <v>0</v>
      </c>
      <c r="AO320" s="173">
        <f t="shared" si="67"/>
        <v>2</v>
      </c>
      <c r="AP320" s="173">
        <f>+K319-AN320</f>
        <v>3</v>
      </c>
      <c r="AQ320" s="173">
        <f>+M319-AO320</f>
        <v>-1</v>
      </c>
      <c r="AR320" s="346"/>
      <c r="AS320" s="346"/>
      <c r="AT320" s="346"/>
      <c r="AU320" s="346"/>
      <c r="AV320" s="311"/>
      <c r="AW320" s="312"/>
      <c r="AX320" s="313"/>
      <c r="AY320" s="311"/>
      <c r="AZ320" s="312"/>
      <c r="BA320" s="313"/>
      <c r="BB320" s="311"/>
      <c r="BC320" s="312"/>
      <c r="BD320" s="313"/>
    </row>
    <row r="321" spans="1:56" ht="15.75" thickBot="1">
      <c r="A321" s="329"/>
      <c r="B321" s="363"/>
      <c r="C321" s="364"/>
      <c r="D321" s="367"/>
      <c r="E321" s="233"/>
      <c r="F321" s="233"/>
      <c r="G321" s="237"/>
      <c r="H321" s="236"/>
      <c r="I321" s="222"/>
      <c r="J321" s="370"/>
      <c r="K321" s="349"/>
      <c r="L321" s="352"/>
      <c r="M321" s="349"/>
      <c r="N321" s="353"/>
      <c r="O321" s="47"/>
      <c r="P321" s="215"/>
      <c r="Q321" s="215"/>
      <c r="R321" s="215"/>
      <c r="S321" s="27" t="str">
        <f t="shared" si="56"/>
        <v/>
      </c>
      <c r="T321" s="215"/>
      <c r="U321" s="27" t="str">
        <f t="shared" si="57"/>
        <v/>
      </c>
      <c r="V321" s="208"/>
      <c r="W321" s="27" t="str">
        <f t="shared" si="58"/>
        <v/>
      </c>
      <c r="X321" s="208"/>
      <c r="Y321" s="27" t="str">
        <f t="shared" si="59"/>
        <v/>
      </c>
      <c r="Z321" s="208"/>
      <c r="AA321" s="27" t="str">
        <f t="shared" si="60"/>
        <v/>
      </c>
      <c r="AB321" s="208"/>
      <c r="AC321" s="27" t="str">
        <f t="shared" si="61"/>
        <v/>
      </c>
      <c r="AD321" s="208"/>
      <c r="AE321" s="27" t="str">
        <f t="shared" si="62"/>
        <v/>
      </c>
      <c r="AF321" s="48" t="str">
        <f t="shared" si="63"/>
        <v/>
      </c>
      <c r="AG321" s="48" t="str">
        <f t="shared" si="64"/>
        <v/>
      </c>
      <c r="AH321" s="209"/>
      <c r="AI321" s="210" t="str">
        <f t="shared" si="65"/>
        <v>Débil</v>
      </c>
      <c r="AJ321" s="21" t="str">
        <f>IFERROR(VLOOKUP((CONCATENATE(AG321,AI321)),Listados!$U$3:$V$11,2,FALSE),"")</f>
        <v/>
      </c>
      <c r="AK321" s="48">
        <f t="shared" si="66"/>
        <v>100</v>
      </c>
      <c r="AL321" s="355"/>
      <c r="AM321" s="357"/>
      <c r="AN321" s="173">
        <f>+IF(AND(Q321="Preventivo",AM319="Fuerte"),2,IF(AND(Q321="Preventivo",AM319="Moderado"),1,0))</f>
        <v>0</v>
      </c>
      <c r="AO321" s="173">
        <f t="shared" si="67"/>
        <v>0</v>
      </c>
      <c r="AP321" s="173">
        <f>+K319-AN321</f>
        <v>3</v>
      </c>
      <c r="AQ321" s="173">
        <f>+M319-AO321</f>
        <v>1</v>
      </c>
      <c r="AR321" s="346"/>
      <c r="AS321" s="346"/>
      <c r="AT321" s="346"/>
      <c r="AU321" s="346"/>
      <c r="AV321" s="311"/>
      <c r="AW321" s="312"/>
      <c r="AX321" s="313"/>
      <c r="AY321" s="311"/>
      <c r="AZ321" s="312"/>
      <c r="BA321" s="313"/>
      <c r="BB321" s="311"/>
      <c r="BC321" s="312"/>
      <c r="BD321" s="313"/>
    </row>
    <row r="322" spans="1:56" ht="15.75" thickBot="1">
      <c r="A322" s="329"/>
      <c r="B322" s="363"/>
      <c r="C322" s="364"/>
      <c r="D322" s="367"/>
      <c r="E322" s="233"/>
      <c r="F322" s="233"/>
      <c r="G322" s="235"/>
      <c r="H322" s="236"/>
      <c r="I322" s="222"/>
      <c r="J322" s="370"/>
      <c r="K322" s="349"/>
      <c r="L322" s="352"/>
      <c r="M322" s="349"/>
      <c r="N322" s="353"/>
      <c r="O322" s="47"/>
      <c r="P322" s="215"/>
      <c r="Q322" s="215"/>
      <c r="R322" s="215"/>
      <c r="S322" s="27" t="str">
        <f t="shared" si="56"/>
        <v/>
      </c>
      <c r="T322" s="215"/>
      <c r="U322" s="27" t="str">
        <f t="shared" si="57"/>
        <v/>
      </c>
      <c r="V322" s="208"/>
      <c r="W322" s="27" t="str">
        <f t="shared" si="58"/>
        <v/>
      </c>
      <c r="X322" s="208"/>
      <c r="Y322" s="27" t="str">
        <f t="shared" si="59"/>
        <v/>
      </c>
      <c r="Z322" s="208"/>
      <c r="AA322" s="27" t="str">
        <f t="shared" si="60"/>
        <v/>
      </c>
      <c r="AB322" s="208"/>
      <c r="AC322" s="27" t="str">
        <f t="shared" si="61"/>
        <v/>
      </c>
      <c r="AD322" s="208"/>
      <c r="AE322" s="27" t="str">
        <f t="shared" si="62"/>
        <v/>
      </c>
      <c r="AF322" s="48" t="str">
        <f t="shared" si="63"/>
        <v/>
      </c>
      <c r="AG322" s="48" t="str">
        <f t="shared" si="64"/>
        <v/>
      </c>
      <c r="AH322" s="209"/>
      <c r="AI322" s="210" t="str">
        <f t="shared" si="65"/>
        <v>Débil</v>
      </c>
      <c r="AJ322" s="21" t="str">
        <f>IFERROR(VLOOKUP((CONCATENATE(AG322,AI322)),Listados!$U$3:$V$11,2,FALSE),"")</f>
        <v/>
      </c>
      <c r="AK322" s="48">
        <f t="shared" si="66"/>
        <v>100</v>
      </c>
      <c r="AL322" s="355"/>
      <c r="AM322" s="357"/>
      <c r="AN322" s="173">
        <f>+IF(AND(Q322="Preventivo",AM319="Fuerte"),2,IF(AND(Q322="Preventivo",AM319="Moderado"),1,0))</f>
        <v>0</v>
      </c>
      <c r="AO322" s="173">
        <f t="shared" si="67"/>
        <v>0</v>
      </c>
      <c r="AP322" s="173">
        <f>+K319-AN322</f>
        <v>3</v>
      </c>
      <c r="AQ322" s="173">
        <f>+M319-AO322</f>
        <v>1</v>
      </c>
      <c r="AR322" s="346"/>
      <c r="AS322" s="346"/>
      <c r="AT322" s="346"/>
      <c r="AU322" s="346"/>
      <c r="AV322" s="311"/>
      <c r="AW322" s="312"/>
      <c r="AX322" s="313"/>
      <c r="AY322" s="311"/>
      <c r="AZ322" s="312"/>
      <c r="BA322" s="313"/>
      <c r="BB322" s="311"/>
      <c r="BC322" s="312"/>
      <c r="BD322" s="313"/>
    </row>
    <row r="323" spans="1:56" ht="15.75" thickBot="1">
      <c r="A323" s="329"/>
      <c r="B323" s="363"/>
      <c r="C323" s="364"/>
      <c r="D323" s="367"/>
      <c r="E323" s="109"/>
      <c r="F323" s="109"/>
      <c r="G323" s="28"/>
      <c r="H323" s="29"/>
      <c r="I323" s="222"/>
      <c r="J323" s="370"/>
      <c r="K323" s="349"/>
      <c r="L323" s="352"/>
      <c r="M323" s="349"/>
      <c r="N323" s="353"/>
      <c r="O323" s="47"/>
      <c r="P323" s="215"/>
      <c r="Q323" s="215"/>
      <c r="R323" s="215"/>
      <c r="S323" s="27" t="str">
        <f t="shared" si="56"/>
        <v/>
      </c>
      <c r="T323" s="215"/>
      <c r="U323" s="27" t="str">
        <f t="shared" si="57"/>
        <v/>
      </c>
      <c r="V323" s="208"/>
      <c r="W323" s="27" t="str">
        <f t="shared" si="58"/>
        <v/>
      </c>
      <c r="X323" s="208"/>
      <c r="Y323" s="27" t="str">
        <f t="shared" si="59"/>
        <v/>
      </c>
      <c r="Z323" s="208"/>
      <c r="AA323" s="27" t="str">
        <f t="shared" si="60"/>
        <v/>
      </c>
      <c r="AB323" s="208"/>
      <c r="AC323" s="27" t="str">
        <f t="shared" si="61"/>
        <v/>
      </c>
      <c r="AD323" s="208"/>
      <c r="AE323" s="27" t="str">
        <f t="shared" si="62"/>
        <v/>
      </c>
      <c r="AF323" s="48" t="str">
        <f t="shared" si="63"/>
        <v/>
      </c>
      <c r="AG323" s="48" t="str">
        <f t="shared" si="64"/>
        <v/>
      </c>
      <c r="AH323" s="209"/>
      <c r="AI323" s="210" t="str">
        <f t="shared" si="65"/>
        <v>Débil</v>
      </c>
      <c r="AJ323" s="21" t="str">
        <f>IFERROR(VLOOKUP((CONCATENATE(AG323,AI323)),Listados!$U$3:$V$11,2,FALSE),"")</f>
        <v/>
      </c>
      <c r="AK323" s="48">
        <f t="shared" si="66"/>
        <v>100</v>
      </c>
      <c r="AL323" s="355"/>
      <c r="AM323" s="357"/>
      <c r="AN323" s="173">
        <f>+IF(AND(Q323="Preventivo",AM319="Fuerte"),2,IF(AND(Q323="Preventivo",AM319="Moderado"),1,0))</f>
        <v>0</v>
      </c>
      <c r="AO323" s="173">
        <f t="shared" si="67"/>
        <v>0</v>
      </c>
      <c r="AP323" s="173">
        <f>+K319-AN323</f>
        <v>3</v>
      </c>
      <c r="AQ323" s="173">
        <f>+M319-AO323</f>
        <v>1</v>
      </c>
      <c r="AR323" s="346"/>
      <c r="AS323" s="346"/>
      <c r="AT323" s="346"/>
      <c r="AU323" s="346"/>
      <c r="AV323" s="311"/>
      <c r="AW323" s="312"/>
      <c r="AX323" s="313"/>
      <c r="AY323" s="311"/>
      <c r="AZ323" s="312"/>
      <c r="BA323" s="313"/>
      <c r="BB323" s="311"/>
      <c r="BC323" s="312"/>
      <c r="BD323" s="313"/>
    </row>
    <row r="324" spans="1:56" ht="15.75" thickBot="1">
      <c r="A324" s="330"/>
      <c r="B324" s="363"/>
      <c r="C324" s="365"/>
      <c r="D324" s="368"/>
      <c r="E324" s="106"/>
      <c r="F324" s="106"/>
      <c r="G324" s="30"/>
      <c r="H324" s="31"/>
      <c r="I324" s="222"/>
      <c r="J324" s="370"/>
      <c r="K324" s="350"/>
      <c r="L324" s="352"/>
      <c r="M324" s="350"/>
      <c r="N324" s="353"/>
      <c r="O324" s="47"/>
      <c r="P324" s="215"/>
      <c r="Q324" s="215"/>
      <c r="R324" s="215"/>
      <c r="S324" s="27" t="str">
        <f t="shared" si="56"/>
        <v/>
      </c>
      <c r="T324" s="215"/>
      <c r="U324" s="27" t="str">
        <f t="shared" si="57"/>
        <v/>
      </c>
      <c r="V324" s="208"/>
      <c r="W324" s="27" t="str">
        <f t="shared" si="58"/>
        <v/>
      </c>
      <c r="X324" s="208"/>
      <c r="Y324" s="27" t="str">
        <f t="shared" si="59"/>
        <v/>
      </c>
      <c r="Z324" s="208"/>
      <c r="AA324" s="27" t="str">
        <f t="shared" si="60"/>
        <v/>
      </c>
      <c r="AB324" s="208"/>
      <c r="AC324" s="27" t="str">
        <f t="shared" si="61"/>
        <v/>
      </c>
      <c r="AD324" s="208"/>
      <c r="AE324" s="27" t="str">
        <f t="shared" si="62"/>
        <v/>
      </c>
      <c r="AF324" s="48" t="str">
        <f t="shared" si="63"/>
        <v/>
      </c>
      <c r="AG324" s="48" t="str">
        <f t="shared" si="64"/>
        <v/>
      </c>
      <c r="AH324" s="209"/>
      <c r="AI324" s="210" t="str">
        <f t="shared" si="65"/>
        <v>Débil</v>
      </c>
      <c r="AJ324" s="21" t="str">
        <f>IFERROR(VLOOKUP((CONCATENATE(AG324,AI324)),Listados!$U$3:$V$11,2,FALSE),"")</f>
        <v/>
      </c>
      <c r="AK324" s="48">
        <f t="shared" si="66"/>
        <v>100</v>
      </c>
      <c r="AL324" s="356"/>
      <c r="AM324" s="357"/>
      <c r="AN324" s="173">
        <f>+IF(AND(Q324="Preventivo",AM319="Fuerte"),2,IF(AND(Q324="Preventivo",AM319="Moderado"),1,0))</f>
        <v>0</v>
      </c>
      <c r="AO324" s="173">
        <f t="shared" si="67"/>
        <v>0</v>
      </c>
      <c r="AP324" s="173">
        <f>+K319-AN324</f>
        <v>3</v>
      </c>
      <c r="AQ324" s="173">
        <f>+M319-AO324</f>
        <v>1</v>
      </c>
      <c r="AR324" s="347"/>
      <c r="AS324" s="347"/>
      <c r="AT324" s="347"/>
      <c r="AU324" s="347"/>
      <c r="AV324" s="311"/>
      <c r="AW324" s="312"/>
      <c r="AX324" s="313"/>
      <c r="AY324" s="311"/>
      <c r="AZ324" s="312"/>
      <c r="BA324" s="313"/>
      <c r="BB324" s="311"/>
      <c r="BC324" s="312"/>
      <c r="BD324" s="313"/>
    </row>
    <row r="325" spans="1:56" ht="115.5" thickBot="1">
      <c r="A325" s="328">
        <v>54</v>
      </c>
      <c r="B325" s="373" t="s">
        <v>101</v>
      </c>
      <c r="C325" s="371" t="str">
        <f>IFERROR(VLOOKUP(B325,Listados!B$3:C$20,2,FALSE),"")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325" s="372" t="s">
        <v>620</v>
      </c>
      <c r="E325" s="107" t="s">
        <v>29</v>
      </c>
      <c r="F325" s="107" t="s">
        <v>209</v>
      </c>
      <c r="G325" s="100" t="s">
        <v>621</v>
      </c>
      <c r="H325" s="103" t="s">
        <v>16</v>
      </c>
      <c r="I325" s="17" t="s">
        <v>622</v>
      </c>
      <c r="J325" s="369" t="s">
        <v>31</v>
      </c>
      <c r="K325" s="348">
        <f>+VLOOKUP(J325,Listados!$K$8:$L$12,2,0)</f>
        <v>2</v>
      </c>
      <c r="L325" s="351" t="s">
        <v>36</v>
      </c>
      <c r="M325" s="348">
        <f>+VLOOKUP(L325,Listados!$K$13:$L$17,2,0)</f>
        <v>3</v>
      </c>
      <c r="N325" s="347" t="str">
        <f>IF(AND(J325&lt;&gt;"",L325&lt;&gt;""),VLOOKUP(J325&amp;L325,Listados!$M$3:$N$27,2,FALSE),"")</f>
        <v>Moderado</v>
      </c>
      <c r="O325" s="47" t="s">
        <v>623</v>
      </c>
      <c r="P325" s="213" t="s">
        <v>199</v>
      </c>
      <c r="Q325" s="215" t="s">
        <v>20</v>
      </c>
      <c r="R325" s="215" t="s">
        <v>116</v>
      </c>
      <c r="S325" s="27">
        <f t="shared" si="56"/>
        <v>15</v>
      </c>
      <c r="T325" s="215" t="s">
        <v>116</v>
      </c>
      <c r="U325" s="27">
        <f t="shared" si="57"/>
        <v>15</v>
      </c>
      <c r="V325" s="208" t="s">
        <v>116</v>
      </c>
      <c r="W325" s="27">
        <f t="shared" si="58"/>
        <v>15</v>
      </c>
      <c r="X325" s="208" t="s">
        <v>20</v>
      </c>
      <c r="Y325" s="27">
        <f t="shared" si="59"/>
        <v>15</v>
      </c>
      <c r="Z325" s="208" t="s">
        <v>116</v>
      </c>
      <c r="AA325" s="27">
        <f t="shared" si="60"/>
        <v>15</v>
      </c>
      <c r="AB325" s="208" t="s">
        <v>116</v>
      </c>
      <c r="AC325" s="27">
        <f t="shared" si="61"/>
        <v>15</v>
      </c>
      <c r="AD325" s="208"/>
      <c r="AE325" s="27" t="str">
        <f t="shared" si="62"/>
        <v/>
      </c>
      <c r="AF325" s="48">
        <f t="shared" si="63"/>
        <v>90</v>
      </c>
      <c r="AG325" s="48" t="str">
        <f t="shared" si="64"/>
        <v>Moderado</v>
      </c>
      <c r="AH325" s="209" t="s">
        <v>118</v>
      </c>
      <c r="AI325" s="210" t="str">
        <f t="shared" si="65"/>
        <v>Fuerte</v>
      </c>
      <c r="AJ325" s="21" t="str">
        <f>IFERROR(VLOOKUP((CONCATENATE(AG325,AI325)),Listados!$U$3:$V$11,2,FALSE),"")</f>
        <v>Moderado</v>
      </c>
      <c r="AK325" s="48">
        <f t="shared" si="66"/>
        <v>50</v>
      </c>
      <c r="AL325" s="354">
        <f>AVERAGE(AK325:AK330)</f>
        <v>75</v>
      </c>
      <c r="AM325" s="356" t="str">
        <f>IF(AL325&lt;=50, "Débil", IF(AL325&lt;=99,"Moderado","Fuerte"))</f>
        <v>Moderado</v>
      </c>
      <c r="AN325" s="173">
        <f>+IF(AND(Q325="Preventivo",AM325="Fuerte"),2,IF(AND(Q325="Preventivo",AM325="Moderado"),1,0))</f>
        <v>1</v>
      </c>
      <c r="AO325" s="173">
        <f t="shared" si="67"/>
        <v>1</v>
      </c>
      <c r="AP325" s="173">
        <f>+K325-AN325</f>
        <v>1</v>
      </c>
      <c r="AQ325" s="173">
        <f>+M325-AO325</f>
        <v>2</v>
      </c>
      <c r="AR325" s="345" t="str">
        <f>+VLOOKUP(MIN(AP325,AP326,AP327,AP328,AP329,AP330),Listados!$J$18:$K$24,2,TRUE)</f>
        <v>Rara Vez</v>
      </c>
      <c r="AS325" s="345" t="str">
        <f>+VLOOKUP(MIN(AQ325,AQ326,AQ327,AQ328,AQ329,AQ330),Listados!$J$27:$K$32,2,TRUE)</f>
        <v>Insignificante</v>
      </c>
      <c r="AT325" s="345" t="str">
        <f>IF(AND(AR325&lt;&gt;"",AS325&lt;&gt;""),VLOOKUP(AR325&amp;AS325,Listados!$M$3:$N$27,2,FALSE),"")</f>
        <v>Bajo</v>
      </c>
      <c r="AU325" s="345" t="str">
        <f>+VLOOKUP(AT325,Listados!$P$3:$Q$6,2,FALSE)</f>
        <v>Asumir el riesgo</v>
      </c>
      <c r="AV325" s="311"/>
      <c r="AW325" s="312"/>
      <c r="AX325" s="313"/>
      <c r="AY325" s="311"/>
      <c r="AZ325" s="312"/>
      <c r="BA325" s="313"/>
      <c r="BB325" s="311"/>
      <c r="BC325" s="312"/>
      <c r="BD325" s="313"/>
    </row>
    <row r="326" spans="1:56" ht="102.75" thickBot="1">
      <c r="A326" s="329"/>
      <c r="B326" s="363"/>
      <c r="C326" s="364"/>
      <c r="D326" s="367"/>
      <c r="E326" s="233"/>
      <c r="F326" s="233"/>
      <c r="G326" s="237" t="s">
        <v>624</v>
      </c>
      <c r="H326" s="236" t="s">
        <v>16</v>
      </c>
      <c r="I326" s="222" t="s">
        <v>625</v>
      </c>
      <c r="J326" s="370"/>
      <c r="K326" s="349"/>
      <c r="L326" s="352"/>
      <c r="M326" s="349"/>
      <c r="N326" s="353"/>
      <c r="O326" s="47" t="s">
        <v>626</v>
      </c>
      <c r="P326" s="213" t="s">
        <v>202</v>
      </c>
      <c r="Q326" s="215" t="s">
        <v>123</v>
      </c>
      <c r="R326" s="215" t="s">
        <v>116</v>
      </c>
      <c r="S326" s="27">
        <f t="shared" si="56"/>
        <v>15</v>
      </c>
      <c r="T326" s="215" t="s">
        <v>116</v>
      </c>
      <c r="U326" s="27">
        <f t="shared" si="57"/>
        <v>15</v>
      </c>
      <c r="V326" s="208" t="s">
        <v>116</v>
      </c>
      <c r="W326" s="27">
        <f t="shared" si="58"/>
        <v>15</v>
      </c>
      <c r="X326" s="208" t="s">
        <v>123</v>
      </c>
      <c r="Y326" s="27">
        <f t="shared" si="59"/>
        <v>10</v>
      </c>
      <c r="Z326" s="208" t="s">
        <v>116</v>
      </c>
      <c r="AA326" s="27">
        <f t="shared" si="60"/>
        <v>15</v>
      </c>
      <c r="AB326" s="208" t="s">
        <v>116</v>
      </c>
      <c r="AC326" s="27">
        <f t="shared" si="61"/>
        <v>15</v>
      </c>
      <c r="AD326" s="208"/>
      <c r="AE326" s="27" t="str">
        <f t="shared" si="62"/>
        <v/>
      </c>
      <c r="AF326" s="48">
        <f t="shared" si="63"/>
        <v>85</v>
      </c>
      <c r="AG326" s="48" t="str">
        <f t="shared" si="64"/>
        <v>Débil</v>
      </c>
      <c r="AH326" s="209" t="s">
        <v>118</v>
      </c>
      <c r="AI326" s="210" t="str">
        <f t="shared" si="65"/>
        <v>Fuerte</v>
      </c>
      <c r="AJ326" s="21" t="str">
        <f>IFERROR(VLOOKUP((CONCATENATE(AG326,AI326)),Listados!$U$3:$V$11,2,FALSE),"")</f>
        <v>Débil</v>
      </c>
      <c r="AK326" s="48">
        <f t="shared" si="66"/>
        <v>0</v>
      </c>
      <c r="AL326" s="355"/>
      <c r="AM326" s="357"/>
      <c r="AN326" s="173">
        <f>+IF(AND(Q326="Preventivo",AM325="Fuerte"),2,IF(AND(Q326="Preventivo",AM325="Moderado"),1,0))</f>
        <v>0</v>
      </c>
      <c r="AO326" s="173">
        <f t="shared" si="67"/>
        <v>2</v>
      </c>
      <c r="AP326" s="173">
        <f>+K325-AN326</f>
        <v>2</v>
      </c>
      <c r="AQ326" s="173">
        <f>+M325-AO326</f>
        <v>1</v>
      </c>
      <c r="AR326" s="346"/>
      <c r="AS326" s="346"/>
      <c r="AT326" s="346"/>
      <c r="AU326" s="346"/>
      <c r="AV326" s="311"/>
      <c r="AW326" s="312"/>
      <c r="AX326" s="313"/>
      <c r="AY326" s="311"/>
      <c r="AZ326" s="312"/>
      <c r="BA326" s="313"/>
      <c r="BB326" s="311"/>
      <c r="BC326" s="312"/>
      <c r="BD326" s="313"/>
    </row>
    <row r="327" spans="1:56" ht="15.75" thickBot="1">
      <c r="A327" s="329"/>
      <c r="B327" s="363"/>
      <c r="C327" s="364"/>
      <c r="D327" s="367"/>
      <c r="E327" s="233"/>
      <c r="F327" s="233"/>
      <c r="G327" s="237"/>
      <c r="H327" s="236"/>
      <c r="I327" s="222"/>
      <c r="J327" s="370"/>
      <c r="K327" s="349"/>
      <c r="L327" s="352"/>
      <c r="M327" s="349"/>
      <c r="N327" s="353"/>
      <c r="O327" s="47" t="s">
        <v>627</v>
      </c>
      <c r="P327" s="215"/>
      <c r="Q327" s="215"/>
      <c r="R327" s="215"/>
      <c r="S327" s="27" t="str">
        <f t="shared" si="56"/>
        <v/>
      </c>
      <c r="T327" s="215"/>
      <c r="U327" s="27" t="str">
        <f t="shared" si="57"/>
        <v/>
      </c>
      <c r="V327" s="208"/>
      <c r="W327" s="27" t="str">
        <f t="shared" si="58"/>
        <v/>
      </c>
      <c r="X327" s="208"/>
      <c r="Y327" s="27" t="str">
        <f t="shared" si="59"/>
        <v/>
      </c>
      <c r="Z327" s="208"/>
      <c r="AA327" s="27" t="str">
        <f t="shared" si="60"/>
        <v/>
      </c>
      <c r="AB327" s="208"/>
      <c r="AC327" s="27" t="str">
        <f t="shared" si="61"/>
        <v/>
      </c>
      <c r="AD327" s="208"/>
      <c r="AE327" s="27" t="str">
        <f t="shared" si="62"/>
        <v/>
      </c>
      <c r="AF327" s="48" t="str">
        <f t="shared" si="63"/>
        <v/>
      </c>
      <c r="AG327" s="48" t="str">
        <f t="shared" si="64"/>
        <v/>
      </c>
      <c r="AH327" s="209"/>
      <c r="AI327" s="210" t="str">
        <f t="shared" si="65"/>
        <v>Débil</v>
      </c>
      <c r="AJ327" s="21" t="str">
        <f>IFERROR(VLOOKUP((CONCATENATE(AG327,AI327)),Listados!$U$3:$V$11,2,FALSE),"")</f>
        <v/>
      </c>
      <c r="AK327" s="48">
        <f t="shared" si="66"/>
        <v>100</v>
      </c>
      <c r="AL327" s="355"/>
      <c r="AM327" s="357"/>
      <c r="AN327" s="173">
        <f>+IF(AND(Q327="Preventivo",AM325="Fuerte"),2,IF(AND(Q327="Preventivo",AM325="Moderado"),1,0))</f>
        <v>0</v>
      </c>
      <c r="AO327" s="173">
        <f t="shared" si="67"/>
        <v>0</v>
      </c>
      <c r="AP327" s="173">
        <f>+K325-AN327</f>
        <v>2</v>
      </c>
      <c r="AQ327" s="173">
        <f>+M325-AO327</f>
        <v>3</v>
      </c>
      <c r="AR327" s="346"/>
      <c r="AS327" s="346"/>
      <c r="AT327" s="346"/>
      <c r="AU327" s="346"/>
      <c r="AV327" s="311"/>
      <c r="AW327" s="312"/>
      <c r="AX327" s="313"/>
      <c r="AY327" s="311"/>
      <c r="AZ327" s="312"/>
      <c r="BA327" s="313"/>
      <c r="BB327" s="311"/>
      <c r="BC327" s="312"/>
      <c r="BD327" s="313"/>
    </row>
    <row r="328" spans="1:56" ht="15.75" thickBot="1">
      <c r="A328" s="329"/>
      <c r="B328" s="363"/>
      <c r="C328" s="364"/>
      <c r="D328" s="367"/>
      <c r="E328" s="233"/>
      <c r="F328" s="233"/>
      <c r="G328" s="235"/>
      <c r="H328" s="236"/>
      <c r="I328" s="222"/>
      <c r="J328" s="370"/>
      <c r="K328" s="349"/>
      <c r="L328" s="352"/>
      <c r="M328" s="349"/>
      <c r="N328" s="353"/>
      <c r="O328" s="47" t="s">
        <v>627</v>
      </c>
      <c r="P328" s="215"/>
      <c r="Q328" s="215"/>
      <c r="R328" s="215"/>
      <c r="S328" s="27" t="str">
        <f t="shared" ref="S328:S366" si="68">+IF(R328="si",15,"")</f>
        <v/>
      </c>
      <c r="T328" s="215"/>
      <c r="U328" s="27" t="str">
        <f t="shared" ref="U328:U366" si="69">+IF(T328="si",15,"")</f>
        <v/>
      </c>
      <c r="V328" s="208"/>
      <c r="W328" s="27" t="str">
        <f t="shared" ref="W328:W366" si="70">+IF(V328="si",15,"")</f>
        <v/>
      </c>
      <c r="X328" s="208"/>
      <c r="Y328" s="27" t="str">
        <f t="shared" ref="Y328:Y366" si="71">+IF(X328="Preventivo",15,IF(X328="Detectivo",10,""))</f>
        <v/>
      </c>
      <c r="Z328" s="208"/>
      <c r="AA328" s="27" t="str">
        <f t="shared" ref="AA328:AA366" si="72">+IF(Z328="si",15,"")</f>
        <v/>
      </c>
      <c r="AB328" s="208"/>
      <c r="AC328" s="27" t="str">
        <f t="shared" ref="AC328:AC366" si="73">+IF(AB328="si",15,"")</f>
        <v/>
      </c>
      <c r="AD328" s="208"/>
      <c r="AE328" s="27" t="str">
        <f t="shared" ref="AE328:AE366" si="74">+IF(AD328="Completa",10,IF(AD328="Incompleta",5,""))</f>
        <v/>
      </c>
      <c r="AF328" s="48" t="str">
        <f t="shared" ref="AF328:AF366" si="75">IF((SUM(S328,U328,W328,Y328,AA328,AC328,AE328)=0),"",(SUM(S328,U328,W328,Y328,AA328,AC328,AE328)))</f>
        <v/>
      </c>
      <c r="AG328" s="48" t="str">
        <f t="shared" ref="AG328:AG366" si="76">IF(AF328&lt;=85,"Débil",IF(AF328&lt;=95,"Moderado",IF(AF328=100,"Fuerte","")))</f>
        <v/>
      </c>
      <c r="AH328" s="209"/>
      <c r="AI328" s="210" t="str">
        <f t="shared" si="65"/>
        <v>Débil</v>
      </c>
      <c r="AJ328" s="21" t="str">
        <f>IFERROR(VLOOKUP((CONCATENATE(AG328,AI328)),Listados!$U$3:$V$11,2,FALSE),"")</f>
        <v/>
      </c>
      <c r="AK328" s="48">
        <f t="shared" si="66"/>
        <v>100</v>
      </c>
      <c r="AL328" s="355"/>
      <c r="AM328" s="357"/>
      <c r="AN328" s="173">
        <f>+IF(AND(Q328="Preventivo",AM325="Fuerte"),2,IF(AND(Q328="Preventivo",AM325="Moderado"),1,0))</f>
        <v>0</v>
      </c>
      <c r="AO328" s="173">
        <f t="shared" si="67"/>
        <v>0</v>
      </c>
      <c r="AP328" s="173">
        <f>+K325-AN328</f>
        <v>2</v>
      </c>
      <c r="AQ328" s="173">
        <f>+M325-AO328</f>
        <v>3</v>
      </c>
      <c r="AR328" s="346"/>
      <c r="AS328" s="346"/>
      <c r="AT328" s="346"/>
      <c r="AU328" s="346"/>
      <c r="AV328" s="311"/>
      <c r="AW328" s="312"/>
      <c r="AX328" s="313"/>
      <c r="AY328" s="311"/>
      <c r="AZ328" s="312"/>
      <c r="BA328" s="313"/>
      <c r="BB328" s="311"/>
      <c r="BC328" s="312"/>
      <c r="BD328" s="313"/>
    </row>
    <row r="329" spans="1:56" ht="15.75" thickBot="1">
      <c r="A329" s="329"/>
      <c r="B329" s="363"/>
      <c r="C329" s="364"/>
      <c r="D329" s="367"/>
      <c r="E329" s="109"/>
      <c r="F329" s="109"/>
      <c r="G329" s="28"/>
      <c r="H329" s="29"/>
      <c r="I329" s="222"/>
      <c r="J329" s="370"/>
      <c r="K329" s="349"/>
      <c r="L329" s="352"/>
      <c r="M329" s="349"/>
      <c r="N329" s="353"/>
      <c r="O329" s="47" t="s">
        <v>627</v>
      </c>
      <c r="P329" s="215"/>
      <c r="Q329" s="215"/>
      <c r="R329" s="215"/>
      <c r="S329" s="27" t="str">
        <f t="shared" si="68"/>
        <v/>
      </c>
      <c r="T329" s="215"/>
      <c r="U329" s="27" t="str">
        <f t="shared" si="69"/>
        <v/>
      </c>
      <c r="V329" s="208"/>
      <c r="W329" s="27" t="str">
        <f t="shared" si="70"/>
        <v/>
      </c>
      <c r="X329" s="208"/>
      <c r="Y329" s="27" t="str">
        <f t="shared" si="71"/>
        <v/>
      </c>
      <c r="Z329" s="208"/>
      <c r="AA329" s="27" t="str">
        <f t="shared" si="72"/>
        <v/>
      </c>
      <c r="AB329" s="208"/>
      <c r="AC329" s="27" t="str">
        <f t="shared" si="73"/>
        <v/>
      </c>
      <c r="AD329" s="208"/>
      <c r="AE329" s="27" t="str">
        <f t="shared" si="74"/>
        <v/>
      </c>
      <c r="AF329" s="48" t="str">
        <f t="shared" si="75"/>
        <v/>
      </c>
      <c r="AG329" s="48" t="str">
        <f t="shared" si="76"/>
        <v/>
      </c>
      <c r="AH329" s="209"/>
      <c r="AI329" s="210" t="str">
        <f t="shared" ref="AI329:AI366" si="77">+IF(AH329="siempre","Fuerte",IF(AH329="Algunas veces","Moderado","Débil"))</f>
        <v>Débil</v>
      </c>
      <c r="AJ329" s="21" t="str">
        <f>IFERROR(VLOOKUP((CONCATENATE(AG329,AI329)),Listados!$U$3:$V$11,2,FALSE),"")</f>
        <v/>
      </c>
      <c r="AK329" s="48">
        <f t="shared" ref="AK329:AK366" si="78">IF(ISBLANK(AJ329),"",IF(AJ329="Débil", 0, IF(AJ329="Moderado",50,100)))</f>
        <v>100</v>
      </c>
      <c r="AL329" s="355"/>
      <c r="AM329" s="357"/>
      <c r="AN329" s="173">
        <f>+IF(AND(Q329="Preventivo",AM325="Fuerte"),2,IF(AND(Q329="Preventivo",AM325="Moderado"),1,0))</f>
        <v>0</v>
      </c>
      <c r="AO329" s="173">
        <f t="shared" si="67"/>
        <v>0</v>
      </c>
      <c r="AP329" s="173">
        <f>+K325-AN329</f>
        <v>2</v>
      </c>
      <c r="AQ329" s="173">
        <f>+M325-AO329</f>
        <v>3</v>
      </c>
      <c r="AR329" s="346"/>
      <c r="AS329" s="346"/>
      <c r="AT329" s="346"/>
      <c r="AU329" s="346"/>
      <c r="AV329" s="311"/>
      <c r="AW329" s="312"/>
      <c r="AX329" s="313"/>
      <c r="AY329" s="311"/>
      <c r="AZ329" s="312"/>
      <c r="BA329" s="313"/>
      <c r="BB329" s="311"/>
      <c r="BC329" s="312"/>
      <c r="BD329" s="313"/>
    </row>
    <row r="330" spans="1:56" ht="15.75" thickBot="1">
      <c r="A330" s="330"/>
      <c r="B330" s="363"/>
      <c r="C330" s="365"/>
      <c r="D330" s="368"/>
      <c r="E330" s="106"/>
      <c r="F330" s="106"/>
      <c r="G330" s="30"/>
      <c r="H330" s="31"/>
      <c r="I330" s="222"/>
      <c r="J330" s="370"/>
      <c r="K330" s="350"/>
      <c r="L330" s="352"/>
      <c r="M330" s="350"/>
      <c r="N330" s="353"/>
      <c r="O330" s="47" t="s">
        <v>627</v>
      </c>
      <c r="P330" s="215"/>
      <c r="Q330" s="215"/>
      <c r="R330" s="215"/>
      <c r="S330" s="27" t="str">
        <f t="shared" si="68"/>
        <v/>
      </c>
      <c r="T330" s="215"/>
      <c r="U330" s="27" t="str">
        <f t="shared" si="69"/>
        <v/>
      </c>
      <c r="V330" s="208"/>
      <c r="W330" s="27" t="str">
        <f t="shared" si="70"/>
        <v/>
      </c>
      <c r="X330" s="208"/>
      <c r="Y330" s="27" t="str">
        <f t="shared" si="71"/>
        <v/>
      </c>
      <c r="Z330" s="208"/>
      <c r="AA330" s="27" t="str">
        <f t="shared" si="72"/>
        <v/>
      </c>
      <c r="AB330" s="208"/>
      <c r="AC330" s="27" t="str">
        <f t="shared" si="73"/>
        <v/>
      </c>
      <c r="AD330" s="208"/>
      <c r="AE330" s="27" t="str">
        <f t="shared" si="74"/>
        <v/>
      </c>
      <c r="AF330" s="48" t="str">
        <f t="shared" si="75"/>
        <v/>
      </c>
      <c r="AG330" s="48" t="str">
        <f t="shared" si="76"/>
        <v/>
      </c>
      <c r="AH330" s="209"/>
      <c r="AI330" s="210" t="str">
        <f t="shared" si="77"/>
        <v>Débil</v>
      </c>
      <c r="AJ330" s="21" t="str">
        <f>IFERROR(VLOOKUP((CONCATENATE(AG330,AI330)),Listados!$U$3:$V$11,2,FALSE),"")</f>
        <v/>
      </c>
      <c r="AK330" s="48">
        <f t="shared" si="78"/>
        <v>100</v>
      </c>
      <c r="AL330" s="356"/>
      <c r="AM330" s="357"/>
      <c r="AN330" s="173">
        <f>+IF(AND(Q330="Preventivo",AM325="Fuerte"),2,IF(AND(Q330="Preventivo",AM325="Moderado"),1,0))</f>
        <v>0</v>
      </c>
      <c r="AO330" s="173">
        <f t="shared" si="67"/>
        <v>0</v>
      </c>
      <c r="AP330" s="173">
        <f>+K325-AN330</f>
        <v>2</v>
      </c>
      <c r="AQ330" s="173">
        <f>+M325-AO330</f>
        <v>3</v>
      </c>
      <c r="AR330" s="347"/>
      <c r="AS330" s="347"/>
      <c r="AT330" s="347"/>
      <c r="AU330" s="347"/>
      <c r="AV330" s="311"/>
      <c r="AW330" s="312"/>
      <c r="AX330" s="313"/>
      <c r="AY330" s="311"/>
      <c r="AZ330" s="312"/>
      <c r="BA330" s="313"/>
      <c r="BB330" s="311"/>
      <c r="BC330" s="312"/>
      <c r="BD330" s="313"/>
    </row>
    <row r="331" spans="1:56" ht="15.75" thickBot="1">
      <c r="A331" s="328">
        <v>55</v>
      </c>
      <c r="B331" s="373"/>
      <c r="C331" s="371" t="str">
        <f>IFERROR(VLOOKUP(B331,Listados!B$3:C$20,2,FALSE),"")</f>
        <v/>
      </c>
      <c r="D331" s="372"/>
      <c r="E331" s="107"/>
      <c r="F331" s="107"/>
      <c r="G331" s="100"/>
      <c r="H331" s="103"/>
      <c r="I331" s="17"/>
      <c r="J331" s="369"/>
      <c r="K331" s="348" t="e">
        <f>+VLOOKUP(J331,Listados!$K$8:$L$12,2,0)</f>
        <v>#N/A</v>
      </c>
      <c r="L331" s="351"/>
      <c r="M331" s="348" t="e">
        <f>+VLOOKUP(L331,Listados!$K$13:$L$17,2,0)</f>
        <v>#N/A</v>
      </c>
      <c r="N331" s="347" t="str">
        <f>IF(AND(J331&lt;&gt;"",L331&lt;&gt;""),VLOOKUP(J331&amp;L331,Listados!$M$3:$N$27,2,FALSE),"")</f>
        <v/>
      </c>
      <c r="O331" s="47" t="s">
        <v>627</v>
      </c>
      <c r="P331" s="215"/>
      <c r="Q331" s="215"/>
      <c r="R331" s="215"/>
      <c r="S331" s="27" t="str">
        <f t="shared" si="68"/>
        <v/>
      </c>
      <c r="T331" s="215"/>
      <c r="U331" s="27" t="str">
        <f t="shared" si="69"/>
        <v/>
      </c>
      <c r="V331" s="208"/>
      <c r="W331" s="27" t="str">
        <f t="shared" si="70"/>
        <v/>
      </c>
      <c r="X331" s="208"/>
      <c r="Y331" s="27" t="str">
        <f t="shared" si="71"/>
        <v/>
      </c>
      <c r="Z331" s="208"/>
      <c r="AA331" s="27" t="str">
        <f t="shared" si="72"/>
        <v/>
      </c>
      <c r="AB331" s="208"/>
      <c r="AC331" s="27" t="str">
        <f t="shared" si="73"/>
        <v/>
      </c>
      <c r="AD331" s="208"/>
      <c r="AE331" s="27" t="str">
        <f t="shared" si="74"/>
        <v/>
      </c>
      <c r="AF331" s="48" t="str">
        <f t="shared" si="75"/>
        <v/>
      </c>
      <c r="AG331" s="48" t="str">
        <f t="shared" si="76"/>
        <v/>
      </c>
      <c r="AH331" s="209"/>
      <c r="AI331" s="210" t="str">
        <f t="shared" si="77"/>
        <v>Débil</v>
      </c>
      <c r="AJ331" s="21" t="str">
        <f>IFERROR(VLOOKUP((CONCATENATE(AG331,AI331)),Listados!$U$3:$V$11,2,FALSE),"")</f>
        <v/>
      </c>
      <c r="AK331" s="48">
        <f t="shared" si="78"/>
        <v>100</v>
      </c>
      <c r="AL331" s="354">
        <f>AVERAGE(AK331:AK336)</f>
        <v>100</v>
      </c>
      <c r="AM331" s="356" t="str">
        <f>IF(AL331&lt;=50, "Débil", IF(AL331&lt;=99,"Moderado","Fuerte"))</f>
        <v>Fuerte</v>
      </c>
      <c r="AN331" s="173">
        <f>+IF(AND(Q331="Preventivo",AM331="Fuerte"),2,IF(AND(Q331="Preventivo",AM331="Moderado"),1,0))</f>
        <v>0</v>
      </c>
      <c r="AO331" s="173">
        <f t="shared" si="67"/>
        <v>0</v>
      </c>
      <c r="AP331" s="173" t="e">
        <f>+K331-AN331</f>
        <v>#N/A</v>
      </c>
      <c r="AQ331" s="173" t="e">
        <f>+M331-AO331</f>
        <v>#N/A</v>
      </c>
      <c r="AR331" s="345" t="e">
        <f>+VLOOKUP(MIN(AP331,AP332,AP333,AP334,AP335,AP336),Listados!$J$18:$K$24,2,TRUE)</f>
        <v>#N/A</v>
      </c>
      <c r="AS331" s="345" t="e">
        <f>+VLOOKUP(MIN(AQ331,AQ332,AQ333,AQ334,AQ335,AQ336),Listados!$J$27:$K$32,2,TRUE)</f>
        <v>#N/A</v>
      </c>
      <c r="AT331" s="345" t="e">
        <f>IF(AND(AR331&lt;&gt;"",AS331&lt;&gt;""),VLOOKUP(AR331&amp;AS331,Listados!$M$3:$N$27,2,FALSE),"")</f>
        <v>#N/A</v>
      </c>
      <c r="AU331" s="345" t="e">
        <f>+VLOOKUP(AT331,Listados!$P$3:$Q$6,2,FALSE)</f>
        <v>#N/A</v>
      </c>
      <c r="AV331" s="311"/>
      <c r="AW331" s="312"/>
      <c r="AX331" s="313"/>
      <c r="AY331" s="311"/>
      <c r="AZ331" s="312"/>
      <c r="BA331" s="313"/>
      <c r="BB331" s="311"/>
      <c r="BC331" s="312"/>
      <c r="BD331" s="313"/>
    </row>
    <row r="332" spans="1:56" ht="15.75" thickBot="1">
      <c r="A332" s="329"/>
      <c r="B332" s="363"/>
      <c r="C332" s="364"/>
      <c r="D332" s="367"/>
      <c r="E332" s="233"/>
      <c r="F332" s="233"/>
      <c r="G332" s="237"/>
      <c r="H332" s="236"/>
      <c r="I332" s="222"/>
      <c r="J332" s="370"/>
      <c r="K332" s="349"/>
      <c r="L332" s="352"/>
      <c r="M332" s="349"/>
      <c r="N332" s="353"/>
      <c r="O332" s="47" t="s">
        <v>627</v>
      </c>
      <c r="P332" s="215"/>
      <c r="Q332" s="215"/>
      <c r="R332" s="215"/>
      <c r="S332" s="27" t="str">
        <f t="shared" si="68"/>
        <v/>
      </c>
      <c r="T332" s="215"/>
      <c r="U332" s="27" t="str">
        <f t="shared" si="69"/>
        <v/>
      </c>
      <c r="V332" s="208"/>
      <c r="W332" s="27" t="str">
        <f t="shared" si="70"/>
        <v/>
      </c>
      <c r="X332" s="208"/>
      <c r="Y332" s="27" t="str">
        <f t="shared" si="71"/>
        <v/>
      </c>
      <c r="Z332" s="208"/>
      <c r="AA332" s="27" t="str">
        <f t="shared" si="72"/>
        <v/>
      </c>
      <c r="AB332" s="208"/>
      <c r="AC332" s="27" t="str">
        <f t="shared" si="73"/>
        <v/>
      </c>
      <c r="AD332" s="208"/>
      <c r="AE332" s="27" t="str">
        <f t="shared" si="74"/>
        <v/>
      </c>
      <c r="AF332" s="48" t="str">
        <f t="shared" si="75"/>
        <v/>
      </c>
      <c r="AG332" s="48" t="str">
        <f t="shared" si="76"/>
        <v/>
      </c>
      <c r="AH332" s="209"/>
      <c r="AI332" s="210" t="str">
        <f t="shared" si="77"/>
        <v>Débil</v>
      </c>
      <c r="AJ332" s="21" t="str">
        <f>IFERROR(VLOOKUP((CONCATENATE(AG332,AI332)),Listados!$U$3:$V$11,2,FALSE),"")</f>
        <v/>
      </c>
      <c r="AK332" s="48">
        <f t="shared" si="78"/>
        <v>100</v>
      </c>
      <c r="AL332" s="355"/>
      <c r="AM332" s="357"/>
      <c r="AN332" s="173">
        <f>+IF(AND(Q332="Preventivo",AM331="Fuerte"),2,IF(AND(Q332="Preventivo",AM331="Moderado"),1,0))</f>
        <v>0</v>
      </c>
      <c r="AO332" s="173">
        <f t="shared" si="67"/>
        <v>0</v>
      </c>
      <c r="AP332" s="173" t="e">
        <f>+K331-AN332</f>
        <v>#N/A</v>
      </c>
      <c r="AQ332" s="173" t="e">
        <f>+M331-AO332</f>
        <v>#N/A</v>
      </c>
      <c r="AR332" s="346"/>
      <c r="AS332" s="346"/>
      <c r="AT332" s="346"/>
      <c r="AU332" s="346"/>
      <c r="AV332" s="311"/>
      <c r="AW332" s="312"/>
      <c r="AX332" s="313"/>
      <c r="AY332" s="311"/>
      <c r="AZ332" s="312"/>
      <c r="BA332" s="313"/>
      <c r="BB332" s="311"/>
      <c r="BC332" s="312"/>
      <c r="BD332" s="313"/>
    </row>
    <row r="333" spans="1:56" ht="15.75" thickBot="1">
      <c r="A333" s="329"/>
      <c r="B333" s="363"/>
      <c r="C333" s="364"/>
      <c r="D333" s="367"/>
      <c r="E333" s="233"/>
      <c r="F333" s="233"/>
      <c r="G333" s="237"/>
      <c r="H333" s="236"/>
      <c r="I333" s="222"/>
      <c r="J333" s="370"/>
      <c r="K333" s="349"/>
      <c r="L333" s="352"/>
      <c r="M333" s="349"/>
      <c r="N333" s="353"/>
      <c r="O333" s="47" t="s">
        <v>627</v>
      </c>
      <c r="P333" s="215"/>
      <c r="Q333" s="215"/>
      <c r="R333" s="215"/>
      <c r="S333" s="27" t="str">
        <f t="shared" si="68"/>
        <v/>
      </c>
      <c r="T333" s="215"/>
      <c r="U333" s="27" t="str">
        <f t="shared" si="69"/>
        <v/>
      </c>
      <c r="V333" s="208"/>
      <c r="W333" s="27" t="str">
        <f t="shared" si="70"/>
        <v/>
      </c>
      <c r="X333" s="208"/>
      <c r="Y333" s="27" t="str">
        <f t="shared" si="71"/>
        <v/>
      </c>
      <c r="Z333" s="208"/>
      <c r="AA333" s="27" t="str">
        <f t="shared" si="72"/>
        <v/>
      </c>
      <c r="AB333" s="208"/>
      <c r="AC333" s="27" t="str">
        <f t="shared" si="73"/>
        <v/>
      </c>
      <c r="AD333" s="208"/>
      <c r="AE333" s="27" t="str">
        <f t="shared" si="74"/>
        <v/>
      </c>
      <c r="AF333" s="48" t="str">
        <f t="shared" si="75"/>
        <v/>
      </c>
      <c r="AG333" s="48" t="str">
        <f t="shared" si="76"/>
        <v/>
      </c>
      <c r="AH333" s="209"/>
      <c r="AI333" s="210" t="str">
        <f t="shared" si="77"/>
        <v>Débil</v>
      </c>
      <c r="AJ333" s="21" t="str">
        <f>IFERROR(VLOOKUP((CONCATENATE(AG333,AI333)),Listados!$U$3:$V$11,2,FALSE),"")</f>
        <v/>
      </c>
      <c r="AK333" s="48">
        <f t="shared" si="78"/>
        <v>100</v>
      </c>
      <c r="AL333" s="355"/>
      <c r="AM333" s="357"/>
      <c r="AN333" s="173">
        <f>+IF(AND(Q333="Preventivo",AM331="Fuerte"),2,IF(AND(Q333="Preventivo",AM331="Moderado"),1,0))</f>
        <v>0</v>
      </c>
      <c r="AO333" s="173">
        <f t="shared" si="67"/>
        <v>0</v>
      </c>
      <c r="AP333" s="173" t="e">
        <f>+K331-AN333</f>
        <v>#N/A</v>
      </c>
      <c r="AQ333" s="173" t="e">
        <f>+M331-AO333</f>
        <v>#N/A</v>
      </c>
      <c r="AR333" s="346"/>
      <c r="AS333" s="346"/>
      <c r="AT333" s="346"/>
      <c r="AU333" s="346"/>
      <c r="AV333" s="311"/>
      <c r="AW333" s="312"/>
      <c r="AX333" s="313"/>
      <c r="AY333" s="311"/>
      <c r="AZ333" s="312"/>
      <c r="BA333" s="313"/>
      <c r="BB333" s="311"/>
      <c r="BC333" s="312"/>
      <c r="BD333" s="313"/>
    </row>
    <row r="334" spans="1:56" ht="15.75" thickBot="1">
      <c r="A334" s="329"/>
      <c r="B334" s="363"/>
      <c r="C334" s="364"/>
      <c r="D334" s="367"/>
      <c r="E334" s="233"/>
      <c r="F334" s="233"/>
      <c r="G334" s="235"/>
      <c r="H334" s="236"/>
      <c r="I334" s="222"/>
      <c r="J334" s="370"/>
      <c r="K334" s="349"/>
      <c r="L334" s="352"/>
      <c r="M334" s="349"/>
      <c r="N334" s="353"/>
      <c r="O334" s="47" t="s">
        <v>627</v>
      </c>
      <c r="P334" s="215"/>
      <c r="Q334" s="215"/>
      <c r="R334" s="215"/>
      <c r="S334" s="27" t="str">
        <f t="shared" si="68"/>
        <v/>
      </c>
      <c r="T334" s="215"/>
      <c r="U334" s="27" t="str">
        <f t="shared" si="69"/>
        <v/>
      </c>
      <c r="V334" s="208"/>
      <c r="W334" s="27" t="str">
        <f t="shared" si="70"/>
        <v/>
      </c>
      <c r="X334" s="208"/>
      <c r="Y334" s="27" t="str">
        <f t="shared" si="71"/>
        <v/>
      </c>
      <c r="Z334" s="208"/>
      <c r="AA334" s="27" t="str">
        <f t="shared" si="72"/>
        <v/>
      </c>
      <c r="AB334" s="208"/>
      <c r="AC334" s="27" t="str">
        <f t="shared" si="73"/>
        <v/>
      </c>
      <c r="AD334" s="208"/>
      <c r="AE334" s="27" t="str">
        <f t="shared" si="74"/>
        <v/>
      </c>
      <c r="AF334" s="48" t="str">
        <f t="shared" si="75"/>
        <v/>
      </c>
      <c r="AG334" s="48" t="str">
        <f t="shared" si="76"/>
        <v/>
      </c>
      <c r="AH334" s="209"/>
      <c r="AI334" s="210" t="str">
        <f t="shared" si="77"/>
        <v>Débil</v>
      </c>
      <c r="AJ334" s="21" t="str">
        <f>IFERROR(VLOOKUP((CONCATENATE(AG334,AI334)),Listados!$U$3:$V$11,2,FALSE),"")</f>
        <v/>
      </c>
      <c r="AK334" s="48">
        <f t="shared" si="78"/>
        <v>100</v>
      </c>
      <c r="AL334" s="355"/>
      <c r="AM334" s="357"/>
      <c r="AN334" s="173">
        <f>+IF(AND(Q334="Preventivo",AM331="Fuerte"),2,IF(AND(Q334="Preventivo",AM331="Moderado"),1,0))</f>
        <v>0</v>
      </c>
      <c r="AO334" s="173">
        <f t="shared" ref="AO334:AO366" si="79">+IF(AND(Q334="Detectivo",$AM$7="Fuerte"),2,IF(AND(Q334="Detectivo",$AM$7="Moderado"),1,IF(AND(Q334="Preventivo",$AM$7="Fuerte"),1,0)))</f>
        <v>0</v>
      </c>
      <c r="AP334" s="173" t="e">
        <f>+K331-AN334</f>
        <v>#N/A</v>
      </c>
      <c r="AQ334" s="173" t="e">
        <f>+M331-AO334</f>
        <v>#N/A</v>
      </c>
      <c r="AR334" s="346"/>
      <c r="AS334" s="346"/>
      <c r="AT334" s="346"/>
      <c r="AU334" s="346"/>
      <c r="AV334" s="311"/>
      <c r="AW334" s="312"/>
      <c r="AX334" s="313"/>
      <c r="AY334" s="311"/>
      <c r="AZ334" s="312"/>
      <c r="BA334" s="313"/>
      <c r="BB334" s="311"/>
      <c r="BC334" s="312"/>
      <c r="BD334" s="313"/>
    </row>
    <row r="335" spans="1:56" ht="15.75" thickBot="1">
      <c r="A335" s="329"/>
      <c r="B335" s="363"/>
      <c r="C335" s="364"/>
      <c r="D335" s="367"/>
      <c r="E335" s="109"/>
      <c r="F335" s="109"/>
      <c r="G335" s="28"/>
      <c r="H335" s="29"/>
      <c r="I335" s="222"/>
      <c r="J335" s="370"/>
      <c r="K335" s="349"/>
      <c r="L335" s="352"/>
      <c r="M335" s="349"/>
      <c r="N335" s="353"/>
      <c r="O335" s="47" t="s">
        <v>627</v>
      </c>
      <c r="P335" s="215"/>
      <c r="Q335" s="215"/>
      <c r="R335" s="215"/>
      <c r="S335" s="27" t="str">
        <f t="shared" si="68"/>
        <v/>
      </c>
      <c r="T335" s="215"/>
      <c r="U335" s="27" t="str">
        <f t="shared" si="69"/>
        <v/>
      </c>
      <c r="V335" s="208"/>
      <c r="W335" s="27" t="str">
        <f t="shared" si="70"/>
        <v/>
      </c>
      <c r="X335" s="208"/>
      <c r="Y335" s="27" t="str">
        <f t="shared" si="71"/>
        <v/>
      </c>
      <c r="Z335" s="208"/>
      <c r="AA335" s="27" t="str">
        <f t="shared" si="72"/>
        <v/>
      </c>
      <c r="AB335" s="208"/>
      <c r="AC335" s="27" t="str">
        <f t="shared" si="73"/>
        <v/>
      </c>
      <c r="AD335" s="208"/>
      <c r="AE335" s="27" t="str">
        <f t="shared" si="74"/>
        <v/>
      </c>
      <c r="AF335" s="48" t="str">
        <f t="shared" si="75"/>
        <v/>
      </c>
      <c r="AG335" s="48" t="str">
        <f t="shared" si="76"/>
        <v/>
      </c>
      <c r="AH335" s="209"/>
      <c r="AI335" s="210" t="str">
        <f t="shared" si="77"/>
        <v>Débil</v>
      </c>
      <c r="AJ335" s="21" t="str">
        <f>IFERROR(VLOOKUP((CONCATENATE(AG335,AI335)),Listados!$U$3:$V$11,2,FALSE),"")</f>
        <v/>
      </c>
      <c r="AK335" s="48">
        <f t="shared" si="78"/>
        <v>100</v>
      </c>
      <c r="AL335" s="355"/>
      <c r="AM335" s="357"/>
      <c r="AN335" s="173">
        <f>+IF(AND(Q335="Preventivo",AM331="Fuerte"),2,IF(AND(Q335="Preventivo",AM331="Moderado"),1,0))</f>
        <v>0</v>
      </c>
      <c r="AO335" s="173">
        <f t="shared" si="79"/>
        <v>0</v>
      </c>
      <c r="AP335" s="173" t="e">
        <f>+K331-AN335</f>
        <v>#N/A</v>
      </c>
      <c r="AQ335" s="173" t="e">
        <f>+M331-AO335</f>
        <v>#N/A</v>
      </c>
      <c r="AR335" s="346"/>
      <c r="AS335" s="346"/>
      <c r="AT335" s="346"/>
      <c r="AU335" s="346"/>
      <c r="AV335" s="311"/>
      <c r="AW335" s="312"/>
      <c r="AX335" s="313"/>
      <c r="AY335" s="311"/>
      <c r="AZ335" s="312"/>
      <c r="BA335" s="313"/>
      <c r="BB335" s="311"/>
      <c r="BC335" s="312"/>
      <c r="BD335" s="313"/>
    </row>
    <row r="336" spans="1:56" ht="15.75" thickBot="1">
      <c r="A336" s="330"/>
      <c r="B336" s="363"/>
      <c r="C336" s="365"/>
      <c r="D336" s="368"/>
      <c r="E336" s="106"/>
      <c r="F336" s="106"/>
      <c r="G336" s="30"/>
      <c r="H336" s="31"/>
      <c r="I336" s="222"/>
      <c r="J336" s="370"/>
      <c r="K336" s="350"/>
      <c r="L336" s="352"/>
      <c r="M336" s="350"/>
      <c r="N336" s="353"/>
      <c r="O336" s="47" t="s">
        <v>627</v>
      </c>
      <c r="P336" s="215"/>
      <c r="Q336" s="215"/>
      <c r="R336" s="215"/>
      <c r="S336" s="27" t="str">
        <f t="shared" si="68"/>
        <v/>
      </c>
      <c r="T336" s="215"/>
      <c r="U336" s="27" t="str">
        <f t="shared" si="69"/>
        <v/>
      </c>
      <c r="V336" s="208"/>
      <c r="W336" s="27" t="str">
        <f t="shared" si="70"/>
        <v/>
      </c>
      <c r="X336" s="208"/>
      <c r="Y336" s="27" t="str">
        <f t="shared" si="71"/>
        <v/>
      </c>
      <c r="Z336" s="208"/>
      <c r="AA336" s="27" t="str">
        <f t="shared" si="72"/>
        <v/>
      </c>
      <c r="AB336" s="208"/>
      <c r="AC336" s="27" t="str">
        <f t="shared" si="73"/>
        <v/>
      </c>
      <c r="AD336" s="208"/>
      <c r="AE336" s="27" t="str">
        <f t="shared" si="74"/>
        <v/>
      </c>
      <c r="AF336" s="48" t="str">
        <f t="shared" si="75"/>
        <v/>
      </c>
      <c r="AG336" s="48" t="str">
        <f t="shared" si="76"/>
        <v/>
      </c>
      <c r="AH336" s="209"/>
      <c r="AI336" s="210" t="str">
        <f t="shared" si="77"/>
        <v>Débil</v>
      </c>
      <c r="AJ336" s="21" t="str">
        <f>IFERROR(VLOOKUP((CONCATENATE(AG336,AI336)),Listados!$U$3:$V$11,2,FALSE),"")</f>
        <v/>
      </c>
      <c r="AK336" s="48">
        <f t="shared" si="78"/>
        <v>100</v>
      </c>
      <c r="AL336" s="356"/>
      <c r="AM336" s="357"/>
      <c r="AN336" s="173">
        <f>+IF(AND(Q336="Preventivo",AM331="Fuerte"),2,IF(AND(Q336="Preventivo",AM331="Moderado"),1,0))</f>
        <v>0</v>
      </c>
      <c r="AO336" s="173">
        <f t="shared" si="79"/>
        <v>0</v>
      </c>
      <c r="AP336" s="173" t="e">
        <f>+K331-AN336</f>
        <v>#N/A</v>
      </c>
      <c r="AQ336" s="173" t="e">
        <f>+M331-AO336</f>
        <v>#N/A</v>
      </c>
      <c r="AR336" s="347"/>
      <c r="AS336" s="347"/>
      <c r="AT336" s="347"/>
      <c r="AU336" s="347"/>
      <c r="AV336" s="311"/>
      <c r="AW336" s="312"/>
      <c r="AX336" s="313"/>
      <c r="AY336" s="311"/>
      <c r="AZ336" s="312"/>
      <c r="BA336" s="313"/>
      <c r="BB336" s="311"/>
      <c r="BC336" s="312"/>
      <c r="BD336" s="313"/>
    </row>
    <row r="337" spans="1:56" ht="15.75" thickBot="1">
      <c r="A337" s="328">
        <v>56</v>
      </c>
      <c r="B337" s="373"/>
      <c r="C337" s="371" t="str">
        <f>IFERROR(VLOOKUP(B337,Listados!B$3:C$20,2,FALSE),"")</f>
        <v/>
      </c>
      <c r="D337" s="372"/>
      <c r="E337" s="107"/>
      <c r="F337" s="107"/>
      <c r="G337" s="100"/>
      <c r="H337" s="103"/>
      <c r="I337" s="17"/>
      <c r="J337" s="369"/>
      <c r="K337" s="348" t="e">
        <f>+VLOOKUP(J337,Listados!$K$8:$L$12,2,0)</f>
        <v>#N/A</v>
      </c>
      <c r="L337" s="351"/>
      <c r="M337" s="348" t="e">
        <f>+VLOOKUP(L337,Listados!$K$13:$L$17,2,0)</f>
        <v>#N/A</v>
      </c>
      <c r="N337" s="347" t="str">
        <f>IF(AND(J337&lt;&gt;"",L337&lt;&gt;""),VLOOKUP(J337&amp;L337,Listados!$M$3:$N$27,2,FALSE),"")</f>
        <v/>
      </c>
      <c r="O337" s="47" t="s">
        <v>627</v>
      </c>
      <c r="P337" s="215"/>
      <c r="Q337" s="215"/>
      <c r="R337" s="215"/>
      <c r="S337" s="27" t="str">
        <f t="shared" si="68"/>
        <v/>
      </c>
      <c r="T337" s="215"/>
      <c r="U337" s="27" t="str">
        <f t="shared" si="69"/>
        <v/>
      </c>
      <c r="V337" s="208"/>
      <c r="W337" s="27" t="str">
        <f t="shared" si="70"/>
        <v/>
      </c>
      <c r="X337" s="208"/>
      <c r="Y337" s="27" t="str">
        <f t="shared" si="71"/>
        <v/>
      </c>
      <c r="Z337" s="208"/>
      <c r="AA337" s="27" t="str">
        <f t="shared" si="72"/>
        <v/>
      </c>
      <c r="AB337" s="208"/>
      <c r="AC337" s="27" t="str">
        <f t="shared" si="73"/>
        <v/>
      </c>
      <c r="AD337" s="208"/>
      <c r="AE337" s="27" t="str">
        <f t="shared" si="74"/>
        <v/>
      </c>
      <c r="AF337" s="48" t="str">
        <f t="shared" si="75"/>
        <v/>
      </c>
      <c r="AG337" s="48" t="str">
        <f t="shared" si="76"/>
        <v/>
      </c>
      <c r="AH337" s="209"/>
      <c r="AI337" s="210" t="str">
        <f t="shared" si="77"/>
        <v>Débil</v>
      </c>
      <c r="AJ337" s="21" t="str">
        <f>IFERROR(VLOOKUP((CONCATENATE(AG337,AI337)),Listados!$U$3:$V$11,2,FALSE),"")</f>
        <v/>
      </c>
      <c r="AK337" s="48">
        <f t="shared" si="78"/>
        <v>100</v>
      </c>
      <c r="AL337" s="354">
        <f>AVERAGE(AK337:AK342)</f>
        <v>100</v>
      </c>
      <c r="AM337" s="356" t="str">
        <f>IF(AL337&lt;=50, "Débil", IF(AL337&lt;=99,"Moderado","Fuerte"))</f>
        <v>Fuerte</v>
      </c>
      <c r="AN337" s="173">
        <f>+IF(AND(Q337="Preventivo",AM337="Fuerte"),2,IF(AND(Q337="Preventivo",AM337="Moderado"),1,0))</f>
        <v>0</v>
      </c>
      <c r="AO337" s="173">
        <f t="shared" si="79"/>
        <v>0</v>
      </c>
      <c r="AP337" s="173" t="e">
        <f>+K337-AN337</f>
        <v>#N/A</v>
      </c>
      <c r="AQ337" s="173" t="e">
        <f>+M337-AO337</f>
        <v>#N/A</v>
      </c>
      <c r="AR337" s="345" t="e">
        <f>+VLOOKUP(MIN(AP337,AP338,AP339,AP340,AP341,AP342),Listados!$J$18:$K$24,2,TRUE)</f>
        <v>#N/A</v>
      </c>
      <c r="AS337" s="345" t="e">
        <f>+VLOOKUP(MIN(AQ337,AQ338,AQ339,AQ340,AQ341,AQ342),Listados!$J$27:$K$32,2,TRUE)</f>
        <v>#N/A</v>
      </c>
      <c r="AT337" s="345" t="e">
        <f>IF(AND(AR337&lt;&gt;"",AS337&lt;&gt;""),VLOOKUP(AR337&amp;AS337,Listados!$M$3:$N$27,2,FALSE),"")</f>
        <v>#N/A</v>
      </c>
      <c r="AU337" s="345" t="e">
        <f>+VLOOKUP(AT337,Listados!$P$3:$Q$6,2,FALSE)</f>
        <v>#N/A</v>
      </c>
      <c r="AV337" s="311"/>
      <c r="AW337" s="312"/>
      <c r="AX337" s="313"/>
      <c r="AY337" s="311"/>
      <c r="AZ337" s="312"/>
      <c r="BA337" s="313"/>
      <c r="BB337" s="311"/>
      <c r="BC337" s="312"/>
      <c r="BD337" s="313"/>
    </row>
    <row r="338" spans="1:56" ht="15.75" thickBot="1">
      <c r="A338" s="329"/>
      <c r="B338" s="363"/>
      <c r="C338" s="364"/>
      <c r="D338" s="367"/>
      <c r="E338" s="233"/>
      <c r="F338" s="233"/>
      <c r="G338" s="237"/>
      <c r="H338" s="236"/>
      <c r="I338" s="222"/>
      <c r="J338" s="370"/>
      <c r="K338" s="349"/>
      <c r="L338" s="352"/>
      <c r="M338" s="349"/>
      <c r="N338" s="353"/>
      <c r="O338" s="47" t="s">
        <v>627</v>
      </c>
      <c r="P338" s="215"/>
      <c r="Q338" s="215"/>
      <c r="R338" s="215"/>
      <c r="S338" s="27" t="str">
        <f t="shared" si="68"/>
        <v/>
      </c>
      <c r="T338" s="215"/>
      <c r="U338" s="27" t="str">
        <f t="shared" si="69"/>
        <v/>
      </c>
      <c r="V338" s="208"/>
      <c r="W338" s="27" t="str">
        <f t="shared" si="70"/>
        <v/>
      </c>
      <c r="X338" s="208"/>
      <c r="Y338" s="27" t="str">
        <f t="shared" si="71"/>
        <v/>
      </c>
      <c r="Z338" s="208"/>
      <c r="AA338" s="27" t="str">
        <f t="shared" si="72"/>
        <v/>
      </c>
      <c r="AB338" s="208"/>
      <c r="AC338" s="27" t="str">
        <f t="shared" si="73"/>
        <v/>
      </c>
      <c r="AD338" s="208"/>
      <c r="AE338" s="27" t="str">
        <f t="shared" si="74"/>
        <v/>
      </c>
      <c r="AF338" s="48" t="str">
        <f t="shared" si="75"/>
        <v/>
      </c>
      <c r="AG338" s="48" t="str">
        <f t="shared" si="76"/>
        <v/>
      </c>
      <c r="AH338" s="209"/>
      <c r="AI338" s="210" t="str">
        <f t="shared" si="77"/>
        <v>Débil</v>
      </c>
      <c r="AJ338" s="21" t="str">
        <f>IFERROR(VLOOKUP((CONCATENATE(AG338,AI338)),Listados!$U$3:$V$11,2,FALSE),"")</f>
        <v/>
      </c>
      <c r="AK338" s="48">
        <f t="shared" si="78"/>
        <v>100</v>
      </c>
      <c r="AL338" s="355"/>
      <c r="AM338" s="357"/>
      <c r="AN338" s="173">
        <f>+IF(AND(Q338="Preventivo",AM337="Fuerte"),2,IF(AND(Q338="Preventivo",AM337="Moderado"),1,0))</f>
        <v>0</v>
      </c>
      <c r="AO338" s="173">
        <f t="shared" si="79"/>
        <v>0</v>
      </c>
      <c r="AP338" s="173" t="e">
        <f>+K337-AN338</f>
        <v>#N/A</v>
      </c>
      <c r="AQ338" s="173" t="e">
        <f>+M337-AO338</f>
        <v>#N/A</v>
      </c>
      <c r="AR338" s="346"/>
      <c r="AS338" s="346"/>
      <c r="AT338" s="346"/>
      <c r="AU338" s="346"/>
      <c r="AV338" s="311"/>
      <c r="AW338" s="312"/>
      <c r="AX338" s="313"/>
      <c r="AY338" s="311"/>
      <c r="AZ338" s="312"/>
      <c r="BA338" s="313"/>
      <c r="BB338" s="311"/>
      <c r="BC338" s="312"/>
      <c r="BD338" s="313"/>
    </row>
    <row r="339" spans="1:56" ht="15.75" thickBot="1">
      <c r="A339" s="329"/>
      <c r="B339" s="363"/>
      <c r="C339" s="364"/>
      <c r="D339" s="367"/>
      <c r="E339" s="233"/>
      <c r="F339" s="233"/>
      <c r="G339" s="237"/>
      <c r="H339" s="236"/>
      <c r="I339" s="222"/>
      <c r="J339" s="370"/>
      <c r="K339" s="349"/>
      <c r="L339" s="352"/>
      <c r="M339" s="349"/>
      <c r="N339" s="353"/>
      <c r="O339" s="47" t="s">
        <v>627</v>
      </c>
      <c r="P339" s="215"/>
      <c r="Q339" s="215"/>
      <c r="R339" s="215"/>
      <c r="S339" s="27" t="str">
        <f t="shared" si="68"/>
        <v/>
      </c>
      <c r="T339" s="215"/>
      <c r="U339" s="27" t="str">
        <f t="shared" si="69"/>
        <v/>
      </c>
      <c r="V339" s="208"/>
      <c r="W339" s="27" t="str">
        <f t="shared" si="70"/>
        <v/>
      </c>
      <c r="X339" s="208"/>
      <c r="Y339" s="27" t="str">
        <f t="shared" si="71"/>
        <v/>
      </c>
      <c r="Z339" s="208"/>
      <c r="AA339" s="27" t="str">
        <f t="shared" si="72"/>
        <v/>
      </c>
      <c r="AB339" s="208"/>
      <c r="AC339" s="27" t="str">
        <f t="shared" si="73"/>
        <v/>
      </c>
      <c r="AD339" s="208"/>
      <c r="AE339" s="27" t="str">
        <f t="shared" si="74"/>
        <v/>
      </c>
      <c r="AF339" s="48" t="str">
        <f t="shared" si="75"/>
        <v/>
      </c>
      <c r="AG339" s="48" t="str">
        <f t="shared" si="76"/>
        <v/>
      </c>
      <c r="AH339" s="209"/>
      <c r="AI339" s="210" t="str">
        <f t="shared" si="77"/>
        <v>Débil</v>
      </c>
      <c r="AJ339" s="21" t="str">
        <f>IFERROR(VLOOKUP((CONCATENATE(AG339,AI339)),Listados!$U$3:$V$11,2,FALSE),"")</f>
        <v/>
      </c>
      <c r="AK339" s="48">
        <f t="shared" si="78"/>
        <v>100</v>
      </c>
      <c r="AL339" s="355"/>
      <c r="AM339" s="357"/>
      <c r="AN339" s="173">
        <f>+IF(AND(Q339="Preventivo",AM337="Fuerte"),2,IF(AND(Q339="Preventivo",AM337="Moderado"),1,0))</f>
        <v>0</v>
      </c>
      <c r="AO339" s="173">
        <f t="shared" si="79"/>
        <v>0</v>
      </c>
      <c r="AP339" s="173" t="e">
        <f>+K337-AN339</f>
        <v>#N/A</v>
      </c>
      <c r="AQ339" s="173" t="e">
        <f>+M337-AO339</f>
        <v>#N/A</v>
      </c>
      <c r="AR339" s="346"/>
      <c r="AS339" s="346"/>
      <c r="AT339" s="346"/>
      <c r="AU339" s="346"/>
      <c r="AV339" s="311"/>
      <c r="AW339" s="312"/>
      <c r="AX339" s="313"/>
      <c r="AY339" s="311"/>
      <c r="AZ339" s="312"/>
      <c r="BA339" s="313"/>
      <c r="BB339" s="311"/>
      <c r="BC339" s="312"/>
      <c r="BD339" s="313"/>
    </row>
    <row r="340" spans="1:56" ht="15.75" thickBot="1">
      <c r="A340" s="329"/>
      <c r="B340" s="363"/>
      <c r="C340" s="364"/>
      <c r="D340" s="367"/>
      <c r="E340" s="233"/>
      <c r="F340" s="233"/>
      <c r="G340" s="235"/>
      <c r="H340" s="236"/>
      <c r="I340" s="222"/>
      <c r="J340" s="370"/>
      <c r="K340" s="349"/>
      <c r="L340" s="352"/>
      <c r="M340" s="349"/>
      <c r="N340" s="353"/>
      <c r="O340" s="47" t="s">
        <v>627</v>
      </c>
      <c r="P340" s="215"/>
      <c r="Q340" s="215"/>
      <c r="R340" s="215"/>
      <c r="S340" s="27" t="str">
        <f t="shared" si="68"/>
        <v/>
      </c>
      <c r="T340" s="215"/>
      <c r="U340" s="27" t="str">
        <f t="shared" si="69"/>
        <v/>
      </c>
      <c r="V340" s="208"/>
      <c r="W340" s="27" t="str">
        <f t="shared" si="70"/>
        <v/>
      </c>
      <c r="X340" s="208"/>
      <c r="Y340" s="27" t="str">
        <f t="shared" si="71"/>
        <v/>
      </c>
      <c r="Z340" s="208"/>
      <c r="AA340" s="27" t="str">
        <f t="shared" si="72"/>
        <v/>
      </c>
      <c r="AB340" s="208"/>
      <c r="AC340" s="27" t="str">
        <f t="shared" si="73"/>
        <v/>
      </c>
      <c r="AD340" s="208"/>
      <c r="AE340" s="27" t="str">
        <f t="shared" si="74"/>
        <v/>
      </c>
      <c r="AF340" s="48" t="str">
        <f t="shared" si="75"/>
        <v/>
      </c>
      <c r="AG340" s="48" t="str">
        <f t="shared" si="76"/>
        <v/>
      </c>
      <c r="AH340" s="209"/>
      <c r="AI340" s="210" t="str">
        <f t="shared" si="77"/>
        <v>Débil</v>
      </c>
      <c r="AJ340" s="21" t="str">
        <f>IFERROR(VLOOKUP((CONCATENATE(AG340,AI340)),Listados!$U$3:$V$11,2,FALSE),"")</f>
        <v/>
      </c>
      <c r="AK340" s="48">
        <f t="shared" si="78"/>
        <v>100</v>
      </c>
      <c r="AL340" s="355"/>
      <c r="AM340" s="357"/>
      <c r="AN340" s="173">
        <f>+IF(AND(Q340="Preventivo",AM337="Fuerte"),2,IF(AND(Q340="Preventivo",AM337="Moderado"),1,0))</f>
        <v>0</v>
      </c>
      <c r="AO340" s="173">
        <f t="shared" si="79"/>
        <v>0</v>
      </c>
      <c r="AP340" s="173" t="e">
        <f>+K337-AN340</f>
        <v>#N/A</v>
      </c>
      <c r="AQ340" s="173" t="e">
        <f>+M337-AO340</f>
        <v>#N/A</v>
      </c>
      <c r="AR340" s="346"/>
      <c r="AS340" s="346"/>
      <c r="AT340" s="346"/>
      <c r="AU340" s="346"/>
      <c r="AV340" s="311"/>
      <c r="AW340" s="312"/>
      <c r="AX340" s="313"/>
      <c r="AY340" s="311"/>
      <c r="AZ340" s="312"/>
      <c r="BA340" s="313"/>
      <c r="BB340" s="311"/>
      <c r="BC340" s="312"/>
      <c r="BD340" s="313"/>
    </row>
    <row r="341" spans="1:56" ht="15.75" thickBot="1">
      <c r="A341" s="329"/>
      <c r="B341" s="363"/>
      <c r="C341" s="364"/>
      <c r="D341" s="367"/>
      <c r="E341" s="109"/>
      <c r="F341" s="109"/>
      <c r="G341" s="28"/>
      <c r="H341" s="29"/>
      <c r="I341" s="222"/>
      <c r="J341" s="370"/>
      <c r="K341" s="349"/>
      <c r="L341" s="352"/>
      <c r="M341" s="349"/>
      <c r="N341" s="353"/>
      <c r="O341" s="47" t="s">
        <v>627</v>
      </c>
      <c r="P341" s="215"/>
      <c r="Q341" s="215"/>
      <c r="R341" s="215"/>
      <c r="S341" s="27" t="str">
        <f t="shared" si="68"/>
        <v/>
      </c>
      <c r="T341" s="215"/>
      <c r="U341" s="27" t="str">
        <f t="shared" si="69"/>
        <v/>
      </c>
      <c r="V341" s="208"/>
      <c r="W341" s="27" t="str">
        <f t="shared" si="70"/>
        <v/>
      </c>
      <c r="X341" s="208"/>
      <c r="Y341" s="27" t="str">
        <f t="shared" si="71"/>
        <v/>
      </c>
      <c r="Z341" s="208"/>
      <c r="AA341" s="27" t="str">
        <f t="shared" si="72"/>
        <v/>
      </c>
      <c r="AB341" s="208"/>
      <c r="AC341" s="27" t="str">
        <f t="shared" si="73"/>
        <v/>
      </c>
      <c r="AD341" s="208"/>
      <c r="AE341" s="27" t="str">
        <f t="shared" si="74"/>
        <v/>
      </c>
      <c r="AF341" s="48" t="str">
        <f t="shared" si="75"/>
        <v/>
      </c>
      <c r="AG341" s="48" t="str">
        <f t="shared" si="76"/>
        <v/>
      </c>
      <c r="AH341" s="209"/>
      <c r="AI341" s="210" t="str">
        <f t="shared" si="77"/>
        <v>Débil</v>
      </c>
      <c r="AJ341" s="21" t="str">
        <f>IFERROR(VLOOKUP((CONCATENATE(AG341,AI341)),Listados!$U$3:$V$11,2,FALSE),"")</f>
        <v/>
      </c>
      <c r="AK341" s="48">
        <f t="shared" si="78"/>
        <v>100</v>
      </c>
      <c r="AL341" s="355"/>
      <c r="AM341" s="357"/>
      <c r="AN341" s="173">
        <f>+IF(AND(Q341="Preventivo",AM337="Fuerte"),2,IF(AND(Q341="Preventivo",AM337="Moderado"),1,0))</f>
        <v>0</v>
      </c>
      <c r="AO341" s="173">
        <f t="shared" si="79"/>
        <v>0</v>
      </c>
      <c r="AP341" s="173" t="e">
        <f>+K337-AN341</f>
        <v>#N/A</v>
      </c>
      <c r="AQ341" s="173" t="e">
        <f>+M337-AO341</f>
        <v>#N/A</v>
      </c>
      <c r="AR341" s="346"/>
      <c r="AS341" s="346"/>
      <c r="AT341" s="346"/>
      <c r="AU341" s="346"/>
      <c r="AV341" s="311"/>
      <c r="AW341" s="312"/>
      <c r="AX341" s="313"/>
      <c r="AY341" s="311"/>
      <c r="AZ341" s="312"/>
      <c r="BA341" s="313"/>
      <c r="BB341" s="311"/>
      <c r="BC341" s="312"/>
      <c r="BD341" s="313"/>
    </row>
    <row r="342" spans="1:56" ht="15.75" thickBot="1">
      <c r="A342" s="330"/>
      <c r="B342" s="363"/>
      <c r="C342" s="365"/>
      <c r="D342" s="368"/>
      <c r="E342" s="106"/>
      <c r="F342" s="106"/>
      <c r="G342" s="30"/>
      <c r="H342" s="31"/>
      <c r="I342" s="222"/>
      <c r="J342" s="370"/>
      <c r="K342" s="350"/>
      <c r="L342" s="352"/>
      <c r="M342" s="350"/>
      <c r="N342" s="353"/>
      <c r="O342" s="47" t="s">
        <v>627</v>
      </c>
      <c r="P342" s="215"/>
      <c r="Q342" s="215"/>
      <c r="R342" s="215"/>
      <c r="S342" s="27" t="str">
        <f t="shared" si="68"/>
        <v/>
      </c>
      <c r="T342" s="215"/>
      <c r="U342" s="27" t="str">
        <f t="shared" si="69"/>
        <v/>
      </c>
      <c r="V342" s="208"/>
      <c r="W342" s="27" t="str">
        <f t="shared" si="70"/>
        <v/>
      </c>
      <c r="X342" s="208"/>
      <c r="Y342" s="27" t="str">
        <f t="shared" si="71"/>
        <v/>
      </c>
      <c r="Z342" s="208"/>
      <c r="AA342" s="27" t="str">
        <f t="shared" si="72"/>
        <v/>
      </c>
      <c r="AB342" s="208"/>
      <c r="AC342" s="27" t="str">
        <f t="shared" si="73"/>
        <v/>
      </c>
      <c r="AD342" s="208"/>
      <c r="AE342" s="27" t="str">
        <f t="shared" si="74"/>
        <v/>
      </c>
      <c r="AF342" s="48" t="str">
        <f t="shared" si="75"/>
        <v/>
      </c>
      <c r="AG342" s="48" t="str">
        <f t="shared" si="76"/>
        <v/>
      </c>
      <c r="AH342" s="209"/>
      <c r="AI342" s="210" t="str">
        <f t="shared" si="77"/>
        <v>Débil</v>
      </c>
      <c r="AJ342" s="21" t="str">
        <f>IFERROR(VLOOKUP((CONCATENATE(AG342,AI342)),Listados!$U$3:$V$11,2,FALSE),"")</f>
        <v/>
      </c>
      <c r="AK342" s="48">
        <f t="shared" si="78"/>
        <v>100</v>
      </c>
      <c r="AL342" s="356"/>
      <c r="AM342" s="357"/>
      <c r="AN342" s="173">
        <f>+IF(AND(Q342="Preventivo",AM337="Fuerte"),2,IF(AND(Q342="Preventivo",AM337="Moderado"),1,0))</f>
        <v>0</v>
      </c>
      <c r="AO342" s="173">
        <f t="shared" si="79"/>
        <v>0</v>
      </c>
      <c r="AP342" s="173" t="e">
        <f>+K337-AN342</f>
        <v>#N/A</v>
      </c>
      <c r="AQ342" s="173" t="e">
        <f>+M337-AO342</f>
        <v>#N/A</v>
      </c>
      <c r="AR342" s="347"/>
      <c r="AS342" s="347"/>
      <c r="AT342" s="347"/>
      <c r="AU342" s="347"/>
      <c r="AV342" s="311"/>
      <c r="AW342" s="312"/>
      <c r="AX342" s="313"/>
      <c r="AY342" s="311"/>
      <c r="AZ342" s="312"/>
      <c r="BA342" s="313"/>
      <c r="BB342" s="311"/>
      <c r="BC342" s="312"/>
      <c r="BD342" s="313"/>
    </row>
    <row r="343" spans="1:56" ht="15.75" thickBot="1">
      <c r="A343" s="328">
        <v>57</v>
      </c>
      <c r="B343" s="373"/>
      <c r="C343" s="371" t="str">
        <f>IFERROR(VLOOKUP(B343,Listados!B$3:C$20,2,FALSE),"")</f>
        <v/>
      </c>
      <c r="D343" s="372"/>
      <c r="E343" s="107"/>
      <c r="F343" s="107"/>
      <c r="G343" s="100"/>
      <c r="H343" s="103"/>
      <c r="I343" s="17"/>
      <c r="J343" s="369"/>
      <c r="K343" s="348" t="e">
        <f>+VLOOKUP(J343,Listados!$K$8:$L$12,2,0)</f>
        <v>#N/A</v>
      </c>
      <c r="L343" s="351"/>
      <c r="M343" s="348" t="e">
        <f>+VLOOKUP(L343,Listados!$K$13:$L$17,2,0)</f>
        <v>#N/A</v>
      </c>
      <c r="N343" s="347" t="str">
        <f>IF(AND(J343&lt;&gt;"",L343&lt;&gt;""),VLOOKUP(J343&amp;L343,Listados!$M$3:$N$27,2,FALSE),"")</f>
        <v/>
      </c>
      <c r="O343" s="47" t="s">
        <v>627</v>
      </c>
      <c r="P343" s="215"/>
      <c r="Q343" s="215"/>
      <c r="R343" s="215"/>
      <c r="S343" s="27" t="str">
        <f t="shared" si="68"/>
        <v/>
      </c>
      <c r="T343" s="215"/>
      <c r="U343" s="27" t="str">
        <f t="shared" si="69"/>
        <v/>
      </c>
      <c r="V343" s="208"/>
      <c r="W343" s="27" t="str">
        <f t="shared" si="70"/>
        <v/>
      </c>
      <c r="X343" s="208"/>
      <c r="Y343" s="27" t="str">
        <f t="shared" si="71"/>
        <v/>
      </c>
      <c r="Z343" s="208"/>
      <c r="AA343" s="27" t="str">
        <f t="shared" si="72"/>
        <v/>
      </c>
      <c r="AB343" s="208"/>
      <c r="AC343" s="27" t="str">
        <f t="shared" si="73"/>
        <v/>
      </c>
      <c r="AD343" s="208"/>
      <c r="AE343" s="27" t="str">
        <f t="shared" si="74"/>
        <v/>
      </c>
      <c r="AF343" s="48" t="str">
        <f t="shared" si="75"/>
        <v/>
      </c>
      <c r="AG343" s="48" t="str">
        <f t="shared" si="76"/>
        <v/>
      </c>
      <c r="AH343" s="209"/>
      <c r="AI343" s="210" t="str">
        <f t="shared" si="77"/>
        <v>Débil</v>
      </c>
      <c r="AJ343" s="21" t="str">
        <f>IFERROR(VLOOKUP((CONCATENATE(AG343,AI343)),Listados!$U$3:$V$11,2,FALSE),"")</f>
        <v/>
      </c>
      <c r="AK343" s="48">
        <f t="shared" si="78"/>
        <v>100</v>
      </c>
      <c r="AL343" s="354">
        <f>AVERAGE(AK343:AK348)</f>
        <v>100</v>
      </c>
      <c r="AM343" s="356" t="str">
        <f>IF(AL343&lt;=50, "Débil", IF(AL343&lt;=99,"Moderado","Fuerte"))</f>
        <v>Fuerte</v>
      </c>
      <c r="AN343" s="173">
        <f>+IF(AND(Q343="Preventivo",AM343="Fuerte"),2,IF(AND(Q343="Preventivo",AM343="Moderado"),1,0))</f>
        <v>0</v>
      </c>
      <c r="AO343" s="173">
        <f t="shared" si="79"/>
        <v>0</v>
      </c>
      <c r="AP343" s="173" t="e">
        <f>+K343-AN343</f>
        <v>#N/A</v>
      </c>
      <c r="AQ343" s="173" t="e">
        <f>+M343-AO343</f>
        <v>#N/A</v>
      </c>
      <c r="AR343" s="345" t="e">
        <f>+VLOOKUP(MIN(AP343,AP344,AP345,AP346,AP347,AP348),Listados!$J$18:$K$24,2,TRUE)</f>
        <v>#N/A</v>
      </c>
      <c r="AS343" s="345" t="e">
        <f>+VLOOKUP(MIN(AQ343,AQ344,AQ345,AQ346,AQ347,AQ348),Listados!$J$27:$K$32,2,TRUE)</f>
        <v>#N/A</v>
      </c>
      <c r="AT343" s="345" t="e">
        <f>IF(AND(AR343&lt;&gt;"",AS343&lt;&gt;""),VLOOKUP(AR343&amp;AS343,Listados!$M$3:$N$27,2,FALSE),"")</f>
        <v>#N/A</v>
      </c>
      <c r="AU343" s="345" t="e">
        <f>+VLOOKUP(AT343,Listados!$P$3:$Q$6,2,FALSE)</f>
        <v>#N/A</v>
      </c>
      <c r="AV343" s="311"/>
      <c r="AW343" s="312"/>
      <c r="AX343" s="313"/>
      <c r="AY343" s="311"/>
      <c r="AZ343" s="312"/>
      <c r="BA343" s="313"/>
      <c r="BB343" s="311"/>
      <c r="BC343" s="312"/>
      <c r="BD343" s="313"/>
    </row>
    <row r="344" spans="1:56" ht="15.75" thickBot="1">
      <c r="A344" s="329"/>
      <c r="B344" s="363"/>
      <c r="C344" s="364"/>
      <c r="D344" s="367"/>
      <c r="E344" s="233"/>
      <c r="F344" s="233"/>
      <c r="G344" s="237"/>
      <c r="H344" s="236"/>
      <c r="I344" s="222"/>
      <c r="J344" s="370"/>
      <c r="K344" s="349"/>
      <c r="L344" s="352"/>
      <c r="M344" s="349"/>
      <c r="N344" s="353"/>
      <c r="O344" s="47" t="s">
        <v>627</v>
      </c>
      <c r="P344" s="215"/>
      <c r="Q344" s="215"/>
      <c r="R344" s="215"/>
      <c r="S344" s="27" t="str">
        <f t="shared" si="68"/>
        <v/>
      </c>
      <c r="T344" s="215"/>
      <c r="U344" s="27" t="str">
        <f t="shared" si="69"/>
        <v/>
      </c>
      <c r="V344" s="208"/>
      <c r="W344" s="27" t="str">
        <f t="shared" si="70"/>
        <v/>
      </c>
      <c r="X344" s="208"/>
      <c r="Y344" s="27" t="str">
        <f t="shared" si="71"/>
        <v/>
      </c>
      <c r="Z344" s="208"/>
      <c r="AA344" s="27" t="str">
        <f t="shared" si="72"/>
        <v/>
      </c>
      <c r="AB344" s="208"/>
      <c r="AC344" s="27" t="str">
        <f t="shared" si="73"/>
        <v/>
      </c>
      <c r="AD344" s="208"/>
      <c r="AE344" s="27" t="str">
        <f t="shared" si="74"/>
        <v/>
      </c>
      <c r="AF344" s="48" t="str">
        <f t="shared" si="75"/>
        <v/>
      </c>
      <c r="AG344" s="48" t="str">
        <f t="shared" si="76"/>
        <v/>
      </c>
      <c r="AH344" s="209"/>
      <c r="AI344" s="210" t="str">
        <f t="shared" si="77"/>
        <v>Débil</v>
      </c>
      <c r="AJ344" s="21" t="str">
        <f>IFERROR(VLOOKUP((CONCATENATE(AG344,AI344)),Listados!$U$3:$V$11,2,FALSE),"")</f>
        <v/>
      </c>
      <c r="AK344" s="48">
        <f t="shared" si="78"/>
        <v>100</v>
      </c>
      <c r="AL344" s="355"/>
      <c r="AM344" s="357"/>
      <c r="AN344" s="173">
        <f>+IF(AND(Q344="Preventivo",AM343="Fuerte"),2,IF(AND(Q344="Preventivo",AM343="Moderado"),1,0))</f>
        <v>0</v>
      </c>
      <c r="AO344" s="173">
        <f t="shared" si="79"/>
        <v>0</v>
      </c>
      <c r="AP344" s="173" t="e">
        <f>+K343-AN344</f>
        <v>#N/A</v>
      </c>
      <c r="AQ344" s="173" t="e">
        <f>+M343-AO344</f>
        <v>#N/A</v>
      </c>
      <c r="AR344" s="346"/>
      <c r="AS344" s="346"/>
      <c r="AT344" s="346"/>
      <c r="AU344" s="346"/>
      <c r="AV344" s="311"/>
      <c r="AW344" s="312"/>
      <c r="AX344" s="313"/>
      <c r="AY344" s="311"/>
      <c r="AZ344" s="312"/>
      <c r="BA344" s="313"/>
      <c r="BB344" s="311"/>
      <c r="BC344" s="312"/>
      <c r="BD344" s="313"/>
    </row>
    <row r="345" spans="1:56" ht="15.75" thickBot="1">
      <c r="A345" s="329"/>
      <c r="B345" s="363"/>
      <c r="C345" s="364"/>
      <c r="D345" s="367"/>
      <c r="E345" s="233"/>
      <c r="F345" s="233"/>
      <c r="G345" s="237"/>
      <c r="H345" s="236"/>
      <c r="I345" s="222"/>
      <c r="J345" s="370"/>
      <c r="K345" s="349"/>
      <c r="L345" s="352"/>
      <c r="M345" s="349"/>
      <c r="N345" s="353"/>
      <c r="O345" s="47" t="s">
        <v>627</v>
      </c>
      <c r="P345" s="215"/>
      <c r="Q345" s="215"/>
      <c r="R345" s="215"/>
      <c r="S345" s="27" t="str">
        <f t="shared" si="68"/>
        <v/>
      </c>
      <c r="T345" s="215"/>
      <c r="U345" s="27" t="str">
        <f t="shared" si="69"/>
        <v/>
      </c>
      <c r="V345" s="208"/>
      <c r="W345" s="27" t="str">
        <f t="shared" si="70"/>
        <v/>
      </c>
      <c r="X345" s="208"/>
      <c r="Y345" s="27" t="str">
        <f t="shared" si="71"/>
        <v/>
      </c>
      <c r="Z345" s="208"/>
      <c r="AA345" s="27" t="str">
        <f t="shared" si="72"/>
        <v/>
      </c>
      <c r="AB345" s="208"/>
      <c r="AC345" s="27" t="str">
        <f t="shared" si="73"/>
        <v/>
      </c>
      <c r="AD345" s="208"/>
      <c r="AE345" s="27" t="str">
        <f t="shared" si="74"/>
        <v/>
      </c>
      <c r="AF345" s="48" t="str">
        <f t="shared" si="75"/>
        <v/>
      </c>
      <c r="AG345" s="48" t="str">
        <f t="shared" si="76"/>
        <v/>
      </c>
      <c r="AH345" s="209"/>
      <c r="AI345" s="210" t="str">
        <f t="shared" si="77"/>
        <v>Débil</v>
      </c>
      <c r="AJ345" s="21" t="str">
        <f>IFERROR(VLOOKUP((CONCATENATE(AG345,AI345)),Listados!$U$3:$V$11,2,FALSE),"")</f>
        <v/>
      </c>
      <c r="AK345" s="48">
        <f t="shared" si="78"/>
        <v>100</v>
      </c>
      <c r="AL345" s="355"/>
      <c r="AM345" s="357"/>
      <c r="AN345" s="173">
        <f>+IF(AND(Q345="Preventivo",AM343="Fuerte"),2,IF(AND(Q345="Preventivo",AM343="Moderado"),1,0))</f>
        <v>0</v>
      </c>
      <c r="AO345" s="173">
        <f t="shared" si="79"/>
        <v>0</v>
      </c>
      <c r="AP345" s="173" t="e">
        <f>+K343-AN345</f>
        <v>#N/A</v>
      </c>
      <c r="AQ345" s="173" t="e">
        <f>+M343-AO345</f>
        <v>#N/A</v>
      </c>
      <c r="AR345" s="346"/>
      <c r="AS345" s="346"/>
      <c r="AT345" s="346"/>
      <c r="AU345" s="346"/>
      <c r="AV345" s="311"/>
      <c r="AW345" s="312"/>
      <c r="AX345" s="313"/>
      <c r="AY345" s="311"/>
      <c r="AZ345" s="312"/>
      <c r="BA345" s="313"/>
      <c r="BB345" s="311"/>
      <c r="BC345" s="312"/>
      <c r="BD345" s="313"/>
    </row>
    <row r="346" spans="1:56" ht="15.75" thickBot="1">
      <c r="A346" s="329"/>
      <c r="B346" s="363"/>
      <c r="C346" s="364"/>
      <c r="D346" s="367"/>
      <c r="E346" s="233"/>
      <c r="F346" s="233"/>
      <c r="G346" s="235"/>
      <c r="H346" s="236"/>
      <c r="I346" s="222"/>
      <c r="J346" s="370"/>
      <c r="K346" s="349"/>
      <c r="L346" s="352"/>
      <c r="M346" s="349"/>
      <c r="N346" s="353"/>
      <c r="O346" s="47" t="s">
        <v>627</v>
      </c>
      <c r="P346" s="215"/>
      <c r="Q346" s="215"/>
      <c r="R346" s="215"/>
      <c r="S346" s="27" t="str">
        <f t="shared" si="68"/>
        <v/>
      </c>
      <c r="T346" s="215"/>
      <c r="U346" s="27" t="str">
        <f t="shared" si="69"/>
        <v/>
      </c>
      <c r="V346" s="208"/>
      <c r="W346" s="27" t="str">
        <f t="shared" si="70"/>
        <v/>
      </c>
      <c r="X346" s="208"/>
      <c r="Y346" s="27" t="str">
        <f t="shared" si="71"/>
        <v/>
      </c>
      <c r="Z346" s="208"/>
      <c r="AA346" s="27" t="str">
        <f t="shared" si="72"/>
        <v/>
      </c>
      <c r="AB346" s="208"/>
      <c r="AC346" s="27" t="str">
        <f t="shared" si="73"/>
        <v/>
      </c>
      <c r="AD346" s="208"/>
      <c r="AE346" s="27" t="str">
        <f t="shared" si="74"/>
        <v/>
      </c>
      <c r="AF346" s="48" t="str">
        <f t="shared" si="75"/>
        <v/>
      </c>
      <c r="AG346" s="48" t="str">
        <f t="shared" si="76"/>
        <v/>
      </c>
      <c r="AH346" s="209"/>
      <c r="AI346" s="210" t="str">
        <f t="shared" si="77"/>
        <v>Débil</v>
      </c>
      <c r="AJ346" s="21" t="str">
        <f>IFERROR(VLOOKUP((CONCATENATE(AG346,AI346)),Listados!$U$3:$V$11,2,FALSE),"")</f>
        <v/>
      </c>
      <c r="AK346" s="48">
        <f t="shared" si="78"/>
        <v>100</v>
      </c>
      <c r="AL346" s="355"/>
      <c r="AM346" s="357"/>
      <c r="AN346" s="173">
        <f>+IF(AND(Q346="Preventivo",AM343="Fuerte"),2,IF(AND(Q346="Preventivo",AM343="Moderado"),1,0))</f>
        <v>0</v>
      </c>
      <c r="AO346" s="173">
        <f t="shared" si="79"/>
        <v>0</v>
      </c>
      <c r="AP346" s="173" t="e">
        <f>+K343-AN346</f>
        <v>#N/A</v>
      </c>
      <c r="AQ346" s="173" t="e">
        <f>+M343-AO346</f>
        <v>#N/A</v>
      </c>
      <c r="AR346" s="346"/>
      <c r="AS346" s="346"/>
      <c r="AT346" s="346"/>
      <c r="AU346" s="346"/>
      <c r="AV346" s="311"/>
      <c r="AW346" s="312"/>
      <c r="AX346" s="313"/>
      <c r="AY346" s="311"/>
      <c r="AZ346" s="312"/>
      <c r="BA346" s="313"/>
      <c r="BB346" s="311"/>
      <c r="BC346" s="312"/>
      <c r="BD346" s="313"/>
    </row>
    <row r="347" spans="1:56" ht="15.75" thickBot="1">
      <c r="A347" s="329"/>
      <c r="B347" s="363"/>
      <c r="C347" s="364"/>
      <c r="D347" s="367"/>
      <c r="E347" s="109"/>
      <c r="F347" s="109"/>
      <c r="G347" s="28"/>
      <c r="H347" s="29"/>
      <c r="I347" s="222"/>
      <c r="J347" s="370"/>
      <c r="K347" s="349"/>
      <c r="L347" s="352"/>
      <c r="M347" s="349"/>
      <c r="N347" s="353"/>
      <c r="O347" s="47" t="s">
        <v>627</v>
      </c>
      <c r="P347" s="215"/>
      <c r="Q347" s="215"/>
      <c r="R347" s="215"/>
      <c r="S347" s="27" t="str">
        <f t="shared" si="68"/>
        <v/>
      </c>
      <c r="T347" s="215"/>
      <c r="U347" s="27" t="str">
        <f t="shared" si="69"/>
        <v/>
      </c>
      <c r="V347" s="208"/>
      <c r="W347" s="27" t="str">
        <f t="shared" si="70"/>
        <v/>
      </c>
      <c r="X347" s="208"/>
      <c r="Y347" s="27" t="str">
        <f t="shared" si="71"/>
        <v/>
      </c>
      <c r="Z347" s="208"/>
      <c r="AA347" s="27" t="str">
        <f t="shared" si="72"/>
        <v/>
      </c>
      <c r="AB347" s="208"/>
      <c r="AC347" s="27" t="str">
        <f t="shared" si="73"/>
        <v/>
      </c>
      <c r="AD347" s="208"/>
      <c r="AE347" s="27" t="str">
        <f t="shared" si="74"/>
        <v/>
      </c>
      <c r="AF347" s="48" t="str">
        <f t="shared" si="75"/>
        <v/>
      </c>
      <c r="AG347" s="48" t="str">
        <f t="shared" si="76"/>
        <v/>
      </c>
      <c r="AH347" s="209"/>
      <c r="AI347" s="210" t="str">
        <f t="shared" si="77"/>
        <v>Débil</v>
      </c>
      <c r="AJ347" s="21" t="str">
        <f>IFERROR(VLOOKUP((CONCATENATE(AG347,AI347)),Listados!$U$3:$V$11,2,FALSE),"")</f>
        <v/>
      </c>
      <c r="AK347" s="48">
        <f t="shared" si="78"/>
        <v>100</v>
      </c>
      <c r="AL347" s="355"/>
      <c r="AM347" s="357"/>
      <c r="AN347" s="173">
        <f>+IF(AND(Q347="Preventivo",AM343="Fuerte"),2,IF(AND(Q347="Preventivo",AM343="Moderado"),1,0))</f>
        <v>0</v>
      </c>
      <c r="AO347" s="173">
        <f t="shared" si="79"/>
        <v>0</v>
      </c>
      <c r="AP347" s="173" t="e">
        <f>+K343-AN347</f>
        <v>#N/A</v>
      </c>
      <c r="AQ347" s="173" t="e">
        <f>+M343-AO347</f>
        <v>#N/A</v>
      </c>
      <c r="AR347" s="346"/>
      <c r="AS347" s="346"/>
      <c r="AT347" s="346"/>
      <c r="AU347" s="346"/>
      <c r="AV347" s="311"/>
      <c r="AW347" s="312"/>
      <c r="AX347" s="313"/>
      <c r="AY347" s="311"/>
      <c r="AZ347" s="312"/>
      <c r="BA347" s="313"/>
      <c r="BB347" s="311"/>
      <c r="BC347" s="312"/>
      <c r="BD347" s="313"/>
    </row>
    <row r="348" spans="1:56" ht="15.75" thickBot="1">
      <c r="A348" s="330"/>
      <c r="B348" s="363"/>
      <c r="C348" s="365"/>
      <c r="D348" s="368"/>
      <c r="E348" s="106"/>
      <c r="F348" s="106"/>
      <c r="G348" s="30"/>
      <c r="H348" s="31"/>
      <c r="I348" s="222"/>
      <c r="J348" s="370"/>
      <c r="K348" s="350"/>
      <c r="L348" s="352"/>
      <c r="M348" s="350"/>
      <c r="N348" s="353"/>
      <c r="O348" s="47" t="s">
        <v>627</v>
      </c>
      <c r="P348" s="215"/>
      <c r="Q348" s="215"/>
      <c r="R348" s="215"/>
      <c r="S348" s="27" t="str">
        <f t="shared" si="68"/>
        <v/>
      </c>
      <c r="T348" s="215"/>
      <c r="U348" s="27" t="str">
        <f t="shared" si="69"/>
        <v/>
      </c>
      <c r="V348" s="208"/>
      <c r="W348" s="27" t="str">
        <f t="shared" si="70"/>
        <v/>
      </c>
      <c r="X348" s="208"/>
      <c r="Y348" s="27" t="str">
        <f t="shared" si="71"/>
        <v/>
      </c>
      <c r="Z348" s="208"/>
      <c r="AA348" s="27" t="str">
        <f t="shared" si="72"/>
        <v/>
      </c>
      <c r="AB348" s="208"/>
      <c r="AC348" s="27" t="str">
        <f t="shared" si="73"/>
        <v/>
      </c>
      <c r="AD348" s="208"/>
      <c r="AE348" s="27" t="str">
        <f t="shared" si="74"/>
        <v/>
      </c>
      <c r="AF348" s="48" t="str">
        <f t="shared" si="75"/>
        <v/>
      </c>
      <c r="AG348" s="48" t="str">
        <f t="shared" si="76"/>
        <v/>
      </c>
      <c r="AH348" s="209"/>
      <c r="AI348" s="210" t="str">
        <f t="shared" si="77"/>
        <v>Débil</v>
      </c>
      <c r="AJ348" s="21" t="str">
        <f>IFERROR(VLOOKUP((CONCATENATE(AG348,AI348)),Listados!$U$3:$V$11,2,FALSE),"")</f>
        <v/>
      </c>
      <c r="AK348" s="48">
        <f t="shared" si="78"/>
        <v>100</v>
      </c>
      <c r="AL348" s="356"/>
      <c r="AM348" s="357"/>
      <c r="AN348" s="173">
        <f>+IF(AND(Q348="Preventivo",AM343="Fuerte"),2,IF(AND(Q348="Preventivo",AM343="Moderado"),1,0))</f>
        <v>0</v>
      </c>
      <c r="AO348" s="173">
        <f t="shared" si="79"/>
        <v>0</v>
      </c>
      <c r="AP348" s="173" t="e">
        <f>+K343-AN348</f>
        <v>#N/A</v>
      </c>
      <c r="AQ348" s="173" t="e">
        <f>+M343-AO348</f>
        <v>#N/A</v>
      </c>
      <c r="AR348" s="347"/>
      <c r="AS348" s="347"/>
      <c r="AT348" s="347"/>
      <c r="AU348" s="347"/>
      <c r="AV348" s="311"/>
      <c r="AW348" s="312"/>
      <c r="AX348" s="313"/>
      <c r="AY348" s="311"/>
      <c r="AZ348" s="312"/>
      <c r="BA348" s="313"/>
      <c r="BB348" s="311"/>
      <c r="BC348" s="312"/>
      <c r="BD348" s="313"/>
    </row>
    <row r="349" spans="1:56" ht="15.75" thickBot="1">
      <c r="A349" s="328">
        <v>58</v>
      </c>
      <c r="B349" s="373"/>
      <c r="C349" s="371" t="str">
        <f>IFERROR(VLOOKUP(B349,Listados!B$3:C$20,2,FALSE),"")</f>
        <v/>
      </c>
      <c r="D349" s="372"/>
      <c r="E349" s="107"/>
      <c r="F349" s="107"/>
      <c r="G349" s="100"/>
      <c r="H349" s="103"/>
      <c r="I349" s="17"/>
      <c r="J349" s="369"/>
      <c r="K349" s="348" t="e">
        <f>+VLOOKUP(J349,Listados!$K$8:$L$12,2,0)</f>
        <v>#N/A</v>
      </c>
      <c r="L349" s="351"/>
      <c r="M349" s="348" t="e">
        <f>+VLOOKUP(L349,Listados!$K$13:$L$17,2,0)</f>
        <v>#N/A</v>
      </c>
      <c r="N349" s="347" t="str">
        <f>IF(AND(J349&lt;&gt;"",L349&lt;&gt;""),VLOOKUP(J349&amp;L349,Listados!$M$3:$N$27,2,FALSE),"")</f>
        <v/>
      </c>
      <c r="O349" s="47" t="s">
        <v>627</v>
      </c>
      <c r="P349" s="215"/>
      <c r="Q349" s="215"/>
      <c r="R349" s="215"/>
      <c r="S349" s="27" t="str">
        <f t="shared" si="68"/>
        <v/>
      </c>
      <c r="T349" s="215"/>
      <c r="U349" s="27" t="str">
        <f t="shared" si="69"/>
        <v/>
      </c>
      <c r="V349" s="208"/>
      <c r="W349" s="27" t="str">
        <f t="shared" si="70"/>
        <v/>
      </c>
      <c r="X349" s="208"/>
      <c r="Y349" s="27" t="str">
        <f t="shared" si="71"/>
        <v/>
      </c>
      <c r="Z349" s="208"/>
      <c r="AA349" s="27" t="str">
        <f t="shared" si="72"/>
        <v/>
      </c>
      <c r="AB349" s="208"/>
      <c r="AC349" s="27" t="str">
        <f t="shared" si="73"/>
        <v/>
      </c>
      <c r="AD349" s="208"/>
      <c r="AE349" s="27" t="str">
        <f t="shared" si="74"/>
        <v/>
      </c>
      <c r="AF349" s="48" t="str">
        <f t="shared" si="75"/>
        <v/>
      </c>
      <c r="AG349" s="48" t="str">
        <f t="shared" si="76"/>
        <v/>
      </c>
      <c r="AH349" s="209"/>
      <c r="AI349" s="210" t="str">
        <f t="shared" si="77"/>
        <v>Débil</v>
      </c>
      <c r="AJ349" s="21" t="str">
        <f>IFERROR(VLOOKUP((CONCATENATE(AG349,AI349)),Listados!$U$3:$V$11,2,FALSE),"")</f>
        <v/>
      </c>
      <c r="AK349" s="48">
        <f t="shared" si="78"/>
        <v>100</v>
      </c>
      <c r="AL349" s="354">
        <f>AVERAGE(AK349:AK354)</f>
        <v>100</v>
      </c>
      <c r="AM349" s="356" t="str">
        <f>IF(AL349&lt;=50, "Débil", IF(AL349&lt;=99,"Moderado","Fuerte"))</f>
        <v>Fuerte</v>
      </c>
      <c r="AN349" s="173">
        <f>+IF(AND(Q349="Preventivo",AM349="Fuerte"),2,IF(AND(Q349="Preventivo",AM349="Moderado"),1,0))</f>
        <v>0</v>
      </c>
      <c r="AO349" s="173">
        <f t="shared" si="79"/>
        <v>0</v>
      </c>
      <c r="AP349" s="173" t="e">
        <f>+K349-AN349</f>
        <v>#N/A</v>
      </c>
      <c r="AQ349" s="173" t="e">
        <f>+M349-AO349</f>
        <v>#N/A</v>
      </c>
      <c r="AR349" s="345" t="e">
        <f>+VLOOKUP(MIN(AP349,AP350,AP351,AP352,AP353,AP354),Listados!$J$18:$K$24,2,TRUE)</f>
        <v>#N/A</v>
      </c>
      <c r="AS349" s="345" t="e">
        <f>+VLOOKUP(MIN(AQ349,AQ350,AQ351,AQ352,AQ353,AQ354),Listados!$J$27:$K$32,2,TRUE)</f>
        <v>#N/A</v>
      </c>
      <c r="AT349" s="345" t="e">
        <f>IF(AND(AR349&lt;&gt;"",AS349&lt;&gt;""),VLOOKUP(AR349&amp;AS349,Listados!$M$3:$N$27,2,FALSE),"")</f>
        <v>#N/A</v>
      </c>
      <c r="AU349" s="345" t="e">
        <f>+VLOOKUP(AT349,Listados!$P$3:$Q$6,2,FALSE)</f>
        <v>#N/A</v>
      </c>
      <c r="AV349" s="311"/>
      <c r="AW349" s="312"/>
      <c r="AX349" s="313"/>
      <c r="AY349" s="311"/>
      <c r="AZ349" s="312"/>
      <c r="BA349" s="313"/>
      <c r="BB349" s="311"/>
      <c r="BC349" s="312"/>
      <c r="BD349" s="313"/>
    </row>
    <row r="350" spans="1:56" ht="15.75" thickBot="1">
      <c r="A350" s="329"/>
      <c r="B350" s="363"/>
      <c r="C350" s="364"/>
      <c r="D350" s="367"/>
      <c r="E350" s="233"/>
      <c r="F350" s="233"/>
      <c r="G350" s="237"/>
      <c r="H350" s="236"/>
      <c r="I350" s="222"/>
      <c r="J350" s="370"/>
      <c r="K350" s="349"/>
      <c r="L350" s="352"/>
      <c r="M350" s="349"/>
      <c r="N350" s="353"/>
      <c r="O350" s="47" t="s">
        <v>627</v>
      </c>
      <c r="P350" s="215"/>
      <c r="Q350" s="215"/>
      <c r="R350" s="215"/>
      <c r="S350" s="27" t="str">
        <f t="shared" si="68"/>
        <v/>
      </c>
      <c r="T350" s="215"/>
      <c r="U350" s="27" t="str">
        <f t="shared" si="69"/>
        <v/>
      </c>
      <c r="V350" s="208"/>
      <c r="W350" s="27" t="str">
        <f t="shared" si="70"/>
        <v/>
      </c>
      <c r="X350" s="208"/>
      <c r="Y350" s="27" t="str">
        <f t="shared" si="71"/>
        <v/>
      </c>
      <c r="Z350" s="208"/>
      <c r="AA350" s="27" t="str">
        <f t="shared" si="72"/>
        <v/>
      </c>
      <c r="AB350" s="208"/>
      <c r="AC350" s="27" t="str">
        <f t="shared" si="73"/>
        <v/>
      </c>
      <c r="AD350" s="208"/>
      <c r="AE350" s="27" t="str">
        <f t="shared" si="74"/>
        <v/>
      </c>
      <c r="AF350" s="48" t="str">
        <f t="shared" si="75"/>
        <v/>
      </c>
      <c r="AG350" s="48" t="str">
        <f t="shared" si="76"/>
        <v/>
      </c>
      <c r="AH350" s="209"/>
      <c r="AI350" s="210" t="str">
        <f t="shared" si="77"/>
        <v>Débil</v>
      </c>
      <c r="AJ350" s="21" t="str">
        <f>IFERROR(VLOOKUP((CONCATENATE(AG350,AI350)),Listados!$U$3:$V$11,2,FALSE),"")</f>
        <v/>
      </c>
      <c r="AK350" s="48">
        <f t="shared" si="78"/>
        <v>100</v>
      </c>
      <c r="AL350" s="355"/>
      <c r="AM350" s="357"/>
      <c r="AN350" s="173">
        <f>+IF(AND(Q350="Preventivo",AM349="Fuerte"),2,IF(AND(Q350="Preventivo",AM349="Moderado"),1,0))</f>
        <v>0</v>
      </c>
      <c r="AO350" s="173">
        <f t="shared" si="79"/>
        <v>0</v>
      </c>
      <c r="AP350" s="173" t="e">
        <f>+K349-AN350</f>
        <v>#N/A</v>
      </c>
      <c r="AQ350" s="173" t="e">
        <f>+M349-AO350</f>
        <v>#N/A</v>
      </c>
      <c r="AR350" s="346"/>
      <c r="AS350" s="346"/>
      <c r="AT350" s="346"/>
      <c r="AU350" s="346"/>
      <c r="AV350" s="311"/>
      <c r="AW350" s="312"/>
      <c r="AX350" s="313"/>
      <c r="AY350" s="311"/>
      <c r="AZ350" s="312"/>
      <c r="BA350" s="313"/>
      <c r="BB350" s="311"/>
      <c r="BC350" s="312"/>
      <c r="BD350" s="313"/>
    </row>
    <row r="351" spans="1:56" ht="15.75" thickBot="1">
      <c r="A351" s="329"/>
      <c r="B351" s="363"/>
      <c r="C351" s="364"/>
      <c r="D351" s="367"/>
      <c r="E351" s="233"/>
      <c r="F351" s="233"/>
      <c r="G351" s="237"/>
      <c r="H351" s="236"/>
      <c r="I351" s="222"/>
      <c r="J351" s="370"/>
      <c r="K351" s="349"/>
      <c r="L351" s="352"/>
      <c r="M351" s="349"/>
      <c r="N351" s="353"/>
      <c r="O351" s="47" t="s">
        <v>627</v>
      </c>
      <c r="P351" s="215"/>
      <c r="Q351" s="215"/>
      <c r="R351" s="215"/>
      <c r="S351" s="27" t="str">
        <f t="shared" si="68"/>
        <v/>
      </c>
      <c r="T351" s="215"/>
      <c r="U351" s="27" t="str">
        <f t="shared" si="69"/>
        <v/>
      </c>
      <c r="V351" s="208"/>
      <c r="W351" s="27" t="str">
        <f t="shared" si="70"/>
        <v/>
      </c>
      <c r="X351" s="208"/>
      <c r="Y351" s="27" t="str">
        <f t="shared" si="71"/>
        <v/>
      </c>
      <c r="Z351" s="208"/>
      <c r="AA351" s="27" t="str">
        <f t="shared" si="72"/>
        <v/>
      </c>
      <c r="AB351" s="208"/>
      <c r="AC351" s="27" t="str">
        <f t="shared" si="73"/>
        <v/>
      </c>
      <c r="AD351" s="208"/>
      <c r="AE351" s="27" t="str">
        <f t="shared" si="74"/>
        <v/>
      </c>
      <c r="AF351" s="48" t="str">
        <f t="shared" si="75"/>
        <v/>
      </c>
      <c r="AG351" s="48" t="str">
        <f t="shared" si="76"/>
        <v/>
      </c>
      <c r="AH351" s="209"/>
      <c r="AI351" s="210" t="str">
        <f t="shared" si="77"/>
        <v>Débil</v>
      </c>
      <c r="AJ351" s="21" t="str">
        <f>IFERROR(VLOOKUP((CONCATENATE(AG351,AI351)),Listados!$U$3:$V$11,2,FALSE),"")</f>
        <v/>
      </c>
      <c r="AK351" s="48">
        <f t="shared" si="78"/>
        <v>100</v>
      </c>
      <c r="AL351" s="355"/>
      <c r="AM351" s="357"/>
      <c r="AN351" s="173">
        <f>+IF(AND(Q351="Preventivo",AM349="Fuerte"),2,IF(AND(Q351="Preventivo",AM349="Moderado"),1,0))</f>
        <v>0</v>
      </c>
      <c r="AO351" s="173">
        <f t="shared" si="79"/>
        <v>0</v>
      </c>
      <c r="AP351" s="173" t="e">
        <f>+K349-AN351</f>
        <v>#N/A</v>
      </c>
      <c r="AQ351" s="173" t="e">
        <f>+M349-AO351</f>
        <v>#N/A</v>
      </c>
      <c r="AR351" s="346"/>
      <c r="AS351" s="346"/>
      <c r="AT351" s="346"/>
      <c r="AU351" s="346"/>
      <c r="AV351" s="311"/>
      <c r="AW351" s="312"/>
      <c r="AX351" s="313"/>
      <c r="AY351" s="311"/>
      <c r="AZ351" s="312"/>
      <c r="BA351" s="313"/>
      <c r="BB351" s="311"/>
      <c r="BC351" s="312"/>
      <c r="BD351" s="313"/>
    </row>
    <row r="352" spans="1:56" ht="15.75" thickBot="1">
      <c r="A352" s="329"/>
      <c r="B352" s="363"/>
      <c r="C352" s="364"/>
      <c r="D352" s="367"/>
      <c r="E352" s="233"/>
      <c r="F352" s="233"/>
      <c r="G352" s="235"/>
      <c r="H352" s="236"/>
      <c r="I352" s="222"/>
      <c r="J352" s="370"/>
      <c r="K352" s="349"/>
      <c r="L352" s="352"/>
      <c r="M352" s="349"/>
      <c r="N352" s="353"/>
      <c r="O352" s="47" t="s">
        <v>627</v>
      </c>
      <c r="P352" s="215"/>
      <c r="Q352" s="215"/>
      <c r="R352" s="215"/>
      <c r="S352" s="27" t="str">
        <f t="shared" si="68"/>
        <v/>
      </c>
      <c r="T352" s="215"/>
      <c r="U352" s="27" t="str">
        <f t="shared" si="69"/>
        <v/>
      </c>
      <c r="V352" s="208"/>
      <c r="W352" s="27" t="str">
        <f t="shared" si="70"/>
        <v/>
      </c>
      <c r="X352" s="208"/>
      <c r="Y352" s="27" t="str">
        <f t="shared" si="71"/>
        <v/>
      </c>
      <c r="Z352" s="208"/>
      <c r="AA352" s="27" t="str">
        <f t="shared" si="72"/>
        <v/>
      </c>
      <c r="AB352" s="208"/>
      <c r="AC352" s="27" t="str">
        <f t="shared" si="73"/>
        <v/>
      </c>
      <c r="AD352" s="208"/>
      <c r="AE352" s="27" t="str">
        <f t="shared" si="74"/>
        <v/>
      </c>
      <c r="AF352" s="48" t="str">
        <f t="shared" si="75"/>
        <v/>
      </c>
      <c r="AG352" s="48" t="str">
        <f t="shared" si="76"/>
        <v/>
      </c>
      <c r="AH352" s="209"/>
      <c r="AI352" s="210" t="str">
        <f t="shared" si="77"/>
        <v>Débil</v>
      </c>
      <c r="AJ352" s="21" t="str">
        <f>IFERROR(VLOOKUP((CONCATENATE(AG352,AI352)),Listados!$U$3:$V$11,2,FALSE),"")</f>
        <v/>
      </c>
      <c r="AK352" s="48">
        <f t="shared" si="78"/>
        <v>100</v>
      </c>
      <c r="AL352" s="355"/>
      <c r="AM352" s="357"/>
      <c r="AN352" s="173">
        <f>+IF(AND(Q352="Preventivo",AM349="Fuerte"),2,IF(AND(Q352="Preventivo",AM349="Moderado"),1,0))</f>
        <v>0</v>
      </c>
      <c r="AO352" s="173">
        <f t="shared" si="79"/>
        <v>0</v>
      </c>
      <c r="AP352" s="173" t="e">
        <f>+K349-AN352</f>
        <v>#N/A</v>
      </c>
      <c r="AQ352" s="173" t="e">
        <f>+M349-AO352</f>
        <v>#N/A</v>
      </c>
      <c r="AR352" s="346"/>
      <c r="AS352" s="346"/>
      <c r="AT352" s="346"/>
      <c r="AU352" s="346"/>
      <c r="AV352" s="311"/>
      <c r="AW352" s="312"/>
      <c r="AX352" s="313"/>
      <c r="AY352" s="311"/>
      <c r="AZ352" s="312"/>
      <c r="BA352" s="313"/>
      <c r="BB352" s="311"/>
      <c r="BC352" s="312"/>
      <c r="BD352" s="313"/>
    </row>
    <row r="353" spans="1:56" ht="15.75" thickBot="1">
      <c r="A353" s="329"/>
      <c r="B353" s="363"/>
      <c r="C353" s="364"/>
      <c r="D353" s="367"/>
      <c r="E353" s="109"/>
      <c r="F353" s="109"/>
      <c r="G353" s="28"/>
      <c r="H353" s="29"/>
      <c r="I353" s="222"/>
      <c r="J353" s="370"/>
      <c r="K353" s="349"/>
      <c r="L353" s="352"/>
      <c r="M353" s="349"/>
      <c r="N353" s="353"/>
      <c r="O353" s="47" t="s">
        <v>627</v>
      </c>
      <c r="P353" s="215"/>
      <c r="Q353" s="215"/>
      <c r="R353" s="215"/>
      <c r="S353" s="27" t="str">
        <f t="shared" si="68"/>
        <v/>
      </c>
      <c r="T353" s="215"/>
      <c r="U353" s="27" t="str">
        <f t="shared" si="69"/>
        <v/>
      </c>
      <c r="V353" s="208"/>
      <c r="W353" s="27" t="str">
        <f t="shared" si="70"/>
        <v/>
      </c>
      <c r="X353" s="208"/>
      <c r="Y353" s="27" t="str">
        <f t="shared" si="71"/>
        <v/>
      </c>
      <c r="Z353" s="208"/>
      <c r="AA353" s="27" t="str">
        <f t="shared" si="72"/>
        <v/>
      </c>
      <c r="AB353" s="208"/>
      <c r="AC353" s="27" t="str">
        <f t="shared" si="73"/>
        <v/>
      </c>
      <c r="AD353" s="208"/>
      <c r="AE353" s="27" t="str">
        <f t="shared" si="74"/>
        <v/>
      </c>
      <c r="AF353" s="48" t="str">
        <f t="shared" si="75"/>
        <v/>
      </c>
      <c r="AG353" s="48" t="str">
        <f t="shared" si="76"/>
        <v/>
      </c>
      <c r="AH353" s="209"/>
      <c r="AI353" s="210" t="str">
        <f t="shared" si="77"/>
        <v>Débil</v>
      </c>
      <c r="AJ353" s="21" t="str">
        <f>IFERROR(VLOOKUP((CONCATENATE(AG353,AI353)),Listados!$U$3:$V$11,2,FALSE),"")</f>
        <v/>
      </c>
      <c r="AK353" s="48">
        <f t="shared" si="78"/>
        <v>100</v>
      </c>
      <c r="AL353" s="355"/>
      <c r="AM353" s="357"/>
      <c r="AN353" s="173">
        <f>+IF(AND(Q353="Preventivo",AM349="Fuerte"),2,IF(AND(Q353="Preventivo",AM349="Moderado"),1,0))</f>
        <v>0</v>
      </c>
      <c r="AO353" s="173">
        <f t="shared" si="79"/>
        <v>0</v>
      </c>
      <c r="AP353" s="173" t="e">
        <f>+K349-AN353</f>
        <v>#N/A</v>
      </c>
      <c r="AQ353" s="173" t="e">
        <f>+M349-AO353</f>
        <v>#N/A</v>
      </c>
      <c r="AR353" s="346"/>
      <c r="AS353" s="346"/>
      <c r="AT353" s="346"/>
      <c r="AU353" s="346"/>
      <c r="AV353" s="311"/>
      <c r="AW353" s="312"/>
      <c r="AX353" s="313"/>
      <c r="AY353" s="311"/>
      <c r="AZ353" s="312"/>
      <c r="BA353" s="313"/>
      <c r="BB353" s="311"/>
      <c r="BC353" s="312"/>
      <c r="BD353" s="313"/>
    </row>
    <row r="354" spans="1:56" ht="15.75" thickBot="1">
      <c r="A354" s="330"/>
      <c r="B354" s="363"/>
      <c r="C354" s="365"/>
      <c r="D354" s="368"/>
      <c r="E354" s="106"/>
      <c r="F354" s="106"/>
      <c r="G354" s="30"/>
      <c r="H354" s="31"/>
      <c r="I354" s="222"/>
      <c r="J354" s="370"/>
      <c r="K354" s="350"/>
      <c r="L354" s="352"/>
      <c r="M354" s="350"/>
      <c r="N354" s="353"/>
      <c r="O354" s="47" t="s">
        <v>627</v>
      </c>
      <c r="P354" s="215"/>
      <c r="Q354" s="215"/>
      <c r="R354" s="215"/>
      <c r="S354" s="27" t="str">
        <f t="shared" si="68"/>
        <v/>
      </c>
      <c r="T354" s="215"/>
      <c r="U354" s="27" t="str">
        <f t="shared" si="69"/>
        <v/>
      </c>
      <c r="V354" s="208"/>
      <c r="W354" s="27" t="str">
        <f t="shared" si="70"/>
        <v/>
      </c>
      <c r="X354" s="208"/>
      <c r="Y354" s="27" t="str">
        <f t="shared" si="71"/>
        <v/>
      </c>
      <c r="Z354" s="208"/>
      <c r="AA354" s="27" t="str">
        <f t="shared" si="72"/>
        <v/>
      </c>
      <c r="AB354" s="208"/>
      <c r="AC354" s="27" t="str">
        <f t="shared" si="73"/>
        <v/>
      </c>
      <c r="AD354" s="208"/>
      <c r="AE354" s="27" t="str">
        <f t="shared" si="74"/>
        <v/>
      </c>
      <c r="AF354" s="48" t="str">
        <f t="shared" si="75"/>
        <v/>
      </c>
      <c r="AG354" s="48" t="str">
        <f t="shared" si="76"/>
        <v/>
      </c>
      <c r="AH354" s="209"/>
      <c r="AI354" s="210" t="str">
        <f t="shared" si="77"/>
        <v>Débil</v>
      </c>
      <c r="AJ354" s="21" t="str">
        <f>IFERROR(VLOOKUP((CONCATENATE(AG354,AI354)),Listados!$U$3:$V$11,2,FALSE),"")</f>
        <v/>
      </c>
      <c r="AK354" s="48">
        <f t="shared" si="78"/>
        <v>100</v>
      </c>
      <c r="AL354" s="356"/>
      <c r="AM354" s="357"/>
      <c r="AN354" s="173">
        <f>+IF(AND(Q354="Preventivo",AM349="Fuerte"),2,IF(AND(Q354="Preventivo",AM349="Moderado"),1,0))</f>
        <v>0</v>
      </c>
      <c r="AO354" s="173">
        <f t="shared" si="79"/>
        <v>0</v>
      </c>
      <c r="AP354" s="173" t="e">
        <f>+K349-AN354</f>
        <v>#N/A</v>
      </c>
      <c r="AQ354" s="173" t="e">
        <f>+M349-AO354</f>
        <v>#N/A</v>
      </c>
      <c r="AR354" s="347"/>
      <c r="AS354" s="347"/>
      <c r="AT354" s="347"/>
      <c r="AU354" s="347"/>
      <c r="AV354" s="311"/>
      <c r="AW354" s="312"/>
      <c r="AX354" s="313"/>
      <c r="AY354" s="311"/>
      <c r="AZ354" s="312"/>
      <c r="BA354" s="313"/>
      <c r="BB354" s="311"/>
      <c r="BC354" s="312"/>
      <c r="BD354" s="313"/>
    </row>
    <row r="355" spans="1:56" ht="15.75" thickBot="1">
      <c r="A355" s="328">
        <v>59</v>
      </c>
      <c r="B355" s="373"/>
      <c r="C355" s="371" t="str">
        <f>IFERROR(VLOOKUP(B355,Listados!B$3:C$20,2,FALSE),"")</f>
        <v/>
      </c>
      <c r="D355" s="372"/>
      <c r="E355" s="107"/>
      <c r="F355" s="107"/>
      <c r="G355" s="100"/>
      <c r="H355" s="103"/>
      <c r="I355" s="17"/>
      <c r="J355" s="369"/>
      <c r="K355" s="348" t="e">
        <f>+VLOOKUP(J355,Listados!$K$8:$L$12,2,0)</f>
        <v>#N/A</v>
      </c>
      <c r="L355" s="351"/>
      <c r="M355" s="348" t="e">
        <f>+VLOOKUP(L355,Listados!$K$13:$L$17,2,0)</f>
        <v>#N/A</v>
      </c>
      <c r="N355" s="347" t="str">
        <f>IF(AND(J355&lt;&gt;"",L355&lt;&gt;""),VLOOKUP(J355&amp;L355,Listados!$M$3:$N$27,2,FALSE),"")</f>
        <v/>
      </c>
      <c r="O355" s="47" t="s">
        <v>627</v>
      </c>
      <c r="P355" s="215"/>
      <c r="Q355" s="215"/>
      <c r="R355" s="215"/>
      <c r="S355" s="27" t="str">
        <f t="shared" si="68"/>
        <v/>
      </c>
      <c r="T355" s="215"/>
      <c r="U355" s="27" t="str">
        <f t="shared" si="69"/>
        <v/>
      </c>
      <c r="V355" s="208"/>
      <c r="W355" s="27" t="str">
        <f t="shared" si="70"/>
        <v/>
      </c>
      <c r="X355" s="208"/>
      <c r="Y355" s="27" t="str">
        <f t="shared" si="71"/>
        <v/>
      </c>
      <c r="Z355" s="208"/>
      <c r="AA355" s="27" t="str">
        <f t="shared" si="72"/>
        <v/>
      </c>
      <c r="AB355" s="208"/>
      <c r="AC355" s="27" t="str">
        <f t="shared" si="73"/>
        <v/>
      </c>
      <c r="AD355" s="208"/>
      <c r="AE355" s="27" t="str">
        <f t="shared" si="74"/>
        <v/>
      </c>
      <c r="AF355" s="48" t="str">
        <f t="shared" si="75"/>
        <v/>
      </c>
      <c r="AG355" s="48" t="str">
        <f t="shared" si="76"/>
        <v/>
      </c>
      <c r="AH355" s="209"/>
      <c r="AI355" s="210" t="str">
        <f t="shared" si="77"/>
        <v>Débil</v>
      </c>
      <c r="AJ355" s="21" t="str">
        <f>IFERROR(VLOOKUP((CONCATENATE(AG355,AI355)),Listados!$U$3:$V$11,2,FALSE),"")</f>
        <v/>
      </c>
      <c r="AK355" s="48">
        <f t="shared" si="78"/>
        <v>100</v>
      </c>
      <c r="AL355" s="354">
        <f>AVERAGE(AK355:AK360)</f>
        <v>100</v>
      </c>
      <c r="AM355" s="356" t="str">
        <f>IF(AL355&lt;=50, "Débil", IF(AL355&lt;=99,"Moderado","Fuerte"))</f>
        <v>Fuerte</v>
      </c>
      <c r="AN355" s="173">
        <f>+IF(AND(Q355="Preventivo",AM355="Fuerte"),2,IF(AND(Q355="Preventivo",AM355="Moderado"),1,0))</f>
        <v>0</v>
      </c>
      <c r="AO355" s="173">
        <f t="shared" si="79"/>
        <v>0</v>
      </c>
      <c r="AP355" s="173" t="e">
        <f>+K355-AN355</f>
        <v>#N/A</v>
      </c>
      <c r="AQ355" s="173" t="e">
        <f>+M355-AO355</f>
        <v>#N/A</v>
      </c>
      <c r="AR355" s="345" t="e">
        <f>+VLOOKUP(MIN(AP355,AP356,AP357,AP358,AP359,AP360),Listados!$J$18:$K$24,2,TRUE)</f>
        <v>#N/A</v>
      </c>
      <c r="AS355" s="345" t="e">
        <f>+VLOOKUP(MIN(AQ355,AQ356,AQ357,AQ358,AQ359,AQ360),Listados!$J$27:$K$32,2,TRUE)</f>
        <v>#N/A</v>
      </c>
      <c r="AT355" s="345" t="e">
        <f>IF(AND(AR355&lt;&gt;"",AS355&lt;&gt;""),VLOOKUP(AR355&amp;AS355,Listados!$M$3:$N$27,2,FALSE),"")</f>
        <v>#N/A</v>
      </c>
      <c r="AU355" s="345" t="e">
        <f>+VLOOKUP(AT355,Listados!$P$3:$Q$6,2,FALSE)</f>
        <v>#N/A</v>
      </c>
      <c r="AV355" s="311"/>
      <c r="AW355" s="312"/>
      <c r="AX355" s="313"/>
      <c r="AY355" s="311"/>
      <c r="AZ355" s="312"/>
      <c r="BA355" s="313"/>
      <c r="BB355" s="311"/>
      <c r="BC355" s="312"/>
      <c r="BD355" s="313"/>
    </row>
    <row r="356" spans="1:56" ht="15.75" thickBot="1">
      <c r="A356" s="329"/>
      <c r="B356" s="363"/>
      <c r="C356" s="364"/>
      <c r="D356" s="367"/>
      <c r="E356" s="233"/>
      <c r="F356" s="233"/>
      <c r="G356" s="237"/>
      <c r="H356" s="236"/>
      <c r="I356" s="222"/>
      <c r="J356" s="370"/>
      <c r="K356" s="349"/>
      <c r="L356" s="352"/>
      <c r="M356" s="349"/>
      <c r="N356" s="353"/>
      <c r="O356" s="47" t="s">
        <v>627</v>
      </c>
      <c r="P356" s="215"/>
      <c r="Q356" s="215"/>
      <c r="R356" s="215"/>
      <c r="S356" s="27" t="str">
        <f t="shared" si="68"/>
        <v/>
      </c>
      <c r="T356" s="215"/>
      <c r="U356" s="27" t="str">
        <f t="shared" si="69"/>
        <v/>
      </c>
      <c r="V356" s="208"/>
      <c r="W356" s="27" t="str">
        <f t="shared" si="70"/>
        <v/>
      </c>
      <c r="X356" s="208"/>
      <c r="Y356" s="27" t="str">
        <f t="shared" si="71"/>
        <v/>
      </c>
      <c r="Z356" s="208"/>
      <c r="AA356" s="27" t="str">
        <f t="shared" si="72"/>
        <v/>
      </c>
      <c r="AB356" s="208"/>
      <c r="AC356" s="27" t="str">
        <f t="shared" si="73"/>
        <v/>
      </c>
      <c r="AD356" s="208"/>
      <c r="AE356" s="27" t="str">
        <f t="shared" si="74"/>
        <v/>
      </c>
      <c r="AF356" s="48" t="str">
        <f t="shared" si="75"/>
        <v/>
      </c>
      <c r="AG356" s="48" t="str">
        <f t="shared" si="76"/>
        <v/>
      </c>
      <c r="AH356" s="209"/>
      <c r="AI356" s="210" t="str">
        <f t="shared" si="77"/>
        <v>Débil</v>
      </c>
      <c r="AJ356" s="21" t="str">
        <f>IFERROR(VLOOKUP((CONCATENATE(AG356,AI356)),Listados!$U$3:$V$11,2,FALSE),"")</f>
        <v/>
      </c>
      <c r="AK356" s="48">
        <f t="shared" si="78"/>
        <v>100</v>
      </c>
      <c r="AL356" s="355"/>
      <c r="AM356" s="357"/>
      <c r="AN356" s="173">
        <f>+IF(AND(Q356="Preventivo",AM355="Fuerte"),2,IF(AND(Q356="Preventivo",AM355="Moderado"),1,0))</f>
        <v>0</v>
      </c>
      <c r="AO356" s="173">
        <f t="shared" si="79"/>
        <v>0</v>
      </c>
      <c r="AP356" s="173" t="e">
        <f>+K355-AN356</f>
        <v>#N/A</v>
      </c>
      <c r="AQ356" s="173" t="e">
        <f>+M355-AO356</f>
        <v>#N/A</v>
      </c>
      <c r="AR356" s="346"/>
      <c r="AS356" s="346"/>
      <c r="AT356" s="346"/>
      <c r="AU356" s="346"/>
      <c r="AV356" s="311"/>
      <c r="AW356" s="312"/>
      <c r="AX356" s="313"/>
      <c r="AY356" s="311"/>
      <c r="AZ356" s="312"/>
      <c r="BA356" s="313"/>
      <c r="BB356" s="311"/>
      <c r="BC356" s="312"/>
      <c r="BD356" s="313"/>
    </row>
    <row r="357" spans="1:56" ht="15.75" thickBot="1">
      <c r="A357" s="329"/>
      <c r="B357" s="363"/>
      <c r="C357" s="364"/>
      <c r="D357" s="367"/>
      <c r="E357" s="233"/>
      <c r="F357" s="233"/>
      <c r="G357" s="237"/>
      <c r="H357" s="236"/>
      <c r="I357" s="222"/>
      <c r="J357" s="370"/>
      <c r="K357" s="349"/>
      <c r="L357" s="352"/>
      <c r="M357" s="349"/>
      <c r="N357" s="353"/>
      <c r="O357" s="47" t="s">
        <v>627</v>
      </c>
      <c r="P357" s="215"/>
      <c r="Q357" s="215"/>
      <c r="R357" s="215"/>
      <c r="S357" s="27" t="str">
        <f t="shared" si="68"/>
        <v/>
      </c>
      <c r="T357" s="215"/>
      <c r="U357" s="27" t="str">
        <f t="shared" si="69"/>
        <v/>
      </c>
      <c r="V357" s="208"/>
      <c r="W357" s="27" t="str">
        <f t="shared" si="70"/>
        <v/>
      </c>
      <c r="X357" s="208"/>
      <c r="Y357" s="27" t="str">
        <f t="shared" si="71"/>
        <v/>
      </c>
      <c r="Z357" s="208"/>
      <c r="AA357" s="27" t="str">
        <f t="shared" si="72"/>
        <v/>
      </c>
      <c r="AB357" s="208"/>
      <c r="AC357" s="27" t="str">
        <f t="shared" si="73"/>
        <v/>
      </c>
      <c r="AD357" s="208"/>
      <c r="AE357" s="27" t="str">
        <f t="shared" si="74"/>
        <v/>
      </c>
      <c r="AF357" s="48" t="str">
        <f t="shared" si="75"/>
        <v/>
      </c>
      <c r="AG357" s="48" t="str">
        <f t="shared" si="76"/>
        <v/>
      </c>
      <c r="AH357" s="209"/>
      <c r="AI357" s="210" t="str">
        <f t="shared" si="77"/>
        <v>Débil</v>
      </c>
      <c r="AJ357" s="21" t="str">
        <f>IFERROR(VLOOKUP((CONCATENATE(AG357,AI357)),Listados!$U$3:$V$11,2,FALSE),"")</f>
        <v/>
      </c>
      <c r="AK357" s="48">
        <f t="shared" si="78"/>
        <v>100</v>
      </c>
      <c r="AL357" s="355"/>
      <c r="AM357" s="357"/>
      <c r="AN357" s="173">
        <f>+IF(AND(Q357="Preventivo",AM355="Fuerte"),2,IF(AND(Q357="Preventivo",AM355="Moderado"),1,0))</f>
        <v>0</v>
      </c>
      <c r="AO357" s="173">
        <f t="shared" si="79"/>
        <v>0</v>
      </c>
      <c r="AP357" s="173" t="e">
        <f>+K355-AN357</f>
        <v>#N/A</v>
      </c>
      <c r="AQ357" s="173" t="e">
        <f>+M355-AO357</f>
        <v>#N/A</v>
      </c>
      <c r="AR357" s="346"/>
      <c r="AS357" s="346"/>
      <c r="AT357" s="346"/>
      <c r="AU357" s="346"/>
      <c r="AV357" s="311"/>
      <c r="AW357" s="312"/>
      <c r="AX357" s="313"/>
      <c r="AY357" s="311"/>
      <c r="AZ357" s="312"/>
      <c r="BA357" s="313"/>
      <c r="BB357" s="311"/>
      <c r="BC357" s="312"/>
      <c r="BD357" s="313"/>
    </row>
    <row r="358" spans="1:56" ht="15.75" thickBot="1">
      <c r="A358" s="329"/>
      <c r="B358" s="363"/>
      <c r="C358" s="364"/>
      <c r="D358" s="367"/>
      <c r="E358" s="233"/>
      <c r="F358" s="233"/>
      <c r="G358" s="235"/>
      <c r="H358" s="236"/>
      <c r="I358" s="222"/>
      <c r="J358" s="370"/>
      <c r="K358" s="349"/>
      <c r="L358" s="352"/>
      <c r="M358" s="349"/>
      <c r="N358" s="353"/>
      <c r="O358" s="47" t="s">
        <v>627</v>
      </c>
      <c r="P358" s="215"/>
      <c r="Q358" s="215"/>
      <c r="R358" s="215"/>
      <c r="S358" s="27" t="str">
        <f t="shared" si="68"/>
        <v/>
      </c>
      <c r="T358" s="215"/>
      <c r="U358" s="27" t="str">
        <f t="shared" si="69"/>
        <v/>
      </c>
      <c r="V358" s="208"/>
      <c r="W358" s="27" t="str">
        <f t="shared" si="70"/>
        <v/>
      </c>
      <c r="X358" s="208"/>
      <c r="Y358" s="27" t="str">
        <f t="shared" si="71"/>
        <v/>
      </c>
      <c r="Z358" s="208"/>
      <c r="AA358" s="27" t="str">
        <f t="shared" si="72"/>
        <v/>
      </c>
      <c r="AB358" s="208"/>
      <c r="AC358" s="27" t="str">
        <f t="shared" si="73"/>
        <v/>
      </c>
      <c r="AD358" s="208"/>
      <c r="AE358" s="27" t="str">
        <f t="shared" si="74"/>
        <v/>
      </c>
      <c r="AF358" s="48" t="str">
        <f t="shared" si="75"/>
        <v/>
      </c>
      <c r="AG358" s="48" t="str">
        <f t="shared" si="76"/>
        <v/>
      </c>
      <c r="AH358" s="209"/>
      <c r="AI358" s="210" t="str">
        <f t="shared" si="77"/>
        <v>Débil</v>
      </c>
      <c r="AJ358" s="21" t="str">
        <f>IFERROR(VLOOKUP((CONCATENATE(AG358,AI358)),Listados!$U$3:$V$11,2,FALSE),"")</f>
        <v/>
      </c>
      <c r="AK358" s="48">
        <f t="shared" si="78"/>
        <v>100</v>
      </c>
      <c r="AL358" s="355"/>
      <c r="AM358" s="357"/>
      <c r="AN358" s="173">
        <f>+IF(AND(Q358="Preventivo",AM355="Fuerte"),2,IF(AND(Q358="Preventivo",AM355="Moderado"),1,0))</f>
        <v>0</v>
      </c>
      <c r="AO358" s="173">
        <f t="shared" si="79"/>
        <v>0</v>
      </c>
      <c r="AP358" s="173" t="e">
        <f>+K355-AN358</f>
        <v>#N/A</v>
      </c>
      <c r="AQ358" s="173" t="e">
        <f>+M355-AO358</f>
        <v>#N/A</v>
      </c>
      <c r="AR358" s="346"/>
      <c r="AS358" s="346"/>
      <c r="AT358" s="346"/>
      <c r="AU358" s="346"/>
      <c r="AV358" s="311"/>
      <c r="AW358" s="312"/>
      <c r="AX358" s="313"/>
      <c r="AY358" s="311"/>
      <c r="AZ358" s="312"/>
      <c r="BA358" s="313"/>
      <c r="BB358" s="311"/>
      <c r="BC358" s="312"/>
      <c r="BD358" s="313"/>
    </row>
    <row r="359" spans="1:56" ht="15.75" thickBot="1">
      <c r="A359" s="329"/>
      <c r="B359" s="363"/>
      <c r="C359" s="364"/>
      <c r="D359" s="367"/>
      <c r="E359" s="109"/>
      <c r="F359" s="109"/>
      <c r="G359" s="28"/>
      <c r="H359" s="29"/>
      <c r="I359" s="222"/>
      <c r="J359" s="370"/>
      <c r="K359" s="349"/>
      <c r="L359" s="352"/>
      <c r="M359" s="349"/>
      <c r="N359" s="353"/>
      <c r="O359" s="47" t="s">
        <v>627</v>
      </c>
      <c r="P359" s="215"/>
      <c r="Q359" s="215"/>
      <c r="R359" s="215"/>
      <c r="S359" s="27" t="str">
        <f t="shared" si="68"/>
        <v/>
      </c>
      <c r="T359" s="215"/>
      <c r="U359" s="27" t="str">
        <f t="shared" si="69"/>
        <v/>
      </c>
      <c r="V359" s="208"/>
      <c r="W359" s="27" t="str">
        <f t="shared" si="70"/>
        <v/>
      </c>
      <c r="X359" s="208"/>
      <c r="Y359" s="27" t="str">
        <f t="shared" si="71"/>
        <v/>
      </c>
      <c r="Z359" s="208"/>
      <c r="AA359" s="27" t="str">
        <f t="shared" si="72"/>
        <v/>
      </c>
      <c r="AB359" s="208"/>
      <c r="AC359" s="27" t="str">
        <f t="shared" si="73"/>
        <v/>
      </c>
      <c r="AD359" s="208"/>
      <c r="AE359" s="27" t="str">
        <f t="shared" si="74"/>
        <v/>
      </c>
      <c r="AF359" s="48" t="str">
        <f t="shared" si="75"/>
        <v/>
      </c>
      <c r="AG359" s="48" t="str">
        <f t="shared" si="76"/>
        <v/>
      </c>
      <c r="AH359" s="209"/>
      <c r="AI359" s="210" t="str">
        <f t="shared" si="77"/>
        <v>Débil</v>
      </c>
      <c r="AJ359" s="21" t="str">
        <f>IFERROR(VLOOKUP((CONCATENATE(AG359,AI359)),Listados!$U$3:$V$11,2,FALSE),"")</f>
        <v/>
      </c>
      <c r="AK359" s="48">
        <f t="shared" si="78"/>
        <v>100</v>
      </c>
      <c r="AL359" s="355"/>
      <c r="AM359" s="357"/>
      <c r="AN359" s="173">
        <f>+IF(AND(Q359="Preventivo",AM355="Fuerte"),2,IF(AND(Q359="Preventivo",AM355="Moderado"),1,0))</f>
        <v>0</v>
      </c>
      <c r="AO359" s="173">
        <f t="shared" si="79"/>
        <v>0</v>
      </c>
      <c r="AP359" s="173" t="e">
        <f>+K355-AN359</f>
        <v>#N/A</v>
      </c>
      <c r="AQ359" s="173" t="e">
        <f>+M355-AO359</f>
        <v>#N/A</v>
      </c>
      <c r="AR359" s="346"/>
      <c r="AS359" s="346"/>
      <c r="AT359" s="346"/>
      <c r="AU359" s="346"/>
      <c r="AV359" s="311"/>
      <c r="AW359" s="312"/>
      <c r="AX359" s="313"/>
      <c r="AY359" s="311"/>
      <c r="AZ359" s="312"/>
      <c r="BA359" s="313"/>
      <c r="BB359" s="311"/>
      <c r="BC359" s="312"/>
      <c r="BD359" s="313"/>
    </row>
    <row r="360" spans="1:56" ht="15.75" thickBot="1">
      <c r="A360" s="330"/>
      <c r="B360" s="363"/>
      <c r="C360" s="365"/>
      <c r="D360" s="368"/>
      <c r="E360" s="106"/>
      <c r="F360" s="106"/>
      <c r="G360" s="30"/>
      <c r="H360" s="31"/>
      <c r="I360" s="222"/>
      <c r="J360" s="370"/>
      <c r="K360" s="350"/>
      <c r="L360" s="352"/>
      <c r="M360" s="350"/>
      <c r="N360" s="353"/>
      <c r="O360" s="47" t="s">
        <v>627</v>
      </c>
      <c r="P360" s="215"/>
      <c r="Q360" s="215"/>
      <c r="R360" s="215"/>
      <c r="S360" s="27" t="str">
        <f t="shared" si="68"/>
        <v/>
      </c>
      <c r="T360" s="215"/>
      <c r="U360" s="27" t="str">
        <f t="shared" si="69"/>
        <v/>
      </c>
      <c r="V360" s="208"/>
      <c r="W360" s="27" t="str">
        <f t="shared" si="70"/>
        <v/>
      </c>
      <c r="X360" s="208"/>
      <c r="Y360" s="27" t="str">
        <f t="shared" si="71"/>
        <v/>
      </c>
      <c r="Z360" s="208"/>
      <c r="AA360" s="27" t="str">
        <f t="shared" si="72"/>
        <v/>
      </c>
      <c r="AB360" s="208"/>
      <c r="AC360" s="27" t="str">
        <f t="shared" si="73"/>
        <v/>
      </c>
      <c r="AD360" s="208"/>
      <c r="AE360" s="27" t="str">
        <f t="shared" si="74"/>
        <v/>
      </c>
      <c r="AF360" s="48" t="str">
        <f t="shared" si="75"/>
        <v/>
      </c>
      <c r="AG360" s="48" t="str">
        <f t="shared" si="76"/>
        <v/>
      </c>
      <c r="AH360" s="209"/>
      <c r="AI360" s="210" t="str">
        <f t="shared" si="77"/>
        <v>Débil</v>
      </c>
      <c r="AJ360" s="21" t="str">
        <f>IFERROR(VLOOKUP((CONCATENATE(AG360,AI360)),Listados!$U$3:$V$11,2,FALSE),"")</f>
        <v/>
      </c>
      <c r="AK360" s="48">
        <f t="shared" si="78"/>
        <v>100</v>
      </c>
      <c r="AL360" s="356"/>
      <c r="AM360" s="357"/>
      <c r="AN360" s="173">
        <f>+IF(AND(Q360="Preventivo",AM355="Fuerte"),2,IF(AND(Q360="Preventivo",AM355="Moderado"),1,0))</f>
        <v>0</v>
      </c>
      <c r="AO360" s="173">
        <f t="shared" si="79"/>
        <v>0</v>
      </c>
      <c r="AP360" s="173" t="e">
        <f>+K355-AN360</f>
        <v>#N/A</v>
      </c>
      <c r="AQ360" s="173" t="e">
        <f>+M355-AO360</f>
        <v>#N/A</v>
      </c>
      <c r="AR360" s="347"/>
      <c r="AS360" s="347"/>
      <c r="AT360" s="347"/>
      <c r="AU360" s="347"/>
      <c r="AV360" s="311"/>
      <c r="AW360" s="312"/>
      <c r="AX360" s="313"/>
      <c r="AY360" s="311"/>
      <c r="AZ360" s="312"/>
      <c r="BA360" s="313"/>
      <c r="BB360" s="311"/>
      <c r="BC360" s="312"/>
      <c r="BD360" s="313"/>
    </row>
    <row r="361" spans="1:56" ht="15.75" thickBot="1">
      <c r="A361" s="328">
        <v>60</v>
      </c>
      <c r="B361" s="374"/>
      <c r="C361" s="371" t="str">
        <f>IFERROR(VLOOKUP(B361,Listados!B$3:C$20,2,FALSE),"")</f>
        <v/>
      </c>
      <c r="D361" s="372"/>
      <c r="E361" s="107"/>
      <c r="F361" s="107"/>
      <c r="G361" s="100"/>
      <c r="H361" s="103"/>
      <c r="I361" s="17"/>
      <c r="J361" s="369"/>
      <c r="K361" s="348" t="e">
        <f>+VLOOKUP(J361,Listados!$K$8:$L$12,2,0)</f>
        <v>#N/A</v>
      </c>
      <c r="L361" s="351"/>
      <c r="M361" s="348" t="e">
        <f>+VLOOKUP(L361,Listados!$K$13:$L$17,2,0)</f>
        <v>#N/A</v>
      </c>
      <c r="N361" s="347" t="str">
        <f>IF(AND(J361&lt;&gt;"",L361&lt;&gt;""),VLOOKUP(J361&amp;L361,Listados!$M$3:$N$27,2,FALSE),"")</f>
        <v/>
      </c>
      <c r="O361" s="47" t="s">
        <v>627</v>
      </c>
      <c r="P361" s="215"/>
      <c r="Q361" s="215"/>
      <c r="R361" s="215"/>
      <c r="S361" s="27" t="str">
        <f t="shared" si="68"/>
        <v/>
      </c>
      <c r="T361" s="215"/>
      <c r="U361" s="27" t="str">
        <f t="shared" si="69"/>
        <v/>
      </c>
      <c r="V361" s="208"/>
      <c r="W361" s="27" t="str">
        <f t="shared" si="70"/>
        <v/>
      </c>
      <c r="X361" s="208"/>
      <c r="Y361" s="27" t="str">
        <f t="shared" si="71"/>
        <v/>
      </c>
      <c r="Z361" s="208"/>
      <c r="AA361" s="27" t="str">
        <f t="shared" si="72"/>
        <v/>
      </c>
      <c r="AB361" s="208"/>
      <c r="AC361" s="27" t="str">
        <f t="shared" si="73"/>
        <v/>
      </c>
      <c r="AD361" s="208"/>
      <c r="AE361" s="27" t="str">
        <f t="shared" si="74"/>
        <v/>
      </c>
      <c r="AF361" s="48" t="str">
        <f t="shared" si="75"/>
        <v/>
      </c>
      <c r="AG361" s="48" t="str">
        <f t="shared" si="76"/>
        <v/>
      </c>
      <c r="AH361" s="209"/>
      <c r="AI361" s="210" t="str">
        <f t="shared" si="77"/>
        <v>Débil</v>
      </c>
      <c r="AJ361" s="21" t="str">
        <f>IFERROR(VLOOKUP((CONCATENATE(AG361,AI361)),Listados!$U$3:$V$11,2,FALSE),"")</f>
        <v/>
      </c>
      <c r="AK361" s="48">
        <f t="shared" si="78"/>
        <v>100</v>
      </c>
      <c r="AL361" s="354">
        <f>AVERAGE(AK361:AK366)</f>
        <v>100</v>
      </c>
      <c r="AM361" s="356" t="str">
        <f>IF(AL361&lt;=50, "Débil", IF(AL361&lt;=99,"Moderado","Fuerte"))</f>
        <v>Fuerte</v>
      </c>
      <c r="AN361" s="173">
        <f>+IF(AND(Q361="Preventivo",AM361="Fuerte"),2,IF(AND(Q361="Preventivo",AM361="Moderado"),1,0))</f>
        <v>0</v>
      </c>
      <c r="AO361" s="173">
        <f t="shared" si="79"/>
        <v>0</v>
      </c>
      <c r="AP361" s="173" t="e">
        <f>+K361-AN361</f>
        <v>#N/A</v>
      </c>
      <c r="AQ361" s="173" t="e">
        <f>+M361-AO361</f>
        <v>#N/A</v>
      </c>
      <c r="AR361" s="345" t="e">
        <f>+VLOOKUP(MIN(AP361,AP362,AP363,AP364,AP365,AP366),Listados!$J$18:$K$24,2,TRUE)</f>
        <v>#N/A</v>
      </c>
      <c r="AS361" s="345" t="e">
        <f>+VLOOKUP(MIN(AQ361,AQ362,AQ363,AQ364,AQ365,AQ366),Listados!$J$27:$K$32,2,TRUE)</f>
        <v>#N/A</v>
      </c>
      <c r="AT361" s="345" t="e">
        <f>IF(AND(AR361&lt;&gt;"",AS361&lt;&gt;""),VLOOKUP(AR361&amp;AS361,Listados!$M$3:$N$27,2,FALSE),"")</f>
        <v>#N/A</v>
      </c>
      <c r="AU361" s="345" t="e">
        <f>+VLOOKUP(AT361,Listados!$P$3:$Q$6,2,FALSE)</f>
        <v>#N/A</v>
      </c>
      <c r="AV361" s="311"/>
      <c r="AW361" s="312"/>
      <c r="AX361" s="313"/>
      <c r="AY361" s="311"/>
      <c r="AZ361" s="312"/>
      <c r="BA361" s="313"/>
      <c r="BB361" s="311"/>
      <c r="BC361" s="312"/>
      <c r="BD361" s="313"/>
    </row>
    <row r="362" spans="1:56" ht="15.75" thickBot="1">
      <c r="A362" s="329"/>
      <c r="B362" s="374"/>
      <c r="C362" s="364"/>
      <c r="D362" s="367"/>
      <c r="E362" s="233"/>
      <c r="F362" s="233"/>
      <c r="G362" s="237"/>
      <c r="H362" s="236"/>
      <c r="I362" s="222"/>
      <c r="J362" s="370"/>
      <c r="K362" s="349"/>
      <c r="L362" s="352"/>
      <c r="M362" s="349"/>
      <c r="N362" s="353"/>
      <c r="O362" s="47" t="s">
        <v>627</v>
      </c>
      <c r="P362" s="215"/>
      <c r="Q362" s="215"/>
      <c r="R362" s="215"/>
      <c r="S362" s="27" t="str">
        <f t="shared" si="68"/>
        <v/>
      </c>
      <c r="T362" s="215"/>
      <c r="U362" s="27" t="str">
        <f t="shared" si="69"/>
        <v/>
      </c>
      <c r="V362" s="208"/>
      <c r="W362" s="27" t="str">
        <f t="shared" si="70"/>
        <v/>
      </c>
      <c r="X362" s="208"/>
      <c r="Y362" s="27" t="str">
        <f t="shared" si="71"/>
        <v/>
      </c>
      <c r="Z362" s="208"/>
      <c r="AA362" s="27" t="str">
        <f t="shared" si="72"/>
        <v/>
      </c>
      <c r="AB362" s="208"/>
      <c r="AC362" s="27" t="str">
        <f t="shared" si="73"/>
        <v/>
      </c>
      <c r="AD362" s="208"/>
      <c r="AE362" s="27" t="str">
        <f t="shared" si="74"/>
        <v/>
      </c>
      <c r="AF362" s="48" t="str">
        <f t="shared" si="75"/>
        <v/>
      </c>
      <c r="AG362" s="48" t="str">
        <f t="shared" si="76"/>
        <v/>
      </c>
      <c r="AH362" s="209"/>
      <c r="AI362" s="210" t="str">
        <f t="shared" si="77"/>
        <v>Débil</v>
      </c>
      <c r="AJ362" s="21" t="str">
        <f>IFERROR(VLOOKUP((CONCATENATE(AG362,AI362)),Listados!$U$3:$V$11,2,FALSE),"")</f>
        <v/>
      </c>
      <c r="AK362" s="48">
        <f t="shared" si="78"/>
        <v>100</v>
      </c>
      <c r="AL362" s="355"/>
      <c r="AM362" s="357"/>
      <c r="AN362" s="173">
        <f>+IF(AND(Q362="Preventivo",AM361="Fuerte"),2,IF(AND(Q362="Preventivo",AM361="Moderado"),1,0))</f>
        <v>0</v>
      </c>
      <c r="AO362" s="173">
        <f t="shared" si="79"/>
        <v>0</v>
      </c>
      <c r="AP362" s="173" t="e">
        <f>+K361-AN362</f>
        <v>#N/A</v>
      </c>
      <c r="AQ362" s="173" t="e">
        <f>+M361-AO362</f>
        <v>#N/A</v>
      </c>
      <c r="AR362" s="346"/>
      <c r="AS362" s="346"/>
      <c r="AT362" s="346"/>
      <c r="AU362" s="346"/>
      <c r="AV362" s="311"/>
      <c r="AW362" s="312"/>
      <c r="AX362" s="313"/>
      <c r="AY362" s="311"/>
      <c r="AZ362" s="312"/>
      <c r="BA362" s="313"/>
      <c r="BB362" s="311"/>
      <c r="BC362" s="312"/>
      <c r="BD362" s="313"/>
    </row>
    <row r="363" spans="1:56" ht="15.75" thickBot="1">
      <c r="A363" s="329"/>
      <c r="B363" s="374"/>
      <c r="C363" s="364"/>
      <c r="D363" s="367"/>
      <c r="E363" s="233"/>
      <c r="F363" s="233"/>
      <c r="G363" s="237"/>
      <c r="H363" s="236"/>
      <c r="I363" s="222"/>
      <c r="J363" s="370"/>
      <c r="K363" s="349"/>
      <c r="L363" s="352"/>
      <c r="M363" s="349"/>
      <c r="N363" s="353"/>
      <c r="O363" s="47" t="s">
        <v>627</v>
      </c>
      <c r="P363" s="215"/>
      <c r="Q363" s="215"/>
      <c r="R363" s="215"/>
      <c r="S363" s="27" t="str">
        <f t="shared" si="68"/>
        <v/>
      </c>
      <c r="T363" s="215"/>
      <c r="U363" s="27" t="str">
        <f t="shared" si="69"/>
        <v/>
      </c>
      <c r="V363" s="208"/>
      <c r="W363" s="27" t="str">
        <f t="shared" si="70"/>
        <v/>
      </c>
      <c r="X363" s="208"/>
      <c r="Y363" s="27" t="str">
        <f t="shared" si="71"/>
        <v/>
      </c>
      <c r="Z363" s="208"/>
      <c r="AA363" s="27" t="str">
        <f t="shared" si="72"/>
        <v/>
      </c>
      <c r="AB363" s="208"/>
      <c r="AC363" s="27" t="str">
        <f t="shared" si="73"/>
        <v/>
      </c>
      <c r="AD363" s="208"/>
      <c r="AE363" s="27" t="str">
        <f t="shared" si="74"/>
        <v/>
      </c>
      <c r="AF363" s="48" t="str">
        <f t="shared" si="75"/>
        <v/>
      </c>
      <c r="AG363" s="48" t="str">
        <f t="shared" si="76"/>
        <v/>
      </c>
      <c r="AH363" s="209"/>
      <c r="AI363" s="210" t="str">
        <f t="shared" si="77"/>
        <v>Débil</v>
      </c>
      <c r="AJ363" s="21" t="str">
        <f>IFERROR(VLOOKUP((CONCATENATE(AG363,AI363)),Listados!$U$3:$V$11,2,FALSE),"")</f>
        <v/>
      </c>
      <c r="AK363" s="48">
        <f t="shared" si="78"/>
        <v>100</v>
      </c>
      <c r="AL363" s="355"/>
      <c r="AM363" s="357"/>
      <c r="AN363" s="173">
        <f>+IF(AND(Q363="Preventivo",AM361="Fuerte"),2,IF(AND(Q363="Preventivo",AM361="Moderado"),1,0))</f>
        <v>0</v>
      </c>
      <c r="AO363" s="173">
        <f t="shared" si="79"/>
        <v>0</v>
      </c>
      <c r="AP363" s="173" t="e">
        <f>+K361-AN363</f>
        <v>#N/A</v>
      </c>
      <c r="AQ363" s="173" t="e">
        <f>+M361-AO363</f>
        <v>#N/A</v>
      </c>
      <c r="AR363" s="346"/>
      <c r="AS363" s="346"/>
      <c r="AT363" s="346"/>
      <c r="AU363" s="346"/>
      <c r="AV363" s="311"/>
      <c r="AW363" s="312"/>
      <c r="AX363" s="313"/>
      <c r="AY363" s="311"/>
      <c r="AZ363" s="312"/>
      <c r="BA363" s="313"/>
      <c r="BB363" s="311"/>
      <c r="BC363" s="312"/>
      <c r="BD363" s="313"/>
    </row>
    <row r="364" spans="1:56" ht="15.75" thickBot="1">
      <c r="A364" s="329"/>
      <c r="B364" s="374"/>
      <c r="C364" s="364"/>
      <c r="D364" s="367"/>
      <c r="E364" s="233"/>
      <c r="F364" s="233"/>
      <c r="G364" s="235"/>
      <c r="H364" s="236"/>
      <c r="I364" s="222"/>
      <c r="J364" s="370"/>
      <c r="K364" s="349"/>
      <c r="L364" s="352"/>
      <c r="M364" s="349"/>
      <c r="N364" s="353"/>
      <c r="O364" s="47" t="s">
        <v>627</v>
      </c>
      <c r="P364" s="215"/>
      <c r="Q364" s="215"/>
      <c r="R364" s="215"/>
      <c r="S364" s="27" t="str">
        <f t="shared" si="68"/>
        <v/>
      </c>
      <c r="T364" s="215"/>
      <c r="U364" s="27" t="str">
        <f t="shared" si="69"/>
        <v/>
      </c>
      <c r="V364" s="208"/>
      <c r="W364" s="27" t="str">
        <f t="shared" si="70"/>
        <v/>
      </c>
      <c r="X364" s="208"/>
      <c r="Y364" s="27" t="str">
        <f t="shared" si="71"/>
        <v/>
      </c>
      <c r="Z364" s="208"/>
      <c r="AA364" s="27" t="str">
        <f t="shared" si="72"/>
        <v/>
      </c>
      <c r="AB364" s="208"/>
      <c r="AC364" s="27" t="str">
        <f t="shared" si="73"/>
        <v/>
      </c>
      <c r="AD364" s="208"/>
      <c r="AE364" s="27" t="str">
        <f t="shared" si="74"/>
        <v/>
      </c>
      <c r="AF364" s="48" t="str">
        <f t="shared" si="75"/>
        <v/>
      </c>
      <c r="AG364" s="48" t="str">
        <f t="shared" si="76"/>
        <v/>
      </c>
      <c r="AH364" s="209"/>
      <c r="AI364" s="210" t="str">
        <f t="shared" si="77"/>
        <v>Débil</v>
      </c>
      <c r="AJ364" s="21" t="str">
        <f>IFERROR(VLOOKUP((CONCATENATE(AG364,AI364)),Listados!$U$3:$V$11,2,FALSE),"")</f>
        <v/>
      </c>
      <c r="AK364" s="48">
        <f t="shared" si="78"/>
        <v>100</v>
      </c>
      <c r="AL364" s="355"/>
      <c r="AM364" s="357"/>
      <c r="AN364" s="173">
        <f>+IF(AND(Q364="Preventivo",AM361="Fuerte"),2,IF(AND(Q364="Preventivo",AM361="Moderado"),1,0))</f>
        <v>0</v>
      </c>
      <c r="AO364" s="173">
        <f t="shared" si="79"/>
        <v>0</v>
      </c>
      <c r="AP364" s="173" t="e">
        <f>+K361-AN364</f>
        <v>#N/A</v>
      </c>
      <c r="AQ364" s="173" t="e">
        <f>+M361-AO364</f>
        <v>#N/A</v>
      </c>
      <c r="AR364" s="346"/>
      <c r="AS364" s="346"/>
      <c r="AT364" s="346"/>
      <c r="AU364" s="346"/>
      <c r="AV364" s="311"/>
      <c r="AW364" s="312"/>
      <c r="AX364" s="313"/>
      <c r="AY364" s="311"/>
      <c r="AZ364" s="312"/>
      <c r="BA364" s="313"/>
      <c r="BB364" s="311"/>
      <c r="BC364" s="312"/>
      <c r="BD364" s="313"/>
    </row>
    <row r="365" spans="1:56" ht="15.75" thickBot="1">
      <c r="A365" s="329"/>
      <c r="B365" s="374"/>
      <c r="C365" s="364"/>
      <c r="D365" s="367"/>
      <c r="E365" s="109"/>
      <c r="F365" s="109"/>
      <c r="G365" s="28"/>
      <c r="H365" s="29"/>
      <c r="I365" s="222"/>
      <c r="J365" s="370"/>
      <c r="K365" s="349"/>
      <c r="L365" s="352"/>
      <c r="M365" s="349"/>
      <c r="N365" s="353"/>
      <c r="O365" s="47" t="s">
        <v>627</v>
      </c>
      <c r="P365" s="215"/>
      <c r="Q365" s="215"/>
      <c r="R365" s="215"/>
      <c r="S365" s="27" t="str">
        <f t="shared" si="68"/>
        <v/>
      </c>
      <c r="T365" s="215"/>
      <c r="U365" s="27" t="str">
        <f t="shared" si="69"/>
        <v/>
      </c>
      <c r="V365" s="208"/>
      <c r="W365" s="27" t="str">
        <f t="shared" si="70"/>
        <v/>
      </c>
      <c r="X365" s="208"/>
      <c r="Y365" s="27" t="str">
        <f t="shared" si="71"/>
        <v/>
      </c>
      <c r="Z365" s="208"/>
      <c r="AA365" s="27" t="str">
        <f t="shared" si="72"/>
        <v/>
      </c>
      <c r="AB365" s="208"/>
      <c r="AC365" s="27" t="str">
        <f t="shared" si="73"/>
        <v/>
      </c>
      <c r="AD365" s="208"/>
      <c r="AE365" s="27" t="str">
        <f t="shared" si="74"/>
        <v/>
      </c>
      <c r="AF365" s="48" t="str">
        <f t="shared" si="75"/>
        <v/>
      </c>
      <c r="AG365" s="48" t="str">
        <f t="shared" si="76"/>
        <v/>
      </c>
      <c r="AH365" s="209"/>
      <c r="AI365" s="210" t="str">
        <f t="shared" si="77"/>
        <v>Débil</v>
      </c>
      <c r="AJ365" s="21" t="str">
        <f>IFERROR(VLOOKUP((CONCATENATE(AG365,AI365)),Listados!$U$3:$V$11,2,FALSE),"")</f>
        <v/>
      </c>
      <c r="AK365" s="48">
        <f t="shared" si="78"/>
        <v>100</v>
      </c>
      <c r="AL365" s="355"/>
      <c r="AM365" s="357"/>
      <c r="AN365" s="173">
        <f>+IF(AND(Q365="Preventivo",AM361="Fuerte"),2,IF(AND(Q365="Preventivo",AM361="Moderado"),1,0))</f>
        <v>0</v>
      </c>
      <c r="AO365" s="173">
        <f t="shared" si="79"/>
        <v>0</v>
      </c>
      <c r="AP365" s="173" t="e">
        <f>+K361-AN365</f>
        <v>#N/A</v>
      </c>
      <c r="AQ365" s="173" t="e">
        <f>+M361-AO365</f>
        <v>#N/A</v>
      </c>
      <c r="AR365" s="346"/>
      <c r="AS365" s="346"/>
      <c r="AT365" s="346"/>
      <c r="AU365" s="346"/>
      <c r="AV365" s="311"/>
      <c r="AW365" s="312"/>
      <c r="AX365" s="313"/>
      <c r="AY365" s="311"/>
      <c r="AZ365" s="312"/>
      <c r="BA365" s="313"/>
      <c r="BB365" s="311"/>
      <c r="BC365" s="312"/>
      <c r="BD365" s="313"/>
    </row>
    <row r="366" spans="1:56" ht="15.75" thickBot="1">
      <c r="A366" s="330"/>
      <c r="B366" s="374"/>
      <c r="C366" s="365"/>
      <c r="D366" s="368"/>
      <c r="E366" s="106"/>
      <c r="F366" s="106"/>
      <c r="G366" s="30"/>
      <c r="H366" s="31"/>
      <c r="I366" s="222"/>
      <c r="J366" s="370"/>
      <c r="K366" s="350"/>
      <c r="L366" s="352"/>
      <c r="M366" s="350"/>
      <c r="N366" s="353"/>
      <c r="O366" s="47" t="s">
        <v>627</v>
      </c>
      <c r="P366" s="215"/>
      <c r="Q366" s="215"/>
      <c r="R366" s="215"/>
      <c r="S366" s="27" t="str">
        <f t="shared" si="68"/>
        <v/>
      </c>
      <c r="T366" s="215"/>
      <c r="U366" s="27" t="str">
        <f t="shared" si="69"/>
        <v/>
      </c>
      <c r="V366" s="208"/>
      <c r="W366" s="27" t="str">
        <f t="shared" si="70"/>
        <v/>
      </c>
      <c r="X366" s="208"/>
      <c r="Y366" s="27" t="str">
        <f t="shared" si="71"/>
        <v/>
      </c>
      <c r="Z366" s="208"/>
      <c r="AA366" s="27" t="str">
        <f t="shared" si="72"/>
        <v/>
      </c>
      <c r="AB366" s="208"/>
      <c r="AC366" s="27" t="str">
        <f t="shared" si="73"/>
        <v/>
      </c>
      <c r="AD366" s="208"/>
      <c r="AE366" s="27" t="str">
        <f t="shared" si="74"/>
        <v/>
      </c>
      <c r="AF366" s="48" t="str">
        <f t="shared" si="75"/>
        <v/>
      </c>
      <c r="AG366" s="48" t="str">
        <f t="shared" si="76"/>
        <v/>
      </c>
      <c r="AH366" s="209"/>
      <c r="AI366" s="210" t="str">
        <f t="shared" si="77"/>
        <v>Débil</v>
      </c>
      <c r="AJ366" s="21" t="str">
        <f>IFERROR(VLOOKUP((CONCATENATE(AG366,AI366)),Listados!$U$3:$V$11,2,FALSE),"")</f>
        <v/>
      </c>
      <c r="AK366" s="48">
        <f t="shared" si="78"/>
        <v>100</v>
      </c>
      <c r="AL366" s="356"/>
      <c r="AM366" s="357"/>
      <c r="AN366" s="173">
        <f>+IF(AND(Q366="Preventivo",AM361="Fuerte"),2,IF(AND(Q366="Preventivo",AM361="Moderado"),1,0))</f>
        <v>0</v>
      </c>
      <c r="AO366" s="173">
        <f t="shared" si="79"/>
        <v>0</v>
      </c>
      <c r="AP366" s="173" t="e">
        <f>+K361-AN366</f>
        <v>#N/A</v>
      </c>
      <c r="AQ366" s="173" t="e">
        <f>+M361-AO366</f>
        <v>#N/A</v>
      </c>
      <c r="AR366" s="347"/>
      <c r="AS366" s="347"/>
      <c r="AT366" s="347"/>
      <c r="AU366" s="347"/>
      <c r="AV366" s="311"/>
      <c r="AW366" s="312"/>
      <c r="AX366" s="313"/>
      <c r="AY366" s="311"/>
      <c r="AZ366" s="312"/>
      <c r="BA366" s="313"/>
      <c r="BB366" s="311"/>
      <c r="BC366" s="312"/>
      <c r="BD366" s="313"/>
    </row>
  </sheetData>
  <sheetProtection selectLockedCells="1"/>
  <autoFilter ref="A6:BD366">
    <filterColumn colId="47" showButton="0"/>
    <filterColumn colId="48" showButton="0"/>
    <filterColumn colId="50" showButton="0"/>
    <filterColumn colId="51" showButton="0"/>
    <filterColumn colId="53" showButton="0"/>
    <filterColumn colId="54" showButton="0"/>
  </autoFilter>
  <mergeCells count="1998">
    <mergeCell ref="AL355:AL360"/>
    <mergeCell ref="AM355:AM360"/>
    <mergeCell ref="AR355:AR360"/>
    <mergeCell ref="AS355:AS360"/>
    <mergeCell ref="J355:J360"/>
    <mergeCell ref="K355:K360"/>
    <mergeCell ref="L355:L360"/>
    <mergeCell ref="M355:M360"/>
    <mergeCell ref="N355:N360"/>
    <mergeCell ref="AT361:AT366"/>
    <mergeCell ref="AU361:AU366"/>
    <mergeCell ref="AL361:AL366"/>
    <mergeCell ref="AM361:AM366"/>
    <mergeCell ref="AR361:AR366"/>
    <mergeCell ref="AS361:AS366"/>
    <mergeCell ref="J361:J366"/>
    <mergeCell ref="K361:K366"/>
    <mergeCell ref="AT343:AT348"/>
    <mergeCell ref="AU343:AU348"/>
    <mergeCell ref="AL343:AL348"/>
    <mergeCell ref="AM343:AM348"/>
    <mergeCell ref="AR343:AR348"/>
    <mergeCell ref="AS343:AS348"/>
    <mergeCell ref="J343:J348"/>
    <mergeCell ref="K343:K348"/>
    <mergeCell ref="L343:L348"/>
    <mergeCell ref="M343:M348"/>
    <mergeCell ref="N343:N348"/>
    <mergeCell ref="AT349:AT354"/>
    <mergeCell ref="AU349:AU354"/>
    <mergeCell ref="L361:L366"/>
    <mergeCell ref="A355:A360"/>
    <mergeCell ref="B355:B360"/>
    <mergeCell ref="C355:C360"/>
    <mergeCell ref="D355:D360"/>
    <mergeCell ref="AL349:AL354"/>
    <mergeCell ref="AM349:AM354"/>
    <mergeCell ref="A349:A354"/>
    <mergeCell ref="B349:B354"/>
    <mergeCell ref="C349:C354"/>
    <mergeCell ref="D349:D354"/>
    <mergeCell ref="M361:M366"/>
    <mergeCell ref="N361:N366"/>
    <mergeCell ref="AT355:AT360"/>
    <mergeCell ref="AU355:AU360"/>
    <mergeCell ref="A361:A366"/>
    <mergeCell ref="B361:B366"/>
    <mergeCell ref="C361:C366"/>
    <mergeCell ref="D361:D366"/>
    <mergeCell ref="A343:A348"/>
    <mergeCell ref="B343:B348"/>
    <mergeCell ref="C343:C348"/>
    <mergeCell ref="D343:D348"/>
    <mergeCell ref="AL337:AL342"/>
    <mergeCell ref="AM337:AM342"/>
    <mergeCell ref="AR337:AR342"/>
    <mergeCell ref="AS337:AS342"/>
    <mergeCell ref="J337:J342"/>
    <mergeCell ref="K337:K342"/>
    <mergeCell ref="L337:L342"/>
    <mergeCell ref="M337:M342"/>
    <mergeCell ref="N337:N342"/>
    <mergeCell ref="AR349:AR354"/>
    <mergeCell ref="AS349:AS354"/>
    <mergeCell ref="J349:J354"/>
    <mergeCell ref="K349:K354"/>
    <mergeCell ref="L349:L354"/>
    <mergeCell ref="M349:M354"/>
    <mergeCell ref="N349:N354"/>
    <mergeCell ref="AT331:AT336"/>
    <mergeCell ref="AU331:AU336"/>
    <mergeCell ref="A337:A342"/>
    <mergeCell ref="B337:B342"/>
    <mergeCell ref="C337:C342"/>
    <mergeCell ref="D337:D342"/>
    <mergeCell ref="AL331:AL336"/>
    <mergeCell ref="AM331:AM336"/>
    <mergeCell ref="AR331:AR336"/>
    <mergeCell ref="AS331:AS336"/>
    <mergeCell ref="J331:J336"/>
    <mergeCell ref="K331:K336"/>
    <mergeCell ref="L331:L336"/>
    <mergeCell ref="M331:M336"/>
    <mergeCell ref="N331:N336"/>
    <mergeCell ref="AT337:AT342"/>
    <mergeCell ref="AU337:AU342"/>
    <mergeCell ref="A331:A336"/>
    <mergeCell ref="B331:B336"/>
    <mergeCell ref="C331:C336"/>
    <mergeCell ref="D331:D336"/>
    <mergeCell ref="AT319:AT324"/>
    <mergeCell ref="AU319:AU324"/>
    <mergeCell ref="A325:A330"/>
    <mergeCell ref="B325:B330"/>
    <mergeCell ref="C325:C330"/>
    <mergeCell ref="D325:D330"/>
    <mergeCell ref="AL319:AL324"/>
    <mergeCell ref="AM319:AM324"/>
    <mergeCell ref="AR319:AR324"/>
    <mergeCell ref="AS319:AS324"/>
    <mergeCell ref="J319:J324"/>
    <mergeCell ref="K319:K324"/>
    <mergeCell ref="L319:L324"/>
    <mergeCell ref="M319:M324"/>
    <mergeCell ref="N319:N324"/>
    <mergeCell ref="AT325:AT330"/>
    <mergeCell ref="AU325:AU330"/>
    <mergeCell ref="A319:A324"/>
    <mergeCell ref="B319:B324"/>
    <mergeCell ref="C319:C324"/>
    <mergeCell ref="D319:D324"/>
    <mergeCell ref="AL325:AL330"/>
    <mergeCell ref="AM325:AM330"/>
    <mergeCell ref="AR325:AR330"/>
    <mergeCell ref="AS325:AS330"/>
    <mergeCell ref="J325:J330"/>
    <mergeCell ref="K325:K330"/>
    <mergeCell ref="L325:L330"/>
    <mergeCell ref="M325:M330"/>
    <mergeCell ref="N325:N330"/>
    <mergeCell ref="AT307:AT312"/>
    <mergeCell ref="AU307:AU312"/>
    <mergeCell ref="A313:A318"/>
    <mergeCell ref="B313:B318"/>
    <mergeCell ref="C313:C318"/>
    <mergeCell ref="D313:D318"/>
    <mergeCell ref="AL307:AL312"/>
    <mergeCell ref="AM307:AM312"/>
    <mergeCell ref="AR307:AR312"/>
    <mergeCell ref="AS307:AS312"/>
    <mergeCell ref="J307:J312"/>
    <mergeCell ref="K307:K312"/>
    <mergeCell ref="L307:L312"/>
    <mergeCell ref="M307:M312"/>
    <mergeCell ref="N307:N312"/>
    <mergeCell ref="AT313:AT318"/>
    <mergeCell ref="AU313:AU318"/>
    <mergeCell ref="A307:A312"/>
    <mergeCell ref="B307:B312"/>
    <mergeCell ref="C307:C312"/>
    <mergeCell ref="D307:D312"/>
    <mergeCell ref="AL313:AL318"/>
    <mergeCell ref="AM313:AM318"/>
    <mergeCell ref="AR313:AR318"/>
    <mergeCell ref="AS313:AS318"/>
    <mergeCell ref="J313:J318"/>
    <mergeCell ref="K313:K318"/>
    <mergeCell ref="L313:L318"/>
    <mergeCell ref="M313:M318"/>
    <mergeCell ref="N313:N318"/>
    <mergeCell ref="AT295:AT300"/>
    <mergeCell ref="AU295:AU300"/>
    <mergeCell ref="A301:A306"/>
    <mergeCell ref="B301:B306"/>
    <mergeCell ref="C301:C306"/>
    <mergeCell ref="D301:D306"/>
    <mergeCell ref="AL295:AL300"/>
    <mergeCell ref="AM295:AM300"/>
    <mergeCell ref="AR295:AR300"/>
    <mergeCell ref="AS295:AS300"/>
    <mergeCell ref="J295:J300"/>
    <mergeCell ref="K295:K300"/>
    <mergeCell ref="L295:L300"/>
    <mergeCell ref="M295:M300"/>
    <mergeCell ref="N295:N300"/>
    <mergeCell ref="AT301:AT306"/>
    <mergeCell ref="AU301:AU306"/>
    <mergeCell ref="A295:A300"/>
    <mergeCell ref="B295:B300"/>
    <mergeCell ref="C295:C300"/>
    <mergeCell ref="D295:D300"/>
    <mergeCell ref="AL301:AL306"/>
    <mergeCell ref="AM301:AM306"/>
    <mergeCell ref="AR301:AR306"/>
    <mergeCell ref="AS301:AS306"/>
    <mergeCell ref="J301:J306"/>
    <mergeCell ref="K301:K306"/>
    <mergeCell ref="L301:L306"/>
    <mergeCell ref="M301:M306"/>
    <mergeCell ref="N301:N306"/>
    <mergeCell ref="AT283:AT288"/>
    <mergeCell ref="AU283:AU288"/>
    <mergeCell ref="A289:A294"/>
    <mergeCell ref="B289:B294"/>
    <mergeCell ref="C289:C294"/>
    <mergeCell ref="D289:D294"/>
    <mergeCell ref="AL283:AL288"/>
    <mergeCell ref="AM283:AM288"/>
    <mergeCell ref="AR283:AR288"/>
    <mergeCell ref="AS283:AS288"/>
    <mergeCell ref="J283:J288"/>
    <mergeCell ref="K283:K288"/>
    <mergeCell ref="L283:L288"/>
    <mergeCell ref="M283:M288"/>
    <mergeCell ref="N283:N288"/>
    <mergeCell ref="AT289:AT294"/>
    <mergeCell ref="AU289:AU294"/>
    <mergeCell ref="A283:A288"/>
    <mergeCell ref="B283:B288"/>
    <mergeCell ref="C283:C288"/>
    <mergeCell ref="D283:D288"/>
    <mergeCell ref="AL289:AL294"/>
    <mergeCell ref="AM289:AM294"/>
    <mergeCell ref="AR289:AR294"/>
    <mergeCell ref="AS289:AS294"/>
    <mergeCell ref="J289:J294"/>
    <mergeCell ref="K289:K294"/>
    <mergeCell ref="L289:L294"/>
    <mergeCell ref="M289:M294"/>
    <mergeCell ref="N289:N294"/>
    <mergeCell ref="AT271:AT276"/>
    <mergeCell ref="AU271:AU276"/>
    <mergeCell ref="A277:A282"/>
    <mergeCell ref="B277:B282"/>
    <mergeCell ref="C277:C282"/>
    <mergeCell ref="D277:D282"/>
    <mergeCell ref="AL271:AL276"/>
    <mergeCell ref="AM271:AM276"/>
    <mergeCell ref="AR271:AR276"/>
    <mergeCell ref="AS271:AS276"/>
    <mergeCell ref="J271:J276"/>
    <mergeCell ref="K271:K276"/>
    <mergeCell ref="L271:L276"/>
    <mergeCell ref="M271:M276"/>
    <mergeCell ref="N271:N276"/>
    <mergeCell ref="AT277:AT282"/>
    <mergeCell ref="AU277:AU282"/>
    <mergeCell ref="A271:A276"/>
    <mergeCell ref="B271:B276"/>
    <mergeCell ref="C271:C276"/>
    <mergeCell ref="D271:D276"/>
    <mergeCell ref="AL277:AL282"/>
    <mergeCell ref="AM277:AM282"/>
    <mergeCell ref="AR277:AR282"/>
    <mergeCell ref="AS277:AS282"/>
    <mergeCell ref="J277:J282"/>
    <mergeCell ref="K277:K282"/>
    <mergeCell ref="L277:L282"/>
    <mergeCell ref="M277:M282"/>
    <mergeCell ref="N277:N282"/>
    <mergeCell ref="AT259:AT264"/>
    <mergeCell ref="AU259:AU264"/>
    <mergeCell ref="A265:A270"/>
    <mergeCell ref="B265:B270"/>
    <mergeCell ref="C265:C270"/>
    <mergeCell ref="D265:D270"/>
    <mergeCell ref="AL259:AL264"/>
    <mergeCell ref="AM259:AM264"/>
    <mergeCell ref="AR259:AR264"/>
    <mergeCell ref="AS259:AS264"/>
    <mergeCell ref="J259:J264"/>
    <mergeCell ref="K259:K264"/>
    <mergeCell ref="L259:L264"/>
    <mergeCell ref="M259:M264"/>
    <mergeCell ref="N259:N264"/>
    <mergeCell ref="AT265:AT270"/>
    <mergeCell ref="AU265:AU270"/>
    <mergeCell ref="A259:A264"/>
    <mergeCell ref="B259:B264"/>
    <mergeCell ref="C259:C264"/>
    <mergeCell ref="D259:D264"/>
    <mergeCell ref="AL265:AL270"/>
    <mergeCell ref="AM265:AM270"/>
    <mergeCell ref="AR265:AR270"/>
    <mergeCell ref="AS265:AS270"/>
    <mergeCell ref="J265:J270"/>
    <mergeCell ref="K265:K270"/>
    <mergeCell ref="L265:L270"/>
    <mergeCell ref="M265:M270"/>
    <mergeCell ref="N265:N270"/>
    <mergeCell ref="AT247:AT252"/>
    <mergeCell ref="AU247:AU252"/>
    <mergeCell ref="A253:A258"/>
    <mergeCell ref="B253:B258"/>
    <mergeCell ref="C253:C258"/>
    <mergeCell ref="D253:D258"/>
    <mergeCell ref="AL247:AL252"/>
    <mergeCell ref="AM247:AM252"/>
    <mergeCell ref="AR247:AR252"/>
    <mergeCell ref="AS247:AS252"/>
    <mergeCell ref="J247:J252"/>
    <mergeCell ref="K247:K252"/>
    <mergeCell ref="L247:L252"/>
    <mergeCell ref="M247:M252"/>
    <mergeCell ref="N247:N252"/>
    <mergeCell ref="AT253:AT258"/>
    <mergeCell ref="AU253:AU258"/>
    <mergeCell ref="A247:A252"/>
    <mergeCell ref="B247:B252"/>
    <mergeCell ref="C247:C252"/>
    <mergeCell ref="D247:D252"/>
    <mergeCell ref="AL253:AL258"/>
    <mergeCell ref="AM253:AM258"/>
    <mergeCell ref="AR253:AR258"/>
    <mergeCell ref="AS253:AS258"/>
    <mergeCell ref="J253:J258"/>
    <mergeCell ref="K253:K258"/>
    <mergeCell ref="L253:L258"/>
    <mergeCell ref="M253:M258"/>
    <mergeCell ref="N253:N258"/>
    <mergeCell ref="AT235:AT240"/>
    <mergeCell ref="AU235:AU240"/>
    <mergeCell ref="A241:A246"/>
    <mergeCell ref="B241:B246"/>
    <mergeCell ref="C241:C246"/>
    <mergeCell ref="D241:D246"/>
    <mergeCell ref="AL235:AL240"/>
    <mergeCell ref="AM235:AM240"/>
    <mergeCell ref="AR235:AR240"/>
    <mergeCell ref="AS235:AS240"/>
    <mergeCell ref="J235:J240"/>
    <mergeCell ref="K235:K240"/>
    <mergeCell ref="L235:L240"/>
    <mergeCell ref="M235:M240"/>
    <mergeCell ref="N235:N240"/>
    <mergeCell ref="AT241:AT246"/>
    <mergeCell ref="AU241:AU246"/>
    <mergeCell ref="A235:A240"/>
    <mergeCell ref="B235:B240"/>
    <mergeCell ref="C235:C240"/>
    <mergeCell ref="D235:D240"/>
    <mergeCell ref="AL241:AL246"/>
    <mergeCell ref="AM241:AM246"/>
    <mergeCell ref="AR241:AR246"/>
    <mergeCell ref="AS241:AS246"/>
    <mergeCell ref="J241:J246"/>
    <mergeCell ref="K241:K246"/>
    <mergeCell ref="L241:L246"/>
    <mergeCell ref="M241:M246"/>
    <mergeCell ref="N241:N246"/>
    <mergeCell ref="AT223:AT228"/>
    <mergeCell ref="AU223:AU228"/>
    <mergeCell ref="A229:A234"/>
    <mergeCell ref="B229:B234"/>
    <mergeCell ref="C229:C234"/>
    <mergeCell ref="D229:D234"/>
    <mergeCell ref="AL223:AL228"/>
    <mergeCell ref="AM223:AM228"/>
    <mergeCell ref="AR223:AR228"/>
    <mergeCell ref="AS223:AS228"/>
    <mergeCell ref="J223:J228"/>
    <mergeCell ref="K223:K228"/>
    <mergeCell ref="L223:L228"/>
    <mergeCell ref="M223:M228"/>
    <mergeCell ref="N223:N228"/>
    <mergeCell ref="AT229:AT234"/>
    <mergeCell ref="AU229:AU234"/>
    <mergeCell ref="A223:A228"/>
    <mergeCell ref="B223:B228"/>
    <mergeCell ref="C223:C228"/>
    <mergeCell ref="D223:D228"/>
    <mergeCell ref="AL229:AL234"/>
    <mergeCell ref="AM229:AM234"/>
    <mergeCell ref="AR229:AR234"/>
    <mergeCell ref="AS229:AS234"/>
    <mergeCell ref="J229:J234"/>
    <mergeCell ref="K229:K234"/>
    <mergeCell ref="L229:L234"/>
    <mergeCell ref="M229:M234"/>
    <mergeCell ref="N229:N234"/>
    <mergeCell ref="AT211:AT216"/>
    <mergeCell ref="AU211:AU216"/>
    <mergeCell ref="A217:A222"/>
    <mergeCell ref="B217:B222"/>
    <mergeCell ref="C217:C222"/>
    <mergeCell ref="D217:D222"/>
    <mergeCell ref="AL211:AL216"/>
    <mergeCell ref="AM211:AM216"/>
    <mergeCell ref="AR211:AR216"/>
    <mergeCell ref="AS211:AS216"/>
    <mergeCell ref="J211:J216"/>
    <mergeCell ref="K211:K216"/>
    <mergeCell ref="L211:L216"/>
    <mergeCell ref="M211:M216"/>
    <mergeCell ref="N211:N216"/>
    <mergeCell ref="AT217:AT222"/>
    <mergeCell ref="AU217:AU222"/>
    <mergeCell ref="A211:A216"/>
    <mergeCell ref="B211:B216"/>
    <mergeCell ref="C211:C216"/>
    <mergeCell ref="D211:D216"/>
    <mergeCell ref="AL217:AL222"/>
    <mergeCell ref="AM217:AM222"/>
    <mergeCell ref="AR217:AR222"/>
    <mergeCell ref="AS217:AS222"/>
    <mergeCell ref="J217:J222"/>
    <mergeCell ref="K217:K222"/>
    <mergeCell ref="L217:L222"/>
    <mergeCell ref="M217:M222"/>
    <mergeCell ref="N217:N222"/>
    <mergeCell ref="AT199:AT204"/>
    <mergeCell ref="AU199:AU204"/>
    <mergeCell ref="A205:A210"/>
    <mergeCell ref="B205:B210"/>
    <mergeCell ref="C205:C210"/>
    <mergeCell ref="D205:D210"/>
    <mergeCell ref="AL199:AL204"/>
    <mergeCell ref="AM199:AM204"/>
    <mergeCell ref="AR199:AR204"/>
    <mergeCell ref="AS199:AS204"/>
    <mergeCell ref="J199:J204"/>
    <mergeCell ref="K199:K204"/>
    <mergeCell ref="L199:L204"/>
    <mergeCell ref="M199:M204"/>
    <mergeCell ref="N199:N204"/>
    <mergeCell ref="AT205:AT210"/>
    <mergeCell ref="AU205:AU210"/>
    <mergeCell ref="A199:A204"/>
    <mergeCell ref="B199:B204"/>
    <mergeCell ref="C199:C204"/>
    <mergeCell ref="D199:D204"/>
    <mergeCell ref="AL205:AL210"/>
    <mergeCell ref="AM205:AM210"/>
    <mergeCell ref="AR205:AR210"/>
    <mergeCell ref="AS205:AS210"/>
    <mergeCell ref="J205:J210"/>
    <mergeCell ref="K205:K210"/>
    <mergeCell ref="L205:L210"/>
    <mergeCell ref="M205:M210"/>
    <mergeCell ref="N205:N210"/>
    <mergeCell ref="AT187:AT192"/>
    <mergeCell ref="AU187:AU192"/>
    <mergeCell ref="A193:A198"/>
    <mergeCell ref="B193:B198"/>
    <mergeCell ref="C193:C198"/>
    <mergeCell ref="D193:D198"/>
    <mergeCell ref="AL187:AL192"/>
    <mergeCell ref="AM187:AM192"/>
    <mergeCell ref="AR187:AR192"/>
    <mergeCell ref="AS187:AS192"/>
    <mergeCell ref="J187:J192"/>
    <mergeCell ref="K187:K192"/>
    <mergeCell ref="L187:L192"/>
    <mergeCell ref="M187:M192"/>
    <mergeCell ref="N187:N192"/>
    <mergeCell ref="AT193:AT198"/>
    <mergeCell ref="AU193:AU198"/>
    <mergeCell ref="A187:A192"/>
    <mergeCell ref="B187:B192"/>
    <mergeCell ref="C187:C192"/>
    <mergeCell ref="D187:D192"/>
    <mergeCell ref="AL193:AL198"/>
    <mergeCell ref="AM193:AM198"/>
    <mergeCell ref="AR193:AR198"/>
    <mergeCell ref="AS193:AS198"/>
    <mergeCell ref="J193:J198"/>
    <mergeCell ref="K193:K198"/>
    <mergeCell ref="L193:L198"/>
    <mergeCell ref="M193:M198"/>
    <mergeCell ref="N193:N198"/>
    <mergeCell ref="AT175:AT180"/>
    <mergeCell ref="AU175:AU180"/>
    <mergeCell ref="A181:A186"/>
    <mergeCell ref="B181:B186"/>
    <mergeCell ref="C181:C186"/>
    <mergeCell ref="D181:D186"/>
    <mergeCell ref="AL175:AL180"/>
    <mergeCell ref="AM175:AM180"/>
    <mergeCell ref="AR175:AR180"/>
    <mergeCell ref="AS175:AS180"/>
    <mergeCell ref="J175:J180"/>
    <mergeCell ref="K175:K180"/>
    <mergeCell ref="L175:L180"/>
    <mergeCell ref="M175:M180"/>
    <mergeCell ref="N175:N180"/>
    <mergeCell ref="AT181:AT186"/>
    <mergeCell ref="AU181:AU186"/>
    <mergeCell ref="A175:A180"/>
    <mergeCell ref="B175:B180"/>
    <mergeCell ref="C175:C180"/>
    <mergeCell ref="D175:D180"/>
    <mergeCell ref="AL181:AL186"/>
    <mergeCell ref="AM181:AM186"/>
    <mergeCell ref="AR181:AR186"/>
    <mergeCell ref="AS181:AS186"/>
    <mergeCell ref="J181:J186"/>
    <mergeCell ref="K181:K186"/>
    <mergeCell ref="L181:L186"/>
    <mergeCell ref="M181:M186"/>
    <mergeCell ref="N181:N186"/>
    <mergeCell ref="AT163:AT168"/>
    <mergeCell ref="AU163:AU168"/>
    <mergeCell ref="A169:A174"/>
    <mergeCell ref="B169:B174"/>
    <mergeCell ref="C169:C174"/>
    <mergeCell ref="D169:D174"/>
    <mergeCell ref="AL163:AL168"/>
    <mergeCell ref="AM163:AM168"/>
    <mergeCell ref="AR163:AR168"/>
    <mergeCell ref="AS163:AS168"/>
    <mergeCell ref="J163:J168"/>
    <mergeCell ref="K163:K168"/>
    <mergeCell ref="L163:L168"/>
    <mergeCell ref="M163:M168"/>
    <mergeCell ref="N163:N168"/>
    <mergeCell ref="AT169:AT174"/>
    <mergeCell ref="AU169:AU174"/>
    <mergeCell ref="A163:A168"/>
    <mergeCell ref="B163:B168"/>
    <mergeCell ref="C163:C168"/>
    <mergeCell ref="D163:D168"/>
    <mergeCell ref="AL169:AL174"/>
    <mergeCell ref="AM169:AM174"/>
    <mergeCell ref="AR169:AR174"/>
    <mergeCell ref="AS169:AS174"/>
    <mergeCell ref="J169:J174"/>
    <mergeCell ref="K169:K174"/>
    <mergeCell ref="L169:L174"/>
    <mergeCell ref="M169:M174"/>
    <mergeCell ref="N169:N174"/>
    <mergeCell ref="AT151:AT156"/>
    <mergeCell ref="AU151:AU156"/>
    <mergeCell ref="A157:A162"/>
    <mergeCell ref="B157:B162"/>
    <mergeCell ref="C157:C162"/>
    <mergeCell ref="D157:D162"/>
    <mergeCell ref="AL151:AL156"/>
    <mergeCell ref="AM151:AM156"/>
    <mergeCell ref="AR151:AR156"/>
    <mergeCell ref="AS151:AS156"/>
    <mergeCell ref="J151:J156"/>
    <mergeCell ref="K151:K156"/>
    <mergeCell ref="L151:L156"/>
    <mergeCell ref="M151:M156"/>
    <mergeCell ref="N151:N156"/>
    <mergeCell ref="AT157:AT162"/>
    <mergeCell ref="AU157:AU162"/>
    <mergeCell ref="A151:A156"/>
    <mergeCell ref="B151:B156"/>
    <mergeCell ref="C151:C156"/>
    <mergeCell ref="D151:D156"/>
    <mergeCell ref="AL157:AL162"/>
    <mergeCell ref="AM157:AM162"/>
    <mergeCell ref="AR157:AR162"/>
    <mergeCell ref="AS157:AS162"/>
    <mergeCell ref="J157:J162"/>
    <mergeCell ref="K157:K162"/>
    <mergeCell ref="L157:L162"/>
    <mergeCell ref="M157:M162"/>
    <mergeCell ref="N157:N162"/>
    <mergeCell ref="AT139:AT144"/>
    <mergeCell ref="AU139:AU144"/>
    <mergeCell ref="A145:A150"/>
    <mergeCell ref="B145:B150"/>
    <mergeCell ref="C145:C150"/>
    <mergeCell ref="D145:D150"/>
    <mergeCell ref="AL139:AL144"/>
    <mergeCell ref="AM139:AM144"/>
    <mergeCell ref="AR139:AR144"/>
    <mergeCell ref="AS139:AS144"/>
    <mergeCell ref="J139:J144"/>
    <mergeCell ref="K139:K144"/>
    <mergeCell ref="L139:L144"/>
    <mergeCell ref="M139:M144"/>
    <mergeCell ref="N139:N144"/>
    <mergeCell ref="AT145:AT150"/>
    <mergeCell ref="AU145:AU150"/>
    <mergeCell ref="A139:A144"/>
    <mergeCell ref="B139:B144"/>
    <mergeCell ref="C139:C144"/>
    <mergeCell ref="D139:D144"/>
    <mergeCell ref="AL145:AL150"/>
    <mergeCell ref="AM145:AM150"/>
    <mergeCell ref="AR145:AR150"/>
    <mergeCell ref="AS145:AS150"/>
    <mergeCell ref="J145:J150"/>
    <mergeCell ref="K145:K150"/>
    <mergeCell ref="L145:L150"/>
    <mergeCell ref="M145:M150"/>
    <mergeCell ref="N145:N150"/>
    <mergeCell ref="AT127:AT132"/>
    <mergeCell ref="AU127:AU132"/>
    <mergeCell ref="A133:A138"/>
    <mergeCell ref="B133:B138"/>
    <mergeCell ref="C133:C138"/>
    <mergeCell ref="D133:D138"/>
    <mergeCell ref="AL127:AL132"/>
    <mergeCell ref="AM127:AM132"/>
    <mergeCell ref="AR127:AR132"/>
    <mergeCell ref="AS127:AS132"/>
    <mergeCell ref="J127:J132"/>
    <mergeCell ref="K127:K132"/>
    <mergeCell ref="L127:L132"/>
    <mergeCell ref="M127:M132"/>
    <mergeCell ref="N127:N132"/>
    <mergeCell ref="AT133:AT138"/>
    <mergeCell ref="AU133:AU138"/>
    <mergeCell ref="A127:A132"/>
    <mergeCell ref="B127:B132"/>
    <mergeCell ref="C127:C132"/>
    <mergeCell ref="D127:D132"/>
    <mergeCell ref="AL133:AL138"/>
    <mergeCell ref="AM133:AM138"/>
    <mergeCell ref="AR133:AR138"/>
    <mergeCell ref="AS133:AS138"/>
    <mergeCell ref="J133:J138"/>
    <mergeCell ref="K133:K138"/>
    <mergeCell ref="L133:L138"/>
    <mergeCell ref="M133:M138"/>
    <mergeCell ref="N133:N138"/>
    <mergeCell ref="AT115:AT120"/>
    <mergeCell ref="AU115:AU120"/>
    <mergeCell ref="A121:A126"/>
    <mergeCell ref="B121:B126"/>
    <mergeCell ref="C121:C126"/>
    <mergeCell ref="D121:D126"/>
    <mergeCell ref="AL115:AL120"/>
    <mergeCell ref="AM115:AM120"/>
    <mergeCell ref="AR115:AR120"/>
    <mergeCell ref="AS115:AS120"/>
    <mergeCell ref="J115:J120"/>
    <mergeCell ref="K115:K120"/>
    <mergeCell ref="L115:L120"/>
    <mergeCell ref="M115:M120"/>
    <mergeCell ref="N115:N120"/>
    <mergeCell ref="AT121:AT126"/>
    <mergeCell ref="AU121:AU126"/>
    <mergeCell ref="A115:A120"/>
    <mergeCell ref="B115:B120"/>
    <mergeCell ref="C115:C120"/>
    <mergeCell ref="D115:D120"/>
    <mergeCell ref="AL121:AL126"/>
    <mergeCell ref="AM121:AM126"/>
    <mergeCell ref="AR121:AR126"/>
    <mergeCell ref="AS121:AS126"/>
    <mergeCell ref="J121:J126"/>
    <mergeCell ref="K121:K126"/>
    <mergeCell ref="L121:L126"/>
    <mergeCell ref="M121:M126"/>
    <mergeCell ref="N121:N126"/>
    <mergeCell ref="AT103:AT108"/>
    <mergeCell ref="AU103:AU108"/>
    <mergeCell ref="A109:A114"/>
    <mergeCell ref="B109:B114"/>
    <mergeCell ref="C109:C114"/>
    <mergeCell ref="D109:D114"/>
    <mergeCell ref="AL103:AL108"/>
    <mergeCell ref="AM103:AM108"/>
    <mergeCell ref="AR103:AR108"/>
    <mergeCell ref="AS103:AS108"/>
    <mergeCell ref="J103:J108"/>
    <mergeCell ref="K103:K108"/>
    <mergeCell ref="L103:L108"/>
    <mergeCell ref="M103:M108"/>
    <mergeCell ref="N103:N108"/>
    <mergeCell ref="AT109:AT114"/>
    <mergeCell ref="AU109:AU114"/>
    <mergeCell ref="A103:A108"/>
    <mergeCell ref="B103:B108"/>
    <mergeCell ref="C103:C108"/>
    <mergeCell ref="D103:D108"/>
    <mergeCell ref="AL109:AL114"/>
    <mergeCell ref="AM109:AM114"/>
    <mergeCell ref="AR109:AR114"/>
    <mergeCell ref="AS109:AS114"/>
    <mergeCell ref="J109:J114"/>
    <mergeCell ref="K109:K114"/>
    <mergeCell ref="L109:L114"/>
    <mergeCell ref="M109:M114"/>
    <mergeCell ref="N109:N114"/>
    <mergeCell ref="AT91:AT96"/>
    <mergeCell ref="AU91:AU96"/>
    <mergeCell ref="A97:A102"/>
    <mergeCell ref="B97:B102"/>
    <mergeCell ref="C97:C102"/>
    <mergeCell ref="D97:D102"/>
    <mergeCell ref="AL91:AL96"/>
    <mergeCell ref="AM91:AM96"/>
    <mergeCell ref="AR91:AR96"/>
    <mergeCell ref="AS91:AS96"/>
    <mergeCell ref="J91:J96"/>
    <mergeCell ref="K91:K96"/>
    <mergeCell ref="L91:L96"/>
    <mergeCell ref="M91:M96"/>
    <mergeCell ref="N91:N96"/>
    <mergeCell ref="AT97:AT102"/>
    <mergeCell ref="AU97:AU102"/>
    <mergeCell ref="A91:A96"/>
    <mergeCell ref="B91:B96"/>
    <mergeCell ref="C91:C96"/>
    <mergeCell ref="D91:D96"/>
    <mergeCell ref="AL97:AL102"/>
    <mergeCell ref="AM97:AM102"/>
    <mergeCell ref="AR97:AR102"/>
    <mergeCell ref="AS97:AS102"/>
    <mergeCell ref="J97:J102"/>
    <mergeCell ref="K97:K102"/>
    <mergeCell ref="L97:L102"/>
    <mergeCell ref="M97:M102"/>
    <mergeCell ref="N97:N102"/>
    <mergeCell ref="AT79:AT84"/>
    <mergeCell ref="AU79:AU84"/>
    <mergeCell ref="A85:A90"/>
    <mergeCell ref="B85:B90"/>
    <mergeCell ref="C85:C90"/>
    <mergeCell ref="D85:D90"/>
    <mergeCell ref="AL79:AL84"/>
    <mergeCell ref="AM79:AM84"/>
    <mergeCell ref="AR79:AR84"/>
    <mergeCell ref="AS79:AS84"/>
    <mergeCell ref="J79:J84"/>
    <mergeCell ref="K79:K84"/>
    <mergeCell ref="L79:L84"/>
    <mergeCell ref="M79:M84"/>
    <mergeCell ref="N79:N84"/>
    <mergeCell ref="AT85:AT90"/>
    <mergeCell ref="AU85:AU90"/>
    <mergeCell ref="A79:A84"/>
    <mergeCell ref="B79:B84"/>
    <mergeCell ref="C79:C84"/>
    <mergeCell ref="D79:D84"/>
    <mergeCell ref="AL85:AL90"/>
    <mergeCell ref="AM85:AM90"/>
    <mergeCell ref="AR85:AR90"/>
    <mergeCell ref="AS85:AS90"/>
    <mergeCell ref="J85:J90"/>
    <mergeCell ref="K85:K90"/>
    <mergeCell ref="L85:L90"/>
    <mergeCell ref="M85:M90"/>
    <mergeCell ref="N85:N90"/>
    <mergeCell ref="AT67:AT72"/>
    <mergeCell ref="AU67:AU72"/>
    <mergeCell ref="A73:A78"/>
    <mergeCell ref="B73:B78"/>
    <mergeCell ref="C73:C78"/>
    <mergeCell ref="D73:D78"/>
    <mergeCell ref="AL67:AL72"/>
    <mergeCell ref="AM67:AM72"/>
    <mergeCell ref="AR67:AR72"/>
    <mergeCell ref="AS67:AS72"/>
    <mergeCell ref="J67:J72"/>
    <mergeCell ref="K67:K72"/>
    <mergeCell ref="L67:L72"/>
    <mergeCell ref="M67:M72"/>
    <mergeCell ref="N67:N72"/>
    <mergeCell ref="AT73:AT78"/>
    <mergeCell ref="AU73:AU78"/>
    <mergeCell ref="A67:A72"/>
    <mergeCell ref="B67:B72"/>
    <mergeCell ref="C67:C72"/>
    <mergeCell ref="D67:D72"/>
    <mergeCell ref="AL73:AL78"/>
    <mergeCell ref="AM73:AM78"/>
    <mergeCell ref="AR73:AR78"/>
    <mergeCell ref="AS73:AS78"/>
    <mergeCell ref="J73:J78"/>
    <mergeCell ref="K73:K78"/>
    <mergeCell ref="L73:L78"/>
    <mergeCell ref="M73:M78"/>
    <mergeCell ref="N73:N78"/>
    <mergeCell ref="AT55:AT60"/>
    <mergeCell ref="AU55:AU60"/>
    <mergeCell ref="A61:A66"/>
    <mergeCell ref="B61:B66"/>
    <mergeCell ref="C61:C66"/>
    <mergeCell ref="D61:D66"/>
    <mergeCell ref="AL55:AL60"/>
    <mergeCell ref="AM55:AM60"/>
    <mergeCell ref="AR55:AR60"/>
    <mergeCell ref="AS55:AS60"/>
    <mergeCell ref="J55:J60"/>
    <mergeCell ref="K55:K60"/>
    <mergeCell ref="L55:L60"/>
    <mergeCell ref="M55:M60"/>
    <mergeCell ref="N55:N60"/>
    <mergeCell ref="AT61:AT66"/>
    <mergeCell ref="AU61:AU66"/>
    <mergeCell ref="A55:A60"/>
    <mergeCell ref="B55:B60"/>
    <mergeCell ref="C55:C60"/>
    <mergeCell ref="D55:D60"/>
    <mergeCell ref="AL61:AL66"/>
    <mergeCell ref="AM61:AM66"/>
    <mergeCell ref="AR61:AR66"/>
    <mergeCell ref="AS61:AS66"/>
    <mergeCell ref="J61:J66"/>
    <mergeCell ref="K61:K66"/>
    <mergeCell ref="L61:L66"/>
    <mergeCell ref="M61:M66"/>
    <mergeCell ref="N61:N66"/>
    <mergeCell ref="AT43:AT48"/>
    <mergeCell ref="AU43:AU48"/>
    <mergeCell ref="A49:A54"/>
    <mergeCell ref="B49:B54"/>
    <mergeCell ref="C49:C54"/>
    <mergeCell ref="D49:D54"/>
    <mergeCell ref="AL43:AL48"/>
    <mergeCell ref="AM43:AM48"/>
    <mergeCell ref="AR43:AR48"/>
    <mergeCell ref="AS43:AS48"/>
    <mergeCell ref="J43:J48"/>
    <mergeCell ref="K43:K48"/>
    <mergeCell ref="L43:L48"/>
    <mergeCell ref="M43:M48"/>
    <mergeCell ref="N43:N48"/>
    <mergeCell ref="AT49:AT54"/>
    <mergeCell ref="AU49:AU54"/>
    <mergeCell ref="A43:A48"/>
    <mergeCell ref="B43:B48"/>
    <mergeCell ref="C43:C48"/>
    <mergeCell ref="D43:D48"/>
    <mergeCell ref="AL49:AL54"/>
    <mergeCell ref="AM49:AM54"/>
    <mergeCell ref="AR49:AR54"/>
    <mergeCell ref="AS49:AS54"/>
    <mergeCell ref="J49:J54"/>
    <mergeCell ref="K49:K54"/>
    <mergeCell ref="L49:L54"/>
    <mergeCell ref="M49:M54"/>
    <mergeCell ref="N49:N54"/>
    <mergeCell ref="AT31:AT36"/>
    <mergeCell ref="AU31:AU36"/>
    <mergeCell ref="A37:A42"/>
    <mergeCell ref="B37:B42"/>
    <mergeCell ref="C37:C42"/>
    <mergeCell ref="D37:D42"/>
    <mergeCell ref="AL31:AL36"/>
    <mergeCell ref="AM31:AM36"/>
    <mergeCell ref="AR31:AR36"/>
    <mergeCell ref="AS31:AS36"/>
    <mergeCell ref="J31:J36"/>
    <mergeCell ref="K31:K36"/>
    <mergeCell ref="L31:L36"/>
    <mergeCell ref="M31:M36"/>
    <mergeCell ref="N31:N36"/>
    <mergeCell ref="AT37:AT42"/>
    <mergeCell ref="AU37:AU42"/>
    <mergeCell ref="A31:A36"/>
    <mergeCell ref="B31:B36"/>
    <mergeCell ref="C31:C36"/>
    <mergeCell ref="D31:D36"/>
    <mergeCell ref="AL37:AL42"/>
    <mergeCell ref="AM37:AM42"/>
    <mergeCell ref="AR37:AR42"/>
    <mergeCell ref="AS37:AS42"/>
    <mergeCell ref="J37:J42"/>
    <mergeCell ref="K37:K42"/>
    <mergeCell ref="L37:L42"/>
    <mergeCell ref="M37:M42"/>
    <mergeCell ref="N37:N42"/>
    <mergeCell ref="AT19:AT24"/>
    <mergeCell ref="AU19:AU24"/>
    <mergeCell ref="A25:A30"/>
    <mergeCell ref="B25:B30"/>
    <mergeCell ref="C25:C30"/>
    <mergeCell ref="D25:D30"/>
    <mergeCell ref="AL19:AL24"/>
    <mergeCell ref="AM19:AM24"/>
    <mergeCell ref="AR19:AR24"/>
    <mergeCell ref="AS19:AS24"/>
    <mergeCell ref="J19:J24"/>
    <mergeCell ref="K19:K24"/>
    <mergeCell ref="L19:L24"/>
    <mergeCell ref="M19:M24"/>
    <mergeCell ref="N19:N24"/>
    <mergeCell ref="A19:A24"/>
    <mergeCell ref="B19:B24"/>
    <mergeCell ref="C19:C24"/>
    <mergeCell ref="D19:D24"/>
    <mergeCell ref="AT25:AT30"/>
    <mergeCell ref="AU25:AU30"/>
    <mergeCell ref="AL25:AL30"/>
    <mergeCell ref="AM25:AM30"/>
    <mergeCell ref="AR25:AR30"/>
    <mergeCell ref="AS25:AS30"/>
    <mergeCell ref="J25:J30"/>
    <mergeCell ref="K25:K30"/>
    <mergeCell ref="L25:L30"/>
    <mergeCell ref="M25:M30"/>
    <mergeCell ref="N25:N30"/>
    <mergeCell ref="A13:A18"/>
    <mergeCell ref="B13:B18"/>
    <mergeCell ref="C13:C18"/>
    <mergeCell ref="D13:D18"/>
    <mergeCell ref="AR7:AR12"/>
    <mergeCell ref="AS7:AS12"/>
    <mergeCell ref="AT7:AT12"/>
    <mergeCell ref="AU7:AU12"/>
    <mergeCell ref="K7:K12"/>
    <mergeCell ref="L7:L12"/>
    <mergeCell ref="M7:M12"/>
    <mergeCell ref="N7:N12"/>
    <mergeCell ref="AL7:AL12"/>
    <mergeCell ref="AM7:AM12"/>
    <mergeCell ref="J7:J12"/>
    <mergeCell ref="AR13:AR18"/>
    <mergeCell ref="AS13:AS18"/>
    <mergeCell ref="AT13:AT18"/>
    <mergeCell ref="AU13:AU18"/>
    <mergeCell ref="M13:M18"/>
    <mergeCell ref="N13:N18"/>
    <mergeCell ref="AL13:AL18"/>
    <mergeCell ref="AM13:AM18"/>
    <mergeCell ref="J13:J18"/>
    <mergeCell ref="K13:K18"/>
    <mergeCell ref="L13:L18"/>
    <mergeCell ref="AU4:AU5"/>
    <mergeCell ref="J5:N5"/>
    <mergeCell ref="O5:Q5"/>
    <mergeCell ref="R5:AG5"/>
    <mergeCell ref="AH5:AI5"/>
    <mergeCell ref="AJ5:AK5"/>
    <mergeCell ref="G1:AU2"/>
    <mergeCell ref="G3:H3"/>
    <mergeCell ref="J3:AU3"/>
    <mergeCell ref="AL5:AM5"/>
    <mergeCell ref="AR5:AT5"/>
    <mergeCell ref="A7:A12"/>
    <mergeCell ref="B7:B12"/>
    <mergeCell ref="C7:C12"/>
    <mergeCell ref="D7:D12"/>
    <mergeCell ref="A4:I5"/>
    <mergeCell ref="J4:N4"/>
    <mergeCell ref="O4:AT4"/>
    <mergeCell ref="A1:F3"/>
    <mergeCell ref="AV9:AX9"/>
    <mergeCell ref="AY9:BA9"/>
    <mergeCell ref="BB9:BD9"/>
    <mergeCell ref="AV10:AX10"/>
    <mergeCell ref="AY10:BA10"/>
    <mergeCell ref="BB10:BD10"/>
    <mergeCell ref="AV11:AX11"/>
    <mergeCell ref="AY11:BA11"/>
    <mergeCell ref="BB11:BD11"/>
    <mergeCell ref="AV5:AX6"/>
    <mergeCell ref="AY5:BA6"/>
    <mergeCell ref="BB5:BD6"/>
    <mergeCell ref="AV7:AX7"/>
    <mergeCell ref="AY7:BA7"/>
    <mergeCell ref="BB7:BD7"/>
    <mergeCell ref="AV8:AX8"/>
    <mergeCell ref="AY8:BA8"/>
    <mergeCell ref="BB8:BD8"/>
    <mergeCell ref="AV15:AX15"/>
    <mergeCell ref="AY15:BA15"/>
    <mergeCell ref="BB15:BD15"/>
    <mergeCell ref="AV16:AX16"/>
    <mergeCell ref="AY16:BA16"/>
    <mergeCell ref="BB16:BD16"/>
    <mergeCell ref="AV17:AX17"/>
    <mergeCell ref="AY17:BA17"/>
    <mergeCell ref="BB17:BD17"/>
    <mergeCell ref="AV12:AX12"/>
    <mergeCell ref="AY12:BA12"/>
    <mergeCell ref="BB12:BD12"/>
    <mergeCell ref="AV13:AX13"/>
    <mergeCell ref="AY13:BA13"/>
    <mergeCell ref="BB13:BD13"/>
    <mergeCell ref="AV14:AX14"/>
    <mergeCell ref="AY14:BA14"/>
    <mergeCell ref="BB14:BD14"/>
    <mergeCell ref="AV21:AX21"/>
    <mergeCell ref="AY21:BA21"/>
    <mergeCell ref="BB21:BD21"/>
    <mergeCell ref="AV22:AX22"/>
    <mergeCell ref="AY22:BA22"/>
    <mergeCell ref="BB22:BD22"/>
    <mergeCell ref="AV23:AX23"/>
    <mergeCell ref="AY23:BA23"/>
    <mergeCell ref="BB23:BD23"/>
    <mergeCell ref="AV18:AX18"/>
    <mergeCell ref="AY18:BA18"/>
    <mergeCell ref="BB18:BD18"/>
    <mergeCell ref="AV19:AX19"/>
    <mergeCell ref="AY19:BA19"/>
    <mergeCell ref="BB19:BD19"/>
    <mergeCell ref="AV20:AX20"/>
    <mergeCell ref="AY20:BA20"/>
    <mergeCell ref="BB20:BD20"/>
    <mergeCell ref="AV27:AX27"/>
    <mergeCell ref="AY27:BA27"/>
    <mergeCell ref="BB27:BD27"/>
    <mergeCell ref="AV28:AX28"/>
    <mergeCell ref="AY28:BA28"/>
    <mergeCell ref="BB28:BD28"/>
    <mergeCell ref="AV29:AX29"/>
    <mergeCell ref="AY29:BA29"/>
    <mergeCell ref="BB29:BD29"/>
    <mergeCell ref="AV24:AX24"/>
    <mergeCell ref="AY24:BA24"/>
    <mergeCell ref="BB24:BD24"/>
    <mergeCell ref="AV25:AX25"/>
    <mergeCell ref="AY25:BA25"/>
    <mergeCell ref="BB25:BD25"/>
    <mergeCell ref="AV26:AX26"/>
    <mergeCell ref="AY26:BA26"/>
    <mergeCell ref="BB26:BD26"/>
    <mergeCell ref="AV33:AX33"/>
    <mergeCell ref="AY33:BA33"/>
    <mergeCell ref="BB33:BD33"/>
    <mergeCell ref="AV34:AX34"/>
    <mergeCell ref="AY34:BA34"/>
    <mergeCell ref="BB34:BD34"/>
    <mergeCell ref="AV35:AX35"/>
    <mergeCell ref="AY35:BA35"/>
    <mergeCell ref="BB35:BD35"/>
    <mergeCell ref="AV30:AX30"/>
    <mergeCell ref="AY30:BA30"/>
    <mergeCell ref="BB30:BD30"/>
    <mergeCell ref="AV31:AX31"/>
    <mergeCell ref="AY31:BA31"/>
    <mergeCell ref="BB31:BD31"/>
    <mergeCell ref="AV32:AX32"/>
    <mergeCell ref="AY32:BA32"/>
    <mergeCell ref="BB32:BD32"/>
    <mergeCell ref="AV39:AX39"/>
    <mergeCell ref="AY39:BA39"/>
    <mergeCell ref="BB39:BD39"/>
    <mergeCell ref="AV40:AX40"/>
    <mergeCell ref="AY40:BA40"/>
    <mergeCell ref="BB40:BD40"/>
    <mergeCell ref="AV41:AX41"/>
    <mergeCell ref="AY41:BA41"/>
    <mergeCell ref="BB41:BD41"/>
    <mergeCell ref="AV36:AX36"/>
    <mergeCell ref="AY36:BA36"/>
    <mergeCell ref="BB36:BD36"/>
    <mergeCell ref="AV37:AX37"/>
    <mergeCell ref="AY37:BA37"/>
    <mergeCell ref="BB37:BD37"/>
    <mergeCell ref="AV38:AX38"/>
    <mergeCell ref="AY38:BA38"/>
    <mergeCell ref="BB38:BD38"/>
    <mergeCell ref="AV45:AX45"/>
    <mergeCell ref="AY45:BA45"/>
    <mergeCell ref="BB45:BD45"/>
    <mergeCell ref="AV46:AX46"/>
    <mergeCell ref="AY46:BA46"/>
    <mergeCell ref="BB46:BD46"/>
    <mergeCell ref="AV47:AX47"/>
    <mergeCell ref="AY47:BA47"/>
    <mergeCell ref="BB47:BD47"/>
    <mergeCell ref="AV42:AX42"/>
    <mergeCell ref="AY42:BA42"/>
    <mergeCell ref="BB42:BD42"/>
    <mergeCell ref="AV43:AX43"/>
    <mergeCell ref="AY43:BA43"/>
    <mergeCell ref="BB43:BD43"/>
    <mergeCell ref="AV44:AX44"/>
    <mergeCell ref="AY44:BA44"/>
    <mergeCell ref="BB44:BD44"/>
    <mergeCell ref="AV51:AX51"/>
    <mergeCell ref="AY51:BA51"/>
    <mergeCell ref="BB51:BD51"/>
    <mergeCell ref="AV52:AX52"/>
    <mergeCell ref="AY52:BA52"/>
    <mergeCell ref="BB52:BD52"/>
    <mergeCell ref="AV53:AX53"/>
    <mergeCell ref="AY53:BA53"/>
    <mergeCell ref="BB53:BD53"/>
    <mergeCell ref="AV48:AX48"/>
    <mergeCell ref="AY48:BA48"/>
    <mergeCell ref="BB48:BD48"/>
    <mergeCell ref="AV49:AX49"/>
    <mergeCell ref="AY49:BA49"/>
    <mergeCell ref="BB49:BD49"/>
    <mergeCell ref="AV50:AX50"/>
    <mergeCell ref="AY50:BA50"/>
    <mergeCell ref="BB50:BD50"/>
    <mergeCell ref="AV57:AX57"/>
    <mergeCell ref="AY57:BA57"/>
    <mergeCell ref="BB57:BD57"/>
    <mergeCell ref="AV58:AX58"/>
    <mergeCell ref="AY58:BA58"/>
    <mergeCell ref="BB58:BD58"/>
    <mergeCell ref="AV59:AX59"/>
    <mergeCell ref="AY59:BA59"/>
    <mergeCell ref="BB59:BD59"/>
    <mergeCell ref="AV54:AX54"/>
    <mergeCell ref="AY54:BA54"/>
    <mergeCell ref="BB54:BD54"/>
    <mergeCell ref="AV55:AX55"/>
    <mergeCell ref="AY55:BA55"/>
    <mergeCell ref="BB55:BD55"/>
    <mergeCell ref="AV56:AX56"/>
    <mergeCell ref="AY56:BA56"/>
    <mergeCell ref="BB56:BD56"/>
    <mergeCell ref="AV63:AX63"/>
    <mergeCell ref="AY63:BA63"/>
    <mergeCell ref="BB63:BD63"/>
    <mergeCell ref="AV64:AX64"/>
    <mergeCell ref="AY64:BA64"/>
    <mergeCell ref="BB64:BD64"/>
    <mergeCell ref="AV65:AX65"/>
    <mergeCell ref="AY65:BA65"/>
    <mergeCell ref="BB65:BD65"/>
    <mergeCell ref="AV60:AX60"/>
    <mergeCell ref="AY60:BA60"/>
    <mergeCell ref="BB60:BD60"/>
    <mergeCell ref="AV61:AX61"/>
    <mergeCell ref="AY61:BA61"/>
    <mergeCell ref="BB61:BD61"/>
    <mergeCell ref="AV62:AX62"/>
    <mergeCell ref="AY62:BA62"/>
    <mergeCell ref="BB62:BD62"/>
    <mergeCell ref="AV69:AX69"/>
    <mergeCell ref="AY69:BA69"/>
    <mergeCell ref="BB69:BD69"/>
    <mergeCell ref="AV70:AX70"/>
    <mergeCell ref="AY70:BA70"/>
    <mergeCell ref="BB70:BD70"/>
    <mergeCell ref="AV71:AX71"/>
    <mergeCell ref="AY71:BA71"/>
    <mergeCell ref="BB71:BD71"/>
    <mergeCell ref="AV66:AX66"/>
    <mergeCell ref="AY66:BA66"/>
    <mergeCell ref="BB66:BD66"/>
    <mergeCell ref="AV67:AX67"/>
    <mergeCell ref="AY67:BA67"/>
    <mergeCell ref="BB67:BD67"/>
    <mergeCell ref="AV68:AX68"/>
    <mergeCell ref="AY68:BA68"/>
    <mergeCell ref="BB68:BD68"/>
    <mergeCell ref="AV75:AX75"/>
    <mergeCell ref="AY75:BA75"/>
    <mergeCell ref="BB75:BD75"/>
    <mergeCell ref="AV76:AX76"/>
    <mergeCell ref="AY76:BA76"/>
    <mergeCell ref="BB76:BD76"/>
    <mergeCell ref="AV77:AX77"/>
    <mergeCell ref="AY77:BA77"/>
    <mergeCell ref="BB77:BD77"/>
    <mergeCell ref="AV72:AX72"/>
    <mergeCell ref="AY72:BA72"/>
    <mergeCell ref="BB72:BD72"/>
    <mergeCell ref="AV73:AX73"/>
    <mergeCell ref="AY73:BA73"/>
    <mergeCell ref="BB73:BD73"/>
    <mergeCell ref="AV74:AX74"/>
    <mergeCell ref="AY74:BA74"/>
    <mergeCell ref="BB74:BD74"/>
    <mergeCell ref="AV81:AX81"/>
    <mergeCell ref="AY81:BA81"/>
    <mergeCell ref="BB81:BD81"/>
    <mergeCell ref="AV82:AX82"/>
    <mergeCell ref="AY82:BA82"/>
    <mergeCell ref="BB82:BD82"/>
    <mergeCell ref="AV83:AX83"/>
    <mergeCell ref="AY83:BA83"/>
    <mergeCell ref="BB83:BD83"/>
    <mergeCell ref="AV78:AX78"/>
    <mergeCell ref="AY78:BA78"/>
    <mergeCell ref="BB78:BD78"/>
    <mergeCell ref="AV79:AX79"/>
    <mergeCell ref="AY79:BA79"/>
    <mergeCell ref="BB79:BD79"/>
    <mergeCell ref="AV80:AX80"/>
    <mergeCell ref="AY80:BA80"/>
    <mergeCell ref="BB80:BD80"/>
    <mergeCell ref="AV87:AX87"/>
    <mergeCell ref="AY87:BA87"/>
    <mergeCell ref="BB87:BD87"/>
    <mergeCell ref="AV88:AX88"/>
    <mergeCell ref="AY88:BA88"/>
    <mergeCell ref="BB88:BD88"/>
    <mergeCell ref="AV89:AX89"/>
    <mergeCell ref="AY89:BA89"/>
    <mergeCell ref="BB89:BD89"/>
    <mergeCell ref="AV84:AX84"/>
    <mergeCell ref="AY84:BA84"/>
    <mergeCell ref="BB84:BD84"/>
    <mergeCell ref="AV85:AX85"/>
    <mergeCell ref="AY85:BA85"/>
    <mergeCell ref="BB85:BD85"/>
    <mergeCell ref="AV86:AX86"/>
    <mergeCell ref="AY86:BA86"/>
    <mergeCell ref="BB86:BD86"/>
    <mergeCell ref="AV93:AX93"/>
    <mergeCell ref="AY93:BA93"/>
    <mergeCell ref="BB93:BD93"/>
    <mergeCell ref="AV94:AX94"/>
    <mergeCell ref="AY94:BA94"/>
    <mergeCell ref="BB94:BD94"/>
    <mergeCell ref="AV95:AX95"/>
    <mergeCell ref="AY95:BA95"/>
    <mergeCell ref="BB95:BD95"/>
    <mergeCell ref="AV90:AX90"/>
    <mergeCell ref="AY90:BA90"/>
    <mergeCell ref="BB90:BD90"/>
    <mergeCell ref="AV91:AX91"/>
    <mergeCell ref="AY91:BA91"/>
    <mergeCell ref="BB91:BD91"/>
    <mergeCell ref="AV92:AX92"/>
    <mergeCell ref="AY92:BA92"/>
    <mergeCell ref="BB92:BD92"/>
    <mergeCell ref="AV99:AX99"/>
    <mergeCell ref="AY99:BA99"/>
    <mergeCell ref="BB99:BD99"/>
    <mergeCell ref="AV100:AX100"/>
    <mergeCell ref="AY100:BA100"/>
    <mergeCell ref="BB100:BD100"/>
    <mergeCell ref="AV101:AX101"/>
    <mergeCell ref="AY101:BA101"/>
    <mergeCell ref="BB101:BD101"/>
    <mergeCell ref="AV96:AX96"/>
    <mergeCell ref="AY96:BA96"/>
    <mergeCell ref="BB96:BD96"/>
    <mergeCell ref="AV97:AX97"/>
    <mergeCell ref="AY97:BA97"/>
    <mergeCell ref="BB97:BD97"/>
    <mergeCell ref="AV98:AX98"/>
    <mergeCell ref="AY98:BA98"/>
    <mergeCell ref="BB98:BD98"/>
    <mergeCell ref="AV105:AX105"/>
    <mergeCell ref="AY105:BA105"/>
    <mergeCell ref="BB105:BD105"/>
    <mergeCell ref="AV106:AX106"/>
    <mergeCell ref="AY106:BA106"/>
    <mergeCell ref="BB106:BD106"/>
    <mergeCell ref="AV107:AX107"/>
    <mergeCell ref="AY107:BA107"/>
    <mergeCell ref="BB107:BD107"/>
    <mergeCell ref="AV102:AX102"/>
    <mergeCell ref="AY102:BA102"/>
    <mergeCell ref="BB102:BD102"/>
    <mergeCell ref="AV103:AX103"/>
    <mergeCell ref="AY103:BA103"/>
    <mergeCell ref="BB103:BD103"/>
    <mergeCell ref="AV104:AX104"/>
    <mergeCell ref="AY104:BA104"/>
    <mergeCell ref="BB104:BD104"/>
    <mergeCell ref="AV111:AX111"/>
    <mergeCell ref="AY111:BA111"/>
    <mergeCell ref="BB111:BD111"/>
    <mergeCell ref="AV112:AX112"/>
    <mergeCell ref="AY112:BA112"/>
    <mergeCell ref="BB112:BD112"/>
    <mergeCell ref="AV113:AX113"/>
    <mergeCell ref="AY113:BA113"/>
    <mergeCell ref="BB113:BD113"/>
    <mergeCell ref="AV108:AX108"/>
    <mergeCell ref="AY108:BA108"/>
    <mergeCell ref="BB108:BD108"/>
    <mergeCell ref="AV109:AX109"/>
    <mergeCell ref="AY109:BA109"/>
    <mergeCell ref="BB109:BD109"/>
    <mergeCell ref="AV110:AX110"/>
    <mergeCell ref="AY110:BA110"/>
    <mergeCell ref="BB110:BD110"/>
    <mergeCell ref="AV117:AX117"/>
    <mergeCell ref="AY117:BA117"/>
    <mergeCell ref="BB117:BD117"/>
    <mergeCell ref="AV118:AX118"/>
    <mergeCell ref="AY118:BA118"/>
    <mergeCell ref="BB118:BD118"/>
    <mergeCell ref="AV119:AX119"/>
    <mergeCell ref="AY119:BA119"/>
    <mergeCell ref="BB119:BD119"/>
    <mergeCell ref="AV114:AX114"/>
    <mergeCell ref="AY114:BA114"/>
    <mergeCell ref="BB114:BD114"/>
    <mergeCell ref="AV115:AX115"/>
    <mergeCell ref="AY115:BA115"/>
    <mergeCell ref="BB115:BD115"/>
    <mergeCell ref="AV116:AX116"/>
    <mergeCell ref="AY116:BA116"/>
    <mergeCell ref="BB116:BD116"/>
    <mergeCell ref="AV123:AX123"/>
    <mergeCell ref="AY123:BA123"/>
    <mergeCell ref="BB123:BD123"/>
    <mergeCell ref="AV124:AX124"/>
    <mergeCell ref="AY124:BA124"/>
    <mergeCell ref="BB124:BD124"/>
    <mergeCell ref="AV125:AX125"/>
    <mergeCell ref="AY125:BA125"/>
    <mergeCell ref="BB125:BD125"/>
    <mergeCell ref="AV120:AX120"/>
    <mergeCell ref="AY120:BA120"/>
    <mergeCell ref="BB120:BD120"/>
    <mergeCell ref="AV121:AX121"/>
    <mergeCell ref="AY121:BA121"/>
    <mergeCell ref="BB121:BD121"/>
    <mergeCell ref="AV122:AX122"/>
    <mergeCell ref="AY122:BA122"/>
    <mergeCell ref="BB122:BD122"/>
    <mergeCell ref="AV129:AX129"/>
    <mergeCell ref="AY129:BA129"/>
    <mergeCell ref="BB129:BD129"/>
    <mergeCell ref="AV130:AX130"/>
    <mergeCell ref="AY130:BA130"/>
    <mergeCell ref="BB130:BD130"/>
    <mergeCell ref="AV131:AX131"/>
    <mergeCell ref="AY131:BA131"/>
    <mergeCell ref="BB131:BD131"/>
    <mergeCell ref="AV126:AX126"/>
    <mergeCell ref="AY126:BA126"/>
    <mergeCell ref="BB126:BD126"/>
    <mergeCell ref="AV127:AX127"/>
    <mergeCell ref="AY127:BA127"/>
    <mergeCell ref="BB127:BD127"/>
    <mergeCell ref="AV128:AX128"/>
    <mergeCell ref="AY128:BA128"/>
    <mergeCell ref="BB128:BD128"/>
    <mergeCell ref="AV135:AX135"/>
    <mergeCell ref="AY135:BA135"/>
    <mergeCell ref="BB135:BD135"/>
    <mergeCell ref="AV136:AX136"/>
    <mergeCell ref="AY136:BA136"/>
    <mergeCell ref="BB136:BD136"/>
    <mergeCell ref="AV137:AX137"/>
    <mergeCell ref="AY137:BA137"/>
    <mergeCell ref="BB137:BD137"/>
    <mergeCell ref="AV132:AX132"/>
    <mergeCell ref="AY132:BA132"/>
    <mergeCell ref="BB132:BD132"/>
    <mergeCell ref="AV133:AX133"/>
    <mergeCell ref="AY133:BA133"/>
    <mergeCell ref="BB133:BD133"/>
    <mergeCell ref="AV134:AX134"/>
    <mergeCell ref="AY134:BA134"/>
    <mergeCell ref="BB134:BD134"/>
    <mergeCell ref="AV141:AX141"/>
    <mergeCell ref="AY141:BA141"/>
    <mergeCell ref="BB141:BD141"/>
    <mergeCell ref="AV142:AX142"/>
    <mergeCell ref="AY142:BA142"/>
    <mergeCell ref="BB142:BD142"/>
    <mergeCell ref="AV143:AX143"/>
    <mergeCell ref="AY143:BA143"/>
    <mergeCell ref="BB143:BD143"/>
    <mergeCell ref="AV138:AX138"/>
    <mergeCell ref="AY138:BA138"/>
    <mergeCell ref="BB138:BD138"/>
    <mergeCell ref="AV139:AX139"/>
    <mergeCell ref="AY139:BA139"/>
    <mergeCell ref="BB139:BD139"/>
    <mergeCell ref="AV140:AX140"/>
    <mergeCell ref="AY140:BA140"/>
    <mergeCell ref="BB140:BD140"/>
    <mergeCell ref="AV147:AX147"/>
    <mergeCell ref="AY147:BA147"/>
    <mergeCell ref="BB147:BD147"/>
    <mergeCell ref="AV148:AX148"/>
    <mergeCell ref="AY148:BA148"/>
    <mergeCell ref="BB148:BD148"/>
    <mergeCell ref="AV149:AX149"/>
    <mergeCell ref="AY149:BA149"/>
    <mergeCell ref="BB149:BD149"/>
    <mergeCell ref="AV144:AX144"/>
    <mergeCell ref="AY144:BA144"/>
    <mergeCell ref="BB144:BD144"/>
    <mergeCell ref="AV145:AX145"/>
    <mergeCell ref="AY145:BA145"/>
    <mergeCell ref="BB145:BD145"/>
    <mergeCell ref="AV146:AX146"/>
    <mergeCell ref="AY146:BA146"/>
    <mergeCell ref="BB146:BD146"/>
    <mergeCell ref="AV153:AX153"/>
    <mergeCell ref="AY153:BA153"/>
    <mergeCell ref="BB153:BD153"/>
    <mergeCell ref="AV154:AX154"/>
    <mergeCell ref="AY154:BA154"/>
    <mergeCell ref="BB154:BD154"/>
    <mergeCell ref="AV155:AX155"/>
    <mergeCell ref="AY155:BA155"/>
    <mergeCell ref="BB155:BD155"/>
    <mergeCell ref="AV150:AX150"/>
    <mergeCell ref="AY150:BA150"/>
    <mergeCell ref="BB150:BD150"/>
    <mergeCell ref="AV151:AX151"/>
    <mergeCell ref="AY151:BA151"/>
    <mergeCell ref="BB151:BD151"/>
    <mergeCell ref="AV152:AX152"/>
    <mergeCell ref="AY152:BA152"/>
    <mergeCell ref="BB152:BD152"/>
    <mergeCell ref="AV159:AX159"/>
    <mergeCell ref="AY159:BA159"/>
    <mergeCell ref="BB159:BD159"/>
    <mergeCell ref="AV160:AX160"/>
    <mergeCell ref="AY160:BA160"/>
    <mergeCell ref="BB160:BD160"/>
    <mergeCell ref="AV161:AX161"/>
    <mergeCell ref="AY161:BA161"/>
    <mergeCell ref="BB161:BD161"/>
    <mergeCell ref="AV156:AX156"/>
    <mergeCell ref="AY156:BA156"/>
    <mergeCell ref="BB156:BD156"/>
    <mergeCell ref="AV157:AX157"/>
    <mergeCell ref="AY157:BA157"/>
    <mergeCell ref="BB157:BD157"/>
    <mergeCell ref="AV158:AX158"/>
    <mergeCell ref="AY158:BA158"/>
    <mergeCell ref="BB158:BD158"/>
    <mergeCell ref="AV165:AX165"/>
    <mergeCell ref="AY165:BA165"/>
    <mergeCell ref="BB165:BD165"/>
    <mergeCell ref="AV166:AX166"/>
    <mergeCell ref="AY166:BA166"/>
    <mergeCell ref="BB166:BD166"/>
    <mergeCell ref="AV167:AX167"/>
    <mergeCell ref="AY167:BA167"/>
    <mergeCell ref="BB167:BD167"/>
    <mergeCell ref="AV162:AX162"/>
    <mergeCell ref="AY162:BA162"/>
    <mergeCell ref="BB162:BD162"/>
    <mergeCell ref="AV163:AX163"/>
    <mergeCell ref="AY163:BA163"/>
    <mergeCell ref="BB163:BD163"/>
    <mergeCell ref="AV164:AX164"/>
    <mergeCell ref="AY164:BA164"/>
    <mergeCell ref="BB164:BD164"/>
    <mergeCell ref="AV171:AX171"/>
    <mergeCell ref="AY171:BA171"/>
    <mergeCell ref="BB171:BD171"/>
    <mergeCell ref="AV172:AX172"/>
    <mergeCell ref="AY172:BA172"/>
    <mergeCell ref="BB172:BD172"/>
    <mergeCell ref="AV173:AX173"/>
    <mergeCell ref="AY173:BA173"/>
    <mergeCell ref="BB173:BD173"/>
    <mergeCell ref="AV168:AX168"/>
    <mergeCell ref="AY168:BA168"/>
    <mergeCell ref="BB168:BD168"/>
    <mergeCell ref="AV169:AX169"/>
    <mergeCell ref="AY169:BA169"/>
    <mergeCell ref="BB169:BD169"/>
    <mergeCell ref="AV170:AX170"/>
    <mergeCell ref="AY170:BA170"/>
    <mergeCell ref="BB170:BD170"/>
    <mergeCell ref="AV177:AX177"/>
    <mergeCell ref="AY177:BA177"/>
    <mergeCell ref="BB177:BD177"/>
    <mergeCell ref="AV178:AX178"/>
    <mergeCell ref="AY178:BA178"/>
    <mergeCell ref="BB178:BD178"/>
    <mergeCell ref="AV179:AX179"/>
    <mergeCell ref="AY179:BA179"/>
    <mergeCell ref="BB179:BD179"/>
    <mergeCell ref="AV174:AX174"/>
    <mergeCell ref="AY174:BA174"/>
    <mergeCell ref="BB174:BD174"/>
    <mergeCell ref="AV175:AX175"/>
    <mergeCell ref="AY175:BA175"/>
    <mergeCell ref="BB175:BD175"/>
    <mergeCell ref="AV176:AX176"/>
    <mergeCell ref="AY176:BA176"/>
    <mergeCell ref="BB176:BD176"/>
    <mergeCell ref="AV183:AX183"/>
    <mergeCell ref="AY183:BA183"/>
    <mergeCell ref="BB183:BD183"/>
    <mergeCell ref="AV184:AX184"/>
    <mergeCell ref="AY184:BA184"/>
    <mergeCell ref="BB184:BD184"/>
    <mergeCell ref="AV185:AX185"/>
    <mergeCell ref="AY185:BA185"/>
    <mergeCell ref="BB185:BD185"/>
    <mergeCell ref="AV180:AX180"/>
    <mergeCell ref="AY180:BA180"/>
    <mergeCell ref="BB180:BD180"/>
    <mergeCell ref="AV181:AX181"/>
    <mergeCell ref="AY181:BA181"/>
    <mergeCell ref="BB181:BD181"/>
    <mergeCell ref="AV182:AX182"/>
    <mergeCell ref="AY182:BA182"/>
    <mergeCell ref="BB182:BD182"/>
    <mergeCell ref="AV189:AX189"/>
    <mergeCell ref="AY189:BA189"/>
    <mergeCell ref="BB189:BD189"/>
    <mergeCell ref="AV190:AX190"/>
    <mergeCell ref="AY190:BA190"/>
    <mergeCell ref="BB190:BD190"/>
    <mergeCell ref="AV191:AX191"/>
    <mergeCell ref="AY191:BA191"/>
    <mergeCell ref="BB191:BD191"/>
    <mergeCell ref="AV186:AX186"/>
    <mergeCell ref="AY186:BA186"/>
    <mergeCell ref="BB186:BD186"/>
    <mergeCell ref="AV187:AX187"/>
    <mergeCell ref="AY187:BA187"/>
    <mergeCell ref="BB187:BD187"/>
    <mergeCell ref="AV188:AX188"/>
    <mergeCell ref="AY188:BA188"/>
    <mergeCell ref="BB188:BD188"/>
    <mergeCell ref="AV195:AX195"/>
    <mergeCell ref="AY195:BA195"/>
    <mergeCell ref="BB195:BD195"/>
    <mergeCell ref="AV196:AX196"/>
    <mergeCell ref="AY196:BA196"/>
    <mergeCell ref="BB196:BD196"/>
    <mergeCell ref="AV197:AX197"/>
    <mergeCell ref="AY197:BA197"/>
    <mergeCell ref="BB197:BD197"/>
    <mergeCell ref="AV192:AX192"/>
    <mergeCell ref="AY192:BA192"/>
    <mergeCell ref="BB192:BD192"/>
    <mergeCell ref="AV193:AX193"/>
    <mergeCell ref="AY193:BA193"/>
    <mergeCell ref="BB193:BD193"/>
    <mergeCell ref="AV194:AX194"/>
    <mergeCell ref="AY194:BA194"/>
    <mergeCell ref="BB194:BD194"/>
    <mergeCell ref="AV201:AX201"/>
    <mergeCell ref="AY201:BA201"/>
    <mergeCell ref="BB201:BD201"/>
    <mergeCell ref="AV202:AX202"/>
    <mergeCell ref="AY202:BA202"/>
    <mergeCell ref="BB202:BD202"/>
    <mergeCell ref="AV203:AX203"/>
    <mergeCell ref="AY203:BA203"/>
    <mergeCell ref="BB203:BD203"/>
    <mergeCell ref="AV198:AX198"/>
    <mergeCell ref="AY198:BA198"/>
    <mergeCell ref="BB198:BD198"/>
    <mergeCell ref="AV199:AX199"/>
    <mergeCell ref="AY199:BA199"/>
    <mergeCell ref="BB199:BD199"/>
    <mergeCell ref="AV200:AX200"/>
    <mergeCell ref="AY200:BA200"/>
    <mergeCell ref="BB200:BD200"/>
    <mergeCell ref="AV207:AX207"/>
    <mergeCell ref="AY207:BA207"/>
    <mergeCell ref="BB207:BD207"/>
    <mergeCell ref="AV208:AX208"/>
    <mergeCell ref="AY208:BA208"/>
    <mergeCell ref="BB208:BD208"/>
    <mergeCell ref="AV209:AX209"/>
    <mergeCell ref="AY209:BA209"/>
    <mergeCell ref="BB209:BD209"/>
    <mergeCell ref="AV204:AX204"/>
    <mergeCell ref="AY204:BA204"/>
    <mergeCell ref="BB204:BD204"/>
    <mergeCell ref="AV205:AX205"/>
    <mergeCell ref="AY205:BA205"/>
    <mergeCell ref="BB205:BD205"/>
    <mergeCell ref="AV206:AX206"/>
    <mergeCell ref="AY206:BA206"/>
    <mergeCell ref="BB206:BD206"/>
    <mergeCell ref="AV213:AX213"/>
    <mergeCell ref="AY213:BA213"/>
    <mergeCell ref="BB213:BD213"/>
    <mergeCell ref="AV214:AX214"/>
    <mergeCell ref="AY214:BA214"/>
    <mergeCell ref="BB214:BD214"/>
    <mergeCell ref="AV215:AX215"/>
    <mergeCell ref="AY215:BA215"/>
    <mergeCell ref="BB215:BD215"/>
    <mergeCell ref="AV210:AX210"/>
    <mergeCell ref="AY210:BA210"/>
    <mergeCell ref="BB210:BD210"/>
    <mergeCell ref="AV211:AX211"/>
    <mergeCell ref="AY211:BA211"/>
    <mergeCell ref="BB211:BD211"/>
    <mergeCell ref="AV212:AX212"/>
    <mergeCell ref="AY212:BA212"/>
    <mergeCell ref="BB212:BD212"/>
    <mergeCell ref="AV219:AX219"/>
    <mergeCell ref="AY219:BA219"/>
    <mergeCell ref="BB219:BD219"/>
    <mergeCell ref="AV220:AX220"/>
    <mergeCell ref="AY220:BA220"/>
    <mergeCell ref="BB220:BD220"/>
    <mergeCell ref="AV221:AX221"/>
    <mergeCell ref="AY221:BA221"/>
    <mergeCell ref="BB221:BD221"/>
    <mergeCell ref="AV216:AX216"/>
    <mergeCell ref="AY216:BA216"/>
    <mergeCell ref="BB216:BD216"/>
    <mergeCell ref="AV217:AX217"/>
    <mergeCell ref="AY217:BA217"/>
    <mergeCell ref="BB217:BD217"/>
    <mergeCell ref="AV218:AX218"/>
    <mergeCell ref="AY218:BA218"/>
    <mergeCell ref="BB218:BD218"/>
    <mergeCell ref="AV225:AX225"/>
    <mergeCell ref="AY225:BA225"/>
    <mergeCell ref="BB225:BD225"/>
    <mergeCell ref="AV226:AX226"/>
    <mergeCell ref="AY226:BA226"/>
    <mergeCell ref="BB226:BD226"/>
    <mergeCell ref="AV227:AX227"/>
    <mergeCell ref="AY227:BA227"/>
    <mergeCell ref="BB227:BD227"/>
    <mergeCell ref="AV222:AX222"/>
    <mergeCell ref="AY222:BA222"/>
    <mergeCell ref="BB222:BD222"/>
    <mergeCell ref="AV223:AX223"/>
    <mergeCell ref="AY223:BA223"/>
    <mergeCell ref="BB223:BD223"/>
    <mergeCell ref="AV224:AX224"/>
    <mergeCell ref="AY224:BA224"/>
    <mergeCell ref="BB224:BD224"/>
    <mergeCell ref="AV231:AX231"/>
    <mergeCell ref="AY231:BA231"/>
    <mergeCell ref="BB231:BD231"/>
    <mergeCell ref="AV232:AX232"/>
    <mergeCell ref="AY232:BA232"/>
    <mergeCell ref="BB232:BD232"/>
    <mergeCell ref="AV233:AX233"/>
    <mergeCell ref="AY233:BA233"/>
    <mergeCell ref="BB233:BD233"/>
    <mergeCell ref="AV228:AX228"/>
    <mergeCell ref="AY228:BA228"/>
    <mergeCell ref="BB228:BD228"/>
    <mergeCell ref="AV229:AX229"/>
    <mergeCell ref="AY229:BA229"/>
    <mergeCell ref="BB229:BD229"/>
    <mergeCell ref="AV230:AX230"/>
    <mergeCell ref="AY230:BA230"/>
    <mergeCell ref="BB230:BD230"/>
    <mergeCell ref="AV237:AX237"/>
    <mergeCell ref="AY237:BA237"/>
    <mergeCell ref="BB237:BD237"/>
    <mergeCell ref="AV238:AX238"/>
    <mergeCell ref="AY238:BA238"/>
    <mergeCell ref="BB238:BD238"/>
    <mergeCell ref="AV239:AX239"/>
    <mergeCell ref="AY239:BA239"/>
    <mergeCell ref="BB239:BD239"/>
    <mergeCell ref="AV234:AX234"/>
    <mergeCell ref="AY234:BA234"/>
    <mergeCell ref="BB234:BD234"/>
    <mergeCell ref="AV235:AX235"/>
    <mergeCell ref="AY235:BA235"/>
    <mergeCell ref="BB235:BD235"/>
    <mergeCell ref="AV236:AX236"/>
    <mergeCell ref="AY236:BA236"/>
    <mergeCell ref="BB236:BD236"/>
    <mergeCell ref="AV243:AX243"/>
    <mergeCell ref="AY243:BA243"/>
    <mergeCell ref="BB243:BD243"/>
    <mergeCell ref="AV244:AX244"/>
    <mergeCell ref="AY244:BA244"/>
    <mergeCell ref="BB244:BD244"/>
    <mergeCell ref="AV245:AX245"/>
    <mergeCell ref="AY245:BA245"/>
    <mergeCell ref="BB245:BD245"/>
    <mergeCell ref="AV240:AX240"/>
    <mergeCell ref="AY240:BA240"/>
    <mergeCell ref="BB240:BD240"/>
    <mergeCell ref="AV241:AX241"/>
    <mergeCell ref="AY241:BA241"/>
    <mergeCell ref="BB241:BD241"/>
    <mergeCell ref="AV242:AX242"/>
    <mergeCell ref="AY242:BA242"/>
    <mergeCell ref="BB242:BD242"/>
    <mergeCell ref="AV249:AX249"/>
    <mergeCell ref="AY249:BA249"/>
    <mergeCell ref="BB249:BD249"/>
    <mergeCell ref="AV250:AX250"/>
    <mergeCell ref="AY250:BA250"/>
    <mergeCell ref="BB250:BD250"/>
    <mergeCell ref="AV251:AX251"/>
    <mergeCell ref="AY251:BA251"/>
    <mergeCell ref="BB251:BD251"/>
    <mergeCell ref="AV246:AX246"/>
    <mergeCell ref="AY246:BA246"/>
    <mergeCell ref="BB246:BD246"/>
    <mergeCell ref="AV247:AX247"/>
    <mergeCell ref="AY247:BA247"/>
    <mergeCell ref="BB247:BD247"/>
    <mergeCell ref="AV248:AX248"/>
    <mergeCell ref="AY248:BA248"/>
    <mergeCell ref="BB248:BD248"/>
    <mergeCell ref="AV255:AX255"/>
    <mergeCell ref="AY255:BA255"/>
    <mergeCell ref="BB255:BD255"/>
    <mergeCell ref="AV256:AX256"/>
    <mergeCell ref="AY256:BA256"/>
    <mergeCell ref="BB256:BD256"/>
    <mergeCell ref="AV257:AX257"/>
    <mergeCell ref="AY257:BA257"/>
    <mergeCell ref="BB257:BD257"/>
    <mergeCell ref="AV252:AX252"/>
    <mergeCell ref="AY252:BA252"/>
    <mergeCell ref="BB252:BD252"/>
    <mergeCell ref="AV253:AX253"/>
    <mergeCell ref="AY253:BA253"/>
    <mergeCell ref="BB253:BD253"/>
    <mergeCell ref="AV254:AX254"/>
    <mergeCell ref="AY254:BA254"/>
    <mergeCell ref="BB254:BD254"/>
    <mergeCell ref="AV261:AX261"/>
    <mergeCell ref="AY261:BA261"/>
    <mergeCell ref="BB261:BD261"/>
    <mergeCell ref="AV262:AX262"/>
    <mergeCell ref="AY262:BA262"/>
    <mergeCell ref="BB262:BD262"/>
    <mergeCell ref="AV263:AX263"/>
    <mergeCell ref="AY263:BA263"/>
    <mergeCell ref="BB263:BD263"/>
    <mergeCell ref="AV258:AX258"/>
    <mergeCell ref="AY258:BA258"/>
    <mergeCell ref="BB258:BD258"/>
    <mergeCell ref="AV259:AX259"/>
    <mergeCell ref="AY259:BA259"/>
    <mergeCell ref="BB259:BD259"/>
    <mergeCell ref="AV260:AX260"/>
    <mergeCell ref="AY260:BA260"/>
    <mergeCell ref="BB260:BD260"/>
    <mergeCell ref="AV267:AX267"/>
    <mergeCell ref="AY267:BA267"/>
    <mergeCell ref="BB267:BD267"/>
    <mergeCell ref="AV268:AX268"/>
    <mergeCell ref="AY268:BA268"/>
    <mergeCell ref="BB268:BD268"/>
    <mergeCell ref="AV269:AX269"/>
    <mergeCell ref="AY269:BA269"/>
    <mergeCell ref="BB269:BD269"/>
    <mergeCell ref="AV264:AX264"/>
    <mergeCell ref="AY264:BA264"/>
    <mergeCell ref="BB264:BD264"/>
    <mergeCell ref="AV265:AX265"/>
    <mergeCell ref="AY265:BA265"/>
    <mergeCell ref="BB265:BD265"/>
    <mergeCell ref="AV266:AX266"/>
    <mergeCell ref="AY266:BA266"/>
    <mergeCell ref="BB266:BD266"/>
    <mergeCell ref="AV273:AX273"/>
    <mergeCell ref="AY273:BA273"/>
    <mergeCell ref="BB273:BD273"/>
    <mergeCell ref="AV274:AX274"/>
    <mergeCell ref="AY274:BA274"/>
    <mergeCell ref="BB274:BD274"/>
    <mergeCell ref="AV275:AX275"/>
    <mergeCell ref="AY275:BA275"/>
    <mergeCell ref="BB275:BD275"/>
    <mergeCell ref="AV270:AX270"/>
    <mergeCell ref="AY270:BA270"/>
    <mergeCell ref="BB270:BD270"/>
    <mergeCell ref="AV271:AX271"/>
    <mergeCell ref="AY271:BA271"/>
    <mergeCell ref="BB271:BD271"/>
    <mergeCell ref="AV272:AX272"/>
    <mergeCell ref="AY272:BA272"/>
    <mergeCell ref="BB272:BD272"/>
    <mergeCell ref="AV279:AX279"/>
    <mergeCell ref="AY279:BA279"/>
    <mergeCell ref="BB279:BD279"/>
    <mergeCell ref="AV280:AX280"/>
    <mergeCell ref="AY280:BA280"/>
    <mergeCell ref="BB280:BD280"/>
    <mergeCell ref="AV281:AX281"/>
    <mergeCell ref="AY281:BA281"/>
    <mergeCell ref="BB281:BD281"/>
    <mergeCell ref="AV276:AX276"/>
    <mergeCell ref="AY276:BA276"/>
    <mergeCell ref="BB276:BD276"/>
    <mergeCell ref="AV277:AX277"/>
    <mergeCell ref="AY277:BA277"/>
    <mergeCell ref="BB277:BD277"/>
    <mergeCell ref="AV278:AX278"/>
    <mergeCell ref="AY278:BA278"/>
    <mergeCell ref="BB278:BD278"/>
    <mergeCell ref="AV285:AX285"/>
    <mergeCell ref="AY285:BA285"/>
    <mergeCell ref="BB285:BD285"/>
    <mergeCell ref="AV286:AX286"/>
    <mergeCell ref="AY286:BA286"/>
    <mergeCell ref="BB286:BD286"/>
    <mergeCell ref="AV287:AX287"/>
    <mergeCell ref="AY287:BA287"/>
    <mergeCell ref="BB287:BD287"/>
    <mergeCell ref="AV282:AX282"/>
    <mergeCell ref="AY282:BA282"/>
    <mergeCell ref="BB282:BD282"/>
    <mergeCell ref="AV283:AX283"/>
    <mergeCell ref="AY283:BA283"/>
    <mergeCell ref="BB283:BD283"/>
    <mergeCell ref="AV284:AX284"/>
    <mergeCell ref="AY284:BA284"/>
    <mergeCell ref="BB284:BD284"/>
    <mergeCell ref="AV291:AX291"/>
    <mergeCell ref="AY291:BA291"/>
    <mergeCell ref="BB291:BD291"/>
    <mergeCell ref="AV292:AX292"/>
    <mergeCell ref="AY292:BA292"/>
    <mergeCell ref="BB292:BD292"/>
    <mergeCell ref="AV293:AX293"/>
    <mergeCell ref="AY293:BA293"/>
    <mergeCell ref="BB293:BD293"/>
    <mergeCell ref="AV288:AX288"/>
    <mergeCell ref="AY288:BA288"/>
    <mergeCell ref="BB288:BD288"/>
    <mergeCell ref="AV289:AX289"/>
    <mergeCell ref="AY289:BA289"/>
    <mergeCell ref="BB289:BD289"/>
    <mergeCell ref="AV290:AX290"/>
    <mergeCell ref="AY290:BA290"/>
    <mergeCell ref="BB290:BD290"/>
    <mergeCell ref="AV297:AX297"/>
    <mergeCell ref="AY297:BA297"/>
    <mergeCell ref="BB297:BD297"/>
    <mergeCell ref="AV298:AX298"/>
    <mergeCell ref="AY298:BA298"/>
    <mergeCell ref="BB298:BD298"/>
    <mergeCell ref="AV299:AX299"/>
    <mergeCell ref="AY299:BA299"/>
    <mergeCell ref="BB299:BD299"/>
    <mergeCell ref="AV294:AX294"/>
    <mergeCell ref="AY294:BA294"/>
    <mergeCell ref="BB294:BD294"/>
    <mergeCell ref="AV295:AX295"/>
    <mergeCell ref="AY295:BA295"/>
    <mergeCell ref="BB295:BD295"/>
    <mergeCell ref="AV296:AX296"/>
    <mergeCell ref="AY296:BA296"/>
    <mergeCell ref="BB296:BD296"/>
    <mergeCell ref="AV303:AX303"/>
    <mergeCell ref="AY303:BA303"/>
    <mergeCell ref="BB303:BD303"/>
    <mergeCell ref="AV304:AX304"/>
    <mergeCell ref="AY304:BA304"/>
    <mergeCell ref="BB304:BD304"/>
    <mergeCell ref="AV305:AX305"/>
    <mergeCell ref="AY305:BA305"/>
    <mergeCell ref="BB305:BD305"/>
    <mergeCell ref="AV300:AX300"/>
    <mergeCell ref="AY300:BA300"/>
    <mergeCell ref="BB300:BD300"/>
    <mergeCell ref="AV301:AX301"/>
    <mergeCell ref="AY301:BA301"/>
    <mergeCell ref="BB301:BD301"/>
    <mergeCell ref="AV302:AX302"/>
    <mergeCell ref="AY302:BA302"/>
    <mergeCell ref="BB302:BD302"/>
    <mergeCell ref="AV309:AX309"/>
    <mergeCell ref="AY309:BA309"/>
    <mergeCell ref="BB309:BD309"/>
    <mergeCell ref="AV310:AX310"/>
    <mergeCell ref="AY310:BA310"/>
    <mergeCell ref="BB310:BD310"/>
    <mergeCell ref="AV311:AX311"/>
    <mergeCell ref="AY311:BA311"/>
    <mergeCell ref="BB311:BD311"/>
    <mergeCell ref="AV306:AX306"/>
    <mergeCell ref="AY306:BA306"/>
    <mergeCell ref="BB306:BD306"/>
    <mergeCell ref="AV307:AX307"/>
    <mergeCell ref="AY307:BA307"/>
    <mergeCell ref="BB307:BD307"/>
    <mergeCell ref="AV308:AX308"/>
    <mergeCell ref="AY308:BA308"/>
    <mergeCell ref="BB308:BD308"/>
    <mergeCell ref="AV315:AX315"/>
    <mergeCell ref="AY315:BA315"/>
    <mergeCell ref="BB315:BD315"/>
    <mergeCell ref="AV316:AX316"/>
    <mergeCell ref="AY316:BA316"/>
    <mergeCell ref="BB316:BD316"/>
    <mergeCell ref="AV317:AX317"/>
    <mergeCell ref="AY317:BA317"/>
    <mergeCell ref="BB317:BD317"/>
    <mergeCell ref="AV312:AX312"/>
    <mergeCell ref="AY312:BA312"/>
    <mergeCell ref="BB312:BD312"/>
    <mergeCell ref="AV313:AX313"/>
    <mergeCell ref="AY313:BA313"/>
    <mergeCell ref="BB313:BD313"/>
    <mergeCell ref="AV314:AX314"/>
    <mergeCell ref="AY314:BA314"/>
    <mergeCell ref="BB314:BD314"/>
    <mergeCell ref="AV321:AX321"/>
    <mergeCell ref="AY321:BA321"/>
    <mergeCell ref="BB321:BD321"/>
    <mergeCell ref="AV322:AX322"/>
    <mergeCell ref="AY322:BA322"/>
    <mergeCell ref="BB322:BD322"/>
    <mergeCell ref="AV323:AX323"/>
    <mergeCell ref="AY323:BA323"/>
    <mergeCell ref="BB323:BD323"/>
    <mergeCell ref="AV318:AX318"/>
    <mergeCell ref="AY318:BA318"/>
    <mergeCell ref="BB318:BD318"/>
    <mergeCell ref="AV319:AX319"/>
    <mergeCell ref="AY319:BA319"/>
    <mergeCell ref="BB319:BD319"/>
    <mergeCell ref="AV320:AX320"/>
    <mergeCell ref="AY320:BA320"/>
    <mergeCell ref="BB320:BD320"/>
    <mergeCell ref="AV327:AX327"/>
    <mergeCell ref="AY327:BA327"/>
    <mergeCell ref="BB327:BD327"/>
    <mergeCell ref="AV328:AX328"/>
    <mergeCell ref="AY328:BA328"/>
    <mergeCell ref="BB328:BD328"/>
    <mergeCell ref="AV329:AX329"/>
    <mergeCell ref="AY329:BA329"/>
    <mergeCell ref="BB329:BD329"/>
    <mergeCell ref="AV324:AX324"/>
    <mergeCell ref="AY324:BA324"/>
    <mergeCell ref="BB324:BD324"/>
    <mergeCell ref="AV325:AX325"/>
    <mergeCell ref="AY325:BA325"/>
    <mergeCell ref="BB325:BD325"/>
    <mergeCell ref="AV326:AX326"/>
    <mergeCell ref="AY326:BA326"/>
    <mergeCell ref="BB326:BD326"/>
    <mergeCell ref="AV333:AX333"/>
    <mergeCell ref="AY333:BA333"/>
    <mergeCell ref="BB333:BD333"/>
    <mergeCell ref="AV334:AX334"/>
    <mergeCell ref="AY334:BA334"/>
    <mergeCell ref="BB334:BD334"/>
    <mergeCell ref="AV335:AX335"/>
    <mergeCell ref="AY335:BA335"/>
    <mergeCell ref="BB335:BD335"/>
    <mergeCell ref="AV330:AX330"/>
    <mergeCell ref="AY330:BA330"/>
    <mergeCell ref="BB330:BD330"/>
    <mergeCell ref="AV331:AX331"/>
    <mergeCell ref="AY331:BA331"/>
    <mergeCell ref="BB331:BD331"/>
    <mergeCell ref="AV332:AX332"/>
    <mergeCell ref="AY332:BA332"/>
    <mergeCell ref="BB332:BD332"/>
    <mergeCell ref="AV339:AX339"/>
    <mergeCell ref="AY339:BA339"/>
    <mergeCell ref="BB339:BD339"/>
    <mergeCell ref="AV340:AX340"/>
    <mergeCell ref="AY340:BA340"/>
    <mergeCell ref="BB340:BD340"/>
    <mergeCell ref="AV341:AX341"/>
    <mergeCell ref="AY341:BA341"/>
    <mergeCell ref="BB341:BD341"/>
    <mergeCell ref="AV336:AX336"/>
    <mergeCell ref="AY336:BA336"/>
    <mergeCell ref="BB336:BD336"/>
    <mergeCell ref="AV337:AX337"/>
    <mergeCell ref="AY337:BA337"/>
    <mergeCell ref="BB337:BD337"/>
    <mergeCell ref="AV338:AX338"/>
    <mergeCell ref="AY338:BA338"/>
    <mergeCell ref="BB338:BD338"/>
    <mergeCell ref="AV345:AX345"/>
    <mergeCell ref="AY345:BA345"/>
    <mergeCell ref="BB345:BD345"/>
    <mergeCell ref="AV346:AX346"/>
    <mergeCell ref="AY346:BA346"/>
    <mergeCell ref="BB346:BD346"/>
    <mergeCell ref="AV347:AX347"/>
    <mergeCell ref="AY347:BA347"/>
    <mergeCell ref="BB347:BD347"/>
    <mergeCell ref="AV342:AX342"/>
    <mergeCell ref="AY342:BA342"/>
    <mergeCell ref="BB342:BD342"/>
    <mergeCell ref="AV343:AX343"/>
    <mergeCell ref="AY343:BA343"/>
    <mergeCell ref="BB343:BD343"/>
    <mergeCell ref="AV344:AX344"/>
    <mergeCell ref="AY344:BA344"/>
    <mergeCell ref="BB344:BD344"/>
    <mergeCell ref="AV351:AX351"/>
    <mergeCell ref="AY351:BA351"/>
    <mergeCell ref="BB351:BD351"/>
    <mergeCell ref="AV352:AX352"/>
    <mergeCell ref="AY352:BA352"/>
    <mergeCell ref="BB352:BD352"/>
    <mergeCell ref="AV353:AX353"/>
    <mergeCell ref="AY353:BA353"/>
    <mergeCell ref="BB353:BD353"/>
    <mergeCell ref="AV348:AX348"/>
    <mergeCell ref="AY348:BA348"/>
    <mergeCell ref="BB348:BD348"/>
    <mergeCell ref="AV349:AX349"/>
    <mergeCell ref="AY349:BA349"/>
    <mergeCell ref="BB349:BD349"/>
    <mergeCell ref="AV350:AX350"/>
    <mergeCell ref="AY350:BA350"/>
    <mergeCell ref="BB350:BD350"/>
    <mergeCell ref="AV357:AX357"/>
    <mergeCell ref="AY357:BA357"/>
    <mergeCell ref="BB357:BD357"/>
    <mergeCell ref="AV358:AX358"/>
    <mergeCell ref="AY358:BA358"/>
    <mergeCell ref="BB358:BD358"/>
    <mergeCell ref="AV359:AX359"/>
    <mergeCell ref="AY359:BA359"/>
    <mergeCell ref="BB359:BD359"/>
    <mergeCell ref="AV354:AX354"/>
    <mergeCell ref="AY354:BA354"/>
    <mergeCell ref="BB354:BD354"/>
    <mergeCell ref="AV355:AX355"/>
    <mergeCell ref="AY355:BA355"/>
    <mergeCell ref="BB355:BD355"/>
    <mergeCell ref="AV356:AX356"/>
    <mergeCell ref="AY356:BA356"/>
    <mergeCell ref="BB356:BD356"/>
    <mergeCell ref="AV366:AX366"/>
    <mergeCell ref="AY366:BA366"/>
    <mergeCell ref="BB366:BD366"/>
    <mergeCell ref="AV363:AX363"/>
    <mergeCell ref="AY363:BA363"/>
    <mergeCell ref="BB363:BD363"/>
    <mergeCell ref="AV364:AX364"/>
    <mergeCell ref="AY364:BA364"/>
    <mergeCell ref="BB364:BD364"/>
    <mergeCell ref="AV365:AX365"/>
    <mergeCell ref="AY365:BA365"/>
    <mergeCell ref="BB365:BD365"/>
    <mergeCell ref="AV360:AX360"/>
    <mergeCell ref="AY360:BA360"/>
    <mergeCell ref="BB360:BD360"/>
    <mergeCell ref="AV361:AX361"/>
    <mergeCell ref="AY361:BA361"/>
    <mergeCell ref="BB361:BD361"/>
    <mergeCell ref="AV362:AX362"/>
    <mergeCell ref="AY362:BA362"/>
    <mergeCell ref="BB362:BD362"/>
  </mergeCells>
  <conditionalFormatting sqref="N7">
    <cfRule type="cellIs" dxfId="76" priority="13" operator="equal">
      <formula>"Extremo"</formula>
    </cfRule>
    <cfRule type="cellIs" dxfId="75" priority="14" operator="equal">
      <formula>"Alto"</formula>
    </cfRule>
    <cfRule type="cellIs" dxfId="74" priority="15" operator="equal">
      <formula>"Moderado"</formula>
    </cfRule>
    <cfRule type="cellIs" dxfId="73" priority="16" operator="equal">
      <formula>"Bajo"</formula>
    </cfRule>
  </conditionalFormatting>
  <conditionalFormatting sqref="N13 N19 N25 N31 N37 N43 N49 N55 N61 N67 N73 N79 N85 N91 N97 N103 N109 N115 N121 N127 N133 N139 N145 N151 N157 N163 N169 N175 N181 N187 N193 N199 N205 N211 N217 N223 N229 N235 N241 N247 N253 N259 N265 N271 N277 N283 N289 N295 N301 N307 N313 N319 N325 N331 N337 N343 N349 N355 N361">
    <cfRule type="cellIs" dxfId="72" priority="5" operator="equal">
      <formula>"Extremo"</formula>
    </cfRule>
    <cfRule type="cellIs" dxfId="71" priority="6" operator="equal">
      <formula>"Alto"</formula>
    </cfRule>
    <cfRule type="cellIs" dxfId="70" priority="7" operator="equal">
      <formula>"Moderado"</formula>
    </cfRule>
    <cfRule type="cellIs" dxfId="69" priority="8" operator="equal">
      <formula>"Bajo"</formula>
    </cfRule>
  </conditionalFormatting>
  <conditionalFormatting sqref="AT7">
    <cfRule type="cellIs" dxfId="68" priority="9" operator="equal">
      <formula>"Extremo"</formula>
    </cfRule>
    <cfRule type="cellIs" dxfId="67" priority="10" operator="equal">
      <formula>"Alto"</formula>
    </cfRule>
    <cfRule type="cellIs" dxfId="66" priority="11" operator="equal">
      <formula>"Moderado"</formula>
    </cfRule>
    <cfRule type="cellIs" dxfId="65" priority="12" operator="equal">
      <formula>"Bajo"</formula>
    </cfRule>
  </conditionalFormatting>
  <conditionalFormatting sqref="AT13 AT19 AT25 AT31 AT37 AT43 AT49 AT55 AT61 AT67 AT73 AT79 AT85 AT91 AT97 AT103 AT109 AT115 AT121 AT127 AT133 AT139 AT145 AT151 AT157 AT163 AT169 AT175 AT181 AT187 AT193 AT199 AT205 AT211 AT217 AT223 AT229 AT235 AT241 AT247 AT253 AT259 AT265 AT271 AT277 AT283 AT289 AT295 AT301 AT307 AT313 AT319 AT325 AT331 AT337 AT343 AT349 AT355 AT361">
    <cfRule type="cellIs" dxfId="64" priority="1" operator="equal">
      <formula>"Extremo"</formula>
    </cfRule>
    <cfRule type="cellIs" dxfId="63" priority="2" operator="equal">
      <formula>"Alto"</formula>
    </cfRule>
    <cfRule type="cellIs" dxfId="62" priority="3" operator="equal">
      <formula>"Moderado"</formula>
    </cfRule>
    <cfRule type="cellIs" dxfId="61" priority="4" operator="equal">
      <formula>"Bajo"</formula>
    </cfRule>
  </conditionalFormatting>
  <dataValidations count="60">
    <dataValidation type="list" allowBlank="1" showInputMessage="1" showErrorMessage="1" sqref="P203:P204">
      <formula1>$G$199:$G$204</formula1>
    </dataValidation>
    <dataValidation type="list" allowBlank="1" showInputMessage="1" showErrorMessage="1" sqref="P194:P198">
      <formula1>$G$193:$G$198</formula1>
    </dataValidation>
    <dataValidation type="list" allowBlank="1" showInputMessage="1" showErrorMessage="1" sqref="P190:P192">
      <formula1>$G$187:$G$192</formula1>
    </dataValidation>
    <dataValidation type="list" allowBlank="1" showInputMessage="1" showErrorMessage="1" sqref="P183:P186">
      <formula1>$G$181:$G$186</formula1>
    </dataValidation>
    <dataValidation type="list" allowBlank="1" showInputMessage="1" showErrorMessage="1" sqref="P177:P180">
      <formula1>$G$175:$G$180</formula1>
    </dataValidation>
    <dataValidation type="list" allowBlank="1" showInputMessage="1" showErrorMessage="1" sqref="P171:P174">
      <formula1>$G$169:$G$174</formula1>
    </dataValidation>
    <dataValidation type="list" allowBlank="1" showInputMessage="1" showErrorMessage="1" sqref="P166:P168">
      <formula1>$G$163:$G$168</formula1>
    </dataValidation>
    <dataValidation type="list" allowBlank="1" showInputMessage="1" showErrorMessage="1" sqref="P161:P162">
      <formula1>$G$157:$G$162</formula1>
    </dataValidation>
    <dataValidation type="list" allowBlank="1" showInputMessage="1" showErrorMessage="1" sqref="P154:P156">
      <formula1>$G$151:$G$156</formula1>
    </dataValidation>
    <dataValidation type="list" allowBlank="1" showInputMessage="1" showErrorMessage="1" sqref="P148:P150">
      <formula1>$G$145:$G$150</formula1>
    </dataValidation>
    <dataValidation type="list" allowBlank="1" showInputMessage="1" showErrorMessage="1" sqref="P143:P144">
      <formula1>$G$139:$G$144</formula1>
    </dataValidation>
    <dataValidation type="list" allowBlank="1" showInputMessage="1" showErrorMessage="1" sqref="P136:P138">
      <formula1>$G$133:$G$138</formula1>
    </dataValidation>
    <dataValidation type="list" allowBlank="1" showInputMessage="1" showErrorMessage="1" sqref="P131:P132">
      <formula1>$G$127:$G$132</formula1>
    </dataValidation>
    <dataValidation type="list" allowBlank="1" showInputMessage="1" showErrorMessage="1" sqref="P124:P126">
      <formula1>$G$121:$G$126</formula1>
    </dataValidation>
    <dataValidation type="list" allowBlank="1" showInputMessage="1" showErrorMessage="1" sqref="P118:P120">
      <formula1>$G$115:$G$120</formula1>
    </dataValidation>
    <dataValidation type="list" allowBlank="1" showInputMessage="1" showErrorMessage="1" sqref="P112:P114">
      <formula1>$G$109:$G$114</formula1>
    </dataValidation>
    <dataValidation type="list" allowBlank="1" showInputMessage="1" showErrorMessage="1" sqref="P106:P108">
      <formula1>$G$103:$G$108</formula1>
    </dataValidation>
    <dataValidation type="list" allowBlank="1" showInputMessage="1" showErrorMessage="1" sqref="P100:P102">
      <formula1>$G$97:$G$102</formula1>
    </dataValidation>
    <dataValidation type="list" allowBlank="1" showInputMessage="1" showErrorMessage="1" sqref="P94:P96">
      <formula1>$G$91:$G$96</formula1>
    </dataValidation>
    <dataValidation type="list" allowBlank="1" showInputMessage="1" showErrorMessage="1" sqref="P87:P90">
      <formula1>$G$85:$G$90</formula1>
    </dataValidation>
    <dataValidation type="list" allowBlank="1" showInputMessage="1" showErrorMessage="1" sqref="P82:P84">
      <formula1>$G$79:$G$84</formula1>
    </dataValidation>
    <dataValidation type="list" allowBlank="1" showInputMessage="1" showErrorMessage="1" sqref="P76:P78">
      <formula1>$G$73:$G$78</formula1>
    </dataValidation>
    <dataValidation type="list" allowBlank="1" showInputMessage="1" showErrorMessage="1" sqref="P71:P72">
      <formula1>$G$67:$G$72</formula1>
    </dataValidation>
    <dataValidation type="list" allowBlank="1" showInputMessage="1" showErrorMessage="1" sqref="P66">
      <formula1>$G$61:$G$66</formula1>
    </dataValidation>
    <dataValidation type="list" allowBlank="1" showInputMessage="1" showErrorMessage="1" sqref="P51:P54">
      <formula1>$G$49:$G$54</formula1>
    </dataValidation>
    <dataValidation type="list" allowBlank="1" showInputMessage="1" showErrorMessage="1" sqref="P47:P48">
      <formula1>$G$43:$G$48</formula1>
    </dataValidation>
    <dataValidation type="list" allowBlank="1" showInputMessage="1" showErrorMessage="1" sqref="P42 P241:P242">
      <formula1>$G$37:$G$42</formula1>
    </dataValidation>
    <dataValidation type="list" allowBlank="1" showInputMessage="1" showErrorMessage="1" sqref="P36 P193 P235:P236">
      <formula1>$G$31:$G$36</formula1>
    </dataValidation>
    <dataValidation type="list" allowBlank="1" showInputMessage="1" showErrorMessage="1" sqref="P29:P30 P85:P86 P187:P189 P229:P232">
      <formula1>$G$25:$G$30</formula1>
    </dataValidation>
    <dataValidation type="list" allowBlank="1" showInputMessage="1" showErrorMessage="1" sqref="P21:P24 P79:P81 P181:P182 P223 P283:P284">
      <formula1>$G$19:$G$24</formula1>
    </dataValidation>
    <dataValidation type="list" allowBlank="1" showInputMessage="1" showErrorMessage="1" sqref="P17:P20 P37:P41 P49:P50 P61:P65 P73:P75 P163:P165 P175 P205:P206 P217:P220 P253:P254 P271:P273">
      <formula1>$G$13:$G$18</formula1>
    </dataValidation>
    <dataValidation type="list" allowBlank="1" showInputMessage="1" showErrorMessage="1" sqref="P207:P210 P215:P216 P221:P222 P226:P228 P255:P258 P233:P234 P243:P246 P250:P252 P239:P240 P263:P264 P269:P270 P274:P276 P279:P282 P285:P288 P292:P294 P296:P300 P303:P306 P310:P312 P316:P318 P321:P366">
      <formula1>$G$13:$G$366</formula1>
    </dataValidation>
    <dataValidation type="list" allowBlank="1" showInputMessage="1" showErrorMessage="1" sqref="P7:P16 P25:P28 P31:P35 P43:P46 P289:P291 P67:P70 P103:P105 P109:P111 P115:P117 P121:P123 P157:P160 P169:P170 P199:P202 P211:P214 P259:P262 P224:P225 P247:P249 P237:P238 P277:P278 P55:P58">
      <formula1>$G$7:$G$12</formula1>
    </dataValidation>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J6"/>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K6:M6"/>
    <dataValidation allowBlank="1" showInputMessage="1" showErrorMessage="1" prompt="Si el resultado de las calificaciones del control o promedio en el diseño de los controles, está por debajo de 96%, se debe establecer un plan de acción que permita tener un control bien diseñado" sqref="AF6"/>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J6"/>
    <dataValidation allowBlank="1" showInputMessage="1" showErrorMessage="1" prompt="Promedio entre el diseño Total de Control y Total Solidez Individual " sqref="AL6"/>
    <dataValidation allowBlank="1" showInputMessage="1" showErrorMessage="1" prompt="- Adecuado (15)_x000a__x000a_- Inadecuado (0)_x000a_" sqref="T6:U6"/>
    <dataValidation allowBlank="1" showInputMessage="1" showErrorMessage="1" prompt="- Se investigan y se resuelven Oportunamente (15)_x000a__x000a_- No se investigan y resuelven Oportunamente (0)_x000a_" sqref="AB6:AC6"/>
    <dataValidation allowBlank="1" showInputMessage="1" showErrorMessage="1" prompt="Completa (10)_x000a__x000a_Incompleta (5)_x000a__x000a_No esxiste (0)" sqref="AD6:AE6"/>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Q6"/>
    <dataValidation allowBlank="1" showInputMessage="1" showErrorMessage="1" prompt="- Asignado (15)_x000a__x000a_- No Asignado (0)" sqref="R6:S6"/>
    <dataValidation allowBlank="1" showInputMessage="1" showErrorMessage="1" prompt="- Oportuna (15)_x000a__x000a_- Inoportuna (0)_x000a_" sqref="V6:W6"/>
    <dataValidation allowBlank="1" showInputMessage="1" showErrorMessage="1" prompt="- Prevenir (15)_x000a__x000a_- Detectar (10)_x000a__x000a_- No es un Control (0)" sqref="X6:Y6"/>
    <dataValidation allowBlank="1" showInputMessage="1" showErrorMessage="1" prompt="- Confiable (15)_x000a__x000a_- No Confiable (0)_x000a_" sqref="Z6:AA6"/>
    <dataValidation allowBlank="1" showInputMessage="1" showErrorMessage="1" prompt="Fuerte: Calificación entre 96 y 100_x000a__x000a_Moderado: Calificación entre 86 y 95_x000a__x000a_Débil: Calificación entre 0 y 85" sqref="AG6"/>
    <dataValidation allowBlank="1" showInputMessage="1" showErrorMessage="1" prompt="Fuerte: Siempre se ejecuta_x000a__x000a_Moderado: Algunas veces_x000a__x000a_Débil: No se ejecuta " sqref="AH6:AI6"/>
    <dataValidation allowBlank="1" showInputMessage="1" showErrorMessage="1" prompt="Fuerte: 100_x000a__x000a_Moderado: 50_x000a__x000a_Débil: 0" sqref="AK6"/>
    <dataValidation allowBlank="1" showInputMessage="1" showErrorMessage="1" prompt="Fuerte: 100_x000a__x000a_Moderado: Entre 50 y 99_x000a__x000a_Débil: Menor a 50" sqref="AM6"/>
    <dataValidation type="list" allowBlank="1" showInputMessage="1" showErrorMessage="1" sqref="P92:P93">
      <formula1>$F$7:$F$9</formula1>
    </dataValidation>
    <dataValidation type="list" allowBlank="1" showInputMessage="1" showErrorMessage="1" sqref="P97:P99">
      <formula1>$F$10:$F$13</formula1>
    </dataValidation>
    <dataValidation type="list" allowBlank="1" showInputMessage="1" showErrorMessage="1" sqref="P127:P130">
      <formula1>$F$7:$F$12</formula1>
    </dataValidation>
    <dataValidation type="list" allowBlank="1" showInputMessage="1" showErrorMessage="1" sqref="P133:P135 P265:P268">
      <formula1>$F$13:$F$16</formula1>
    </dataValidation>
    <dataValidation type="list" allowBlank="1" showInputMessage="1" showErrorMessage="1" sqref="P139:P142">
      <formula1>$F$17:$F$20</formula1>
    </dataValidation>
    <dataValidation type="list" allowBlank="1" showInputMessage="1" showErrorMessage="1" sqref="P145:P147">
      <formula1>$F$21:$F$23</formula1>
    </dataValidation>
    <dataValidation type="list" allowBlank="1" showInputMessage="1" showErrorMessage="1" sqref="P151:P153">
      <formula1>$F$24:$F$29</formula1>
    </dataValidation>
    <dataValidation type="list" allowBlank="1" showInputMessage="1" showErrorMessage="1" sqref="P301:P302">
      <formula1>$F$7:$F$10</formula1>
    </dataValidation>
    <dataValidation type="list" allowBlank="1" showInputMessage="1" showErrorMessage="1" sqref="P307:P309">
      <formula1>$F$11:$F$16</formula1>
    </dataValidation>
    <dataValidation type="list" allowBlank="1" showInputMessage="1" showErrorMessage="1" sqref="P313:P315">
      <formula1>$F$17:$F$22</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46">
        <x14:dataValidation type="list" allowBlank="1" showInputMessage="1" showErrorMessage="1">
          <x14:formula1>
            <xm:f>Listados!$E$3:$E$4</xm:f>
          </x14:formula1>
          <xm:sqref>H7:H12 H17:H18 H21:H24 H29:H30 H35:H36 H42 H47:H48 H51:H54 H60 H63:H66 H71:H72 H76:H78 H82:H84 H86:H90 H94:H96 H101:H102 H106:H108 H113:H114 H118:H120 H124:H126 H130:H132 H136:H138 H143:H144 H148:H150 H153:H156 H160:H162 H167:H168 H172:H174 H178:H180 H184:H186 H189:H192 H194:H198 H203:H204 H207:H210 H215:H216 H221:H222 H226:H228 H256:H258 H233:H234 H243:H246 H250:H252 H239:H240 H263:H264 H269:H270 H274:H276 H281:H288 H293:H294 H298:H300 H304:H1048576</xm:sqref>
        </x14:dataValidation>
        <x14:dataValidation type="list" allowBlank="1" showInputMessage="1" showErrorMessage="1">
          <x14:formula1>
            <xm:f>Listados!$E$26:$E$28</xm:f>
          </x14:formula1>
          <xm:sqref>AH7:AH90 AH94:AH366</xm:sqref>
        </x14:dataValidation>
        <x14:dataValidation type="list" allowBlank="1" showInputMessage="1" showErrorMessage="1">
          <x14:formula1>
            <xm:f>Listados!$C$26:$C$28</xm:f>
          </x14:formula1>
          <xm:sqref>AD7:AD90 AD94:AD366</xm:sqref>
        </x14:dataValidation>
        <x14:dataValidation type="list" allowBlank="1" showInputMessage="1" showErrorMessage="1">
          <x14:formula1>
            <xm:f>Listados!$G$26:$G$27</xm:f>
          </x14:formula1>
          <xm:sqref>Q17:Q24 Q29:Q30 Q35:Q36 Q42 Q47:Q48 Q51:Q54 Q60 Q66 Q71:Q72 Q76:Q78 Q82:Q84 Q87:Q90 Q94:Q96 Q100:Q102 Q106:Q114 Q118:Q120 Q124:Q126 Q131:Q132 Q136:Q138 Q143:Q144 Q148:Q150 Q154:Q156 Q161:Q162 Q166:Q168 Q171:Q174 Q176:Q180 Q183:Q192 Q194:Q198 Q203:Q210 Q215:Q216 Q221:Q222 Q226:Q228 Q255:Q258 Q233:Q234 Q243:Q246 Q250:Q252 Q239:Q240 Q263:Q264 Q269:Q276 Q7:Q12 Q279:Q288 Q292:Q300 Q303:Q366 X7:X90 X94:X96 X99 X101:X366</xm:sqref>
        </x14:dataValidation>
        <x14:dataValidation type="list" allowBlank="1" showInputMessage="1" showErrorMessage="1">
          <x14:formula1>
            <xm:f>Listados!$B$3:$B$20</xm:f>
          </x14:formula1>
          <xm:sqref>B361 B7:B12 B355 B349 B343 B337 B331 B325 B319 B223 B295 B301 B283 B91 B289 B97 B109 B277 B121 B127 B133 B139 B145 B241 B151 B271 B169 B217 B175 B181 B187 B193 B235 B211 B229 B265 B259 B307 B313</xm:sqref>
        </x14:dataValidation>
        <x14:dataValidation type="list" allowBlank="1" showInputMessage="1" showErrorMessage="1">
          <x14:formula1>
            <xm:f>Corrupción!$J$3:$J$7</xm:f>
          </x14:formula1>
          <xm:sqref>J7:J12 J91:J102 J133:J156 J265:J270 J295:J366</xm:sqref>
        </x14:dataValidation>
        <x14:dataValidation type="list" allowBlank="1" showInputMessage="1" showErrorMessage="1">
          <x14:formula1>
            <xm:f>Listados!$B$26:$B$27</xm:f>
          </x14:formula1>
          <xm:sqref>Z101:Z366 AB101:AB366 V101:V366 T101:T1048576 R7:R62 AB7:AB90 Z7:Z90 R64:R90 T7:T90 V7:V90 V94:V96 AB94:AB96 Z94:Z96 R94:R96 T94:T96 T99 V99 AB99 Z99 R99 R101:R366</xm:sqref>
        </x14:dataValidation>
        <x14:dataValidation type="list" allowBlank="1" showInputMessage="1" showErrorMessage="1">
          <x14:formula1>
            <xm:f>Listados!$G$3:$G$7</xm:f>
          </x14:formula1>
          <xm:sqref>L7:L12 L91:L102 L133:L156 L265:L270 L289:L366</xm:sqref>
        </x14:dataValidation>
        <x14:dataValidation type="list" allowBlank="1" showInputMessage="1" showErrorMessage="1">
          <x14:formula1>
            <xm:f>Listados!$D$3:$D$8</xm:f>
          </x14:formula1>
          <xm:sqref>E7:E12 E14:E18 E26:E30 E35:E36 E42 E47:E48 E51:E54 E56:E60 E62:E102 E104:E108 E110:E120 E122:E156 E158:E162 E164:E168 E172:E174 E178:E180 E184:E186 E189:E192 E194:E198 E200:E204 E206:E210 E212:E216 E221:E222 E226:E228 E256:E258 E233:E234 E243:E246 E250:E252 E237:E240 E260:E264 E266:E270 E272:E276 E281:E282 E284:E288 E293:E294 E296:E366</xm:sqref>
        </x14:dataValidation>
        <x14:dataValidation type="list" allowBlank="1" showInputMessage="1" showErrorMessage="1">
          <x14:formula1>
            <xm:f>Listados!$W$3:$W$7</xm:f>
          </x14:formula1>
          <xm:sqref>F7:F24 F27:F30 F35:F36 F42:F66 F69:F72 F74:F78 F82:F84 F86:F96 F98:F102 F107:F114 F118:F120 F124:F156 F160:F162 F167:F168 F172:F174 F178:F180 F184:F186 F189:F192 F194:F216 F221:F222 F226:F228 F250:F252 F243:F246 F233:F234 F237:F240 F256:F270 F272:F276 F281:F282 F284:F288 F293:F366</xm:sqref>
        </x14:dataValidation>
        <x14:dataValidation type="list" allowBlank="1" showInputMessage="1" showErrorMessage="1">
          <x14:formula1>
            <xm:f>'C:\Users\dpyate\Downloads\[MC-FO-07 MAPA DE RIEGOS DEL PROCESO (1).xlsm]Listados'!#REF!</xm:f>
          </x14:formula1>
          <xm:sqref>Q31:Q34 Q37:Q41 H31:H34 H37:H41 E31:F34 E37:F41 B25:B37 Q25:Q28 L25:L42 H25:H28 F25:F26 E25</xm:sqref>
        </x14:dataValidation>
        <x14:dataValidation type="list" allowBlank="1" showInputMessage="1" showErrorMessage="1">
          <x14:formula1>
            <xm:f>'C:\Users\dpyate\Downloads\[MC-FO-07 MAPA DE RIEGOS DEL PROCESO (1).xlsm]Corrupción'!#REF!</xm:f>
          </x14:formula1>
          <xm:sqref>J25:J42</xm:sqref>
        </x14:dataValidation>
        <x14:dataValidation type="list" allowBlank="1" showInputMessage="1" showErrorMessage="1">
          <x14:formula1>
            <xm:f>'C:\Users\ana sofia\Downloads\[RIESGO GRUPO GESTIÓN DOCUMENTAL (1).xlsx]Listados'!#REF!</xm:f>
          </x14:formula1>
          <xm:sqref>B43:B49 Q43:Q46 Q49:Q50 L43:L54 H43:H46 H49:H50 E49:E50 E43:E46</xm:sqref>
        </x14:dataValidation>
        <x14:dataValidation type="list" allowBlank="1" showInputMessage="1" showErrorMessage="1">
          <x14:formula1>
            <xm:f>'C:\Users\ana sofia\Downloads\[RIESGO GRUPO GESTIÓN DOCUMENTAL (1).xlsx]Corrupción'!#REF!</xm:f>
          </x14:formula1>
          <xm:sqref>J43:J54</xm:sqref>
        </x14:dataValidation>
        <x14:dataValidation type="list" allowBlank="1" showInputMessage="1" showErrorMessage="1">
          <x14:formula1>
            <xm:f>'C:\Users\Miguelito\Downloads\[Matriz de riesgos_Proceso GG_23062020.xlsx]Listados'!#REF!</xm:f>
          </x14:formula1>
          <xm:sqref>B55:B61 R63 Q55:Q59 Q61:Q65 L55:L66 H55:H59 H61:H62 E55 E61</xm:sqref>
        </x14:dataValidation>
        <x14:dataValidation type="list" allowBlank="1" showInputMessage="1" showErrorMessage="1">
          <x14:formula1>
            <xm:f>'C:\Users\Miguelito\Downloads\[Matriz de riesgos_Proceso GG_23062020.xlsx]Corrupción'!#REF!</xm:f>
          </x14:formula1>
          <xm:sqref>J55:J66</xm:sqref>
        </x14:dataValidation>
        <x14:dataValidation type="list" allowBlank="1" showInputMessage="1" showErrorMessage="1">
          <x14:formula1>
            <xm:f>'C:\Users\Miguelito\Downloads\[DDDOJ 190820 Formato de Riesgos VF1 (2).xlsx]Listados'!#REF!</xm:f>
          </x14:formula1>
          <xm:sqref>B67:B90 F67:F68 F73 F79:F81 F85 Q67:Q70 Q73:Q75 Q79:Q81 Q85:Q86 L67:L90 H67:H70 H73:H75 H85 H79:H80</xm:sqref>
        </x14:dataValidation>
        <x14:dataValidation type="list" allowBlank="1" showInputMessage="1" showErrorMessage="1">
          <x14:formula1>
            <xm:f>'C:\Users\Miguelito\Downloads\[DDDOJ 190820 Formato de Riesgos VF1 (2).xlsx]Corrupción'!#REF!</xm:f>
          </x14:formula1>
          <xm:sqref>J67:J90</xm:sqref>
        </x14:dataValidation>
        <x14:dataValidation type="list" allowBlank="1" showInputMessage="1" showErrorMessage="1">
          <x14:formula1>
            <xm:f>'C:\Users\Miguelito\Downloads\[Mapa de Riesgos_PROCESO SEGUIMIENTO Y EVALUACIÓN (1) (1).xlsx]Listados'!#REF!</xm:f>
          </x14:formula1>
          <xm:sqref>H91:H93 H97:H100 Q91:Q93 Q97:Q99</xm:sqref>
        </x14:dataValidation>
        <x14:dataValidation type="list" allowBlank="1" showInputMessage="1" showErrorMessage="1">
          <x14:formula1>
            <xm:f>'C:\Users\Miguelito\Downloads\[Mapa de Riesgos Seguridad jurídica.xlsx]Listados'!#REF!</xm:f>
          </x14:formula1>
          <xm:sqref>H81</xm:sqref>
        </x14:dataValidation>
        <x14:dataValidation type="list" allowBlank="1" showInputMessage="1" showErrorMessage="1">
          <x14:formula1>
            <xm:f>'C:\Users\Miguelito\Downloads\[Riesgos de Formulación (1).xlsx]Listados'!#REF!</xm:f>
          </x14:formula1>
          <xm:sqref>B103:B108 Q103:Q105 L103:L108 F103:F106 H103:H105 E103</xm:sqref>
        </x14:dataValidation>
        <x14:dataValidation type="list" allowBlank="1" showInputMessage="1" showErrorMessage="1">
          <x14:formula1>
            <xm:f>'C:\Users\Miguelito\Downloads\[Riesgos de Formulación (1).xlsx]Corrupción'!#REF!</xm:f>
          </x14:formula1>
          <xm:sqref>J103:J108</xm:sqref>
        </x14:dataValidation>
        <x14:dataValidation type="list" allowBlank="1" showInputMessage="1" showErrorMessage="1">
          <x14:formula1>
            <xm:f>'C:\Users\Miguelito\Downloads\[Riesgos Contractual (1).xlsx]Listados'!#REF!</xm:f>
          </x14:formula1>
          <xm:sqref>E109 K109:L114 H109:H112</xm:sqref>
        </x14:dataValidation>
        <x14:dataValidation type="list" allowBlank="1" showInputMessage="1" showErrorMessage="1">
          <x14:formula1>
            <xm:f>'C:\Users\Miguelito\Downloads\[Riesgos Contractual (1).xlsx]Corrupción'!#REF!</xm:f>
          </x14:formula1>
          <xm:sqref>J109:J114</xm:sqref>
        </x14:dataValidation>
        <x14:dataValidation type="list" allowBlank="1" showInputMessage="1" showErrorMessage="1">
          <x14:formula1>
            <xm:f>'C:\Users\Miguelito\Downloads\[Riesgos Prensa (1).xlsx]Listados'!#REF!</xm:f>
          </x14:formula1>
          <xm:sqref>B115:B120 Q115:Q117 L115:L120 H115:H117 F115:F117</xm:sqref>
        </x14:dataValidation>
        <x14:dataValidation type="list" allowBlank="1" showInputMessage="1" showErrorMessage="1">
          <x14:formula1>
            <xm:f>'C:\Users\Miguelito\Downloads\[Riesgos Prensa (1).xlsx]Corrupción'!#REF!</xm:f>
          </x14:formula1>
          <xm:sqref>J115:J120</xm:sqref>
        </x14:dataValidation>
        <x14:dataValidation type="list" allowBlank="1" showInputMessage="1" showErrorMessage="1">
          <x14:formula1>
            <xm:f>'C:\Users\Miguelito\Downloads\[Riesgos Proyectos Normativos (1).xlsx]Listados'!#REF!</xm:f>
          </x14:formula1>
          <xm:sqref>E121 Q121:Q123 L121:L126 H121:H123 F121:F123</xm:sqref>
        </x14:dataValidation>
        <x14:dataValidation type="list" allowBlank="1" showInputMessage="1" showErrorMessage="1">
          <x14:formula1>
            <xm:f>'C:\Users\Miguelito\Downloads\[Riesgos Proyectos Normativos (1).xlsx]Corrupción'!#REF!</xm:f>
          </x14:formula1>
          <xm:sqref>J121:J126</xm:sqref>
        </x14:dataValidation>
        <x14:dataValidation type="list" allowBlank="1" showInputMessage="1" showErrorMessage="1">
          <x14:formula1>
            <xm:f>'C:\Users\Miguelito\Downloads\[10. Mapa de Riesgos Gestión Juridica.xlsx]Listados'!#REF!</xm:f>
          </x14:formula1>
          <xm:sqref>C127:C132 Q127:Q130 Q133:Q135 Q139:Q142 Q145:Q147 Q151:Q153 Q157:Q160 Q163:Q165 L127:L132 H127:H129 H133:H135 H145:H147 H139:H142 H151:H152</xm:sqref>
        </x14:dataValidation>
        <x14:dataValidation type="list" allowBlank="1" showInputMessage="1" showErrorMessage="1">
          <x14:formula1>
            <xm:f>'C:\Users\Miguelito\Downloads\[10. Mapa de Riesgos Gestión Juridica.xlsx]Corrupción'!#REF!</xm:f>
          </x14:formula1>
          <xm:sqref>J127:J132</xm:sqref>
        </x14:dataValidation>
        <x14:dataValidation type="list" allowBlank="1" showInputMessage="1" showErrorMessage="1">
          <x14:formula1>
            <xm:f>'C:\Users\Miguelito\Downloads\[Gestión contra la criminalidad_SRPA-SPenintenciarioC.xlsx]Listados'!#REF!</xm:f>
          </x14:formula1>
          <xm:sqref>B157:B168 L157:L168 H157:H159 H163:H166 F157:F159 F163:F166 E157 E163</xm:sqref>
        </x14:dataValidation>
        <x14:dataValidation type="list" allowBlank="1" showInputMessage="1" showErrorMessage="1">
          <x14:formula1>
            <xm:f>'C:\Users\Miguelito\Downloads\[Gestión contra la criminalidad_SRPA-SPenintenciarioC.xlsx]Corrupción'!#REF!</xm:f>
          </x14:formula1>
          <xm:sqref>J157:J168</xm:sqref>
        </x14:dataValidation>
        <x14:dataValidation type="list" allowBlank="1" showInputMessage="1" showErrorMessage="1">
          <x14:formula1>
            <xm:f>'C:\Users\Miguelito\Downloads\[Riesgos Drogas_1 (1).xlsx]Listados'!#REF!</xm:f>
          </x14:formula1>
          <xm:sqref>Q169:Q170 Q175 Q181:Q182 Q193 L169:L198 H169:H171 H175:H177 H181:H183 H187:H188 H193 E169:F171 E175:F177 E181:F183 E187:F188 E193:F193</xm:sqref>
        </x14:dataValidation>
        <x14:dataValidation type="list" allowBlank="1" showInputMessage="1" showErrorMessage="1">
          <x14:formula1>
            <xm:f>'C:\Users\Miguelito\Downloads\[Riesgos Drogas_1 (1).xlsx]Corrupción'!#REF!</xm:f>
          </x14:formula1>
          <xm:sqref>J169:J198</xm:sqref>
        </x14:dataValidation>
        <x14:dataValidation type="list" allowBlank="1" showInputMessage="1" showErrorMessage="1">
          <x14:formula1>
            <xm:f>'C:\Users\Miguelito\Downloads\[Riesgos Gestión Financiera (1) (1).xlsx]Listados'!#REF!</xm:f>
          </x14:formula1>
          <xm:sqref>B199:B210 Q199:Q202 L199:L210 H199:H202 H205:H206 E199 E205</xm:sqref>
        </x14:dataValidation>
        <x14:dataValidation type="list" allowBlank="1" showInputMessage="1" showErrorMessage="1">
          <x14:formula1>
            <xm:f>'C:\Users\Miguelito\Downloads\[Riesgos Gestión Financiera (1) (1).xlsx]Corrupción'!#REF!</xm:f>
          </x14:formula1>
          <xm:sqref>J199:J210</xm:sqref>
        </x14:dataValidation>
        <x14:dataValidation type="list" allowBlank="1" showInputMessage="1" showErrorMessage="1">
          <x14:formula1>
            <xm:f>'C:\Users\Miguelito\Downloads\[Riesgos Gestión Humana (1).xlsx]Listados'!#REF!</xm:f>
          </x14:formula1>
          <xm:sqref>E211 E217:F220 Q211:Q214 Q217:Q220 L211:L222 H211:H214 H217:H220</xm:sqref>
        </x14:dataValidation>
        <x14:dataValidation type="list" allowBlank="1" showInputMessage="1" showErrorMessage="1">
          <x14:formula1>
            <xm:f>'C:\Users\Miguelito\Downloads\[Riesgos Gestión Humana (1).xlsx]Corrupción'!#REF!</xm:f>
          </x14:formula1>
          <xm:sqref>J211:J222</xm:sqref>
        </x14:dataValidation>
        <x14:dataValidation type="list" allowBlank="1" showInputMessage="1" showErrorMessage="1">
          <x14:formula1>
            <xm:f>'C:\Users\Miguelito\Downloads\[Formato matriz de riesgos_Gestión Mejora Institucional_071020.xlsx]Listados'!#REF!</xm:f>
          </x14:formula1>
          <xm:sqref>B247:B258 Q253:Q254 Q224:Q225 Q247:Q249 L247:L258 H253:H255 E247:F249 H247:H249 E224:E225 F223:F225 E253:F255 H225</xm:sqref>
        </x14:dataValidation>
        <x14:dataValidation type="list" allowBlank="1" showInputMessage="1" showErrorMessage="1">
          <x14:formula1>
            <xm:f>'C:\Users\Miguelito\Downloads\[Formato matriz de riesgos_Gestión Mejora Institucional_071020.xlsx]Corrupción'!#REF!</xm:f>
          </x14:formula1>
          <xm:sqref>J247:J258</xm:sqref>
        </x14:dataValidation>
        <x14:dataValidation type="list" allowBlank="1" showInputMessage="1" showErrorMessage="1">
          <x14:formula1>
            <xm:f>'C:\Users\Miguelito\Downloads\[PLANES Formato de Riesgos VF1.xlsx]Listados'!#REF!</xm:f>
          </x14:formula1>
          <xm:sqref>E259 H262 Q259:Q262 L259:L264 H237:H238 Q237:Q238</xm:sqref>
        </x14:dataValidation>
        <x14:dataValidation type="list" allowBlank="1" showInputMessage="1" showErrorMessage="1">
          <x14:formula1>
            <xm:f>'C:\Users\Miguelito\Downloads\[PLANES Formato de Riesgos VF1.xlsx]Corrupción'!#REF!</xm:f>
          </x14:formula1>
          <xm:sqref>J259:J264</xm:sqref>
        </x14:dataValidation>
        <x14:dataValidation type="list" allowBlank="1" showInputMessage="1" showErrorMessage="1">
          <x14:formula1>
            <xm:f>'C:\Users\Miguelito\Downloads\[Riesgos Gestión Humana oct 2020 (1).xlsx]Listados'!#REF!</xm:f>
          </x14:formula1>
          <xm:sqref>E223 E229:F232 E235:F236 E241:F242 Q223 Q229:Q232 Q241:Q242 L223:L246 H223:H224 H229:H232 H235:H236 H241:H242 Q235:Q236</xm:sqref>
        </x14:dataValidation>
        <x14:dataValidation type="list" allowBlank="1" showInputMessage="1" showErrorMessage="1">
          <x14:formula1>
            <xm:f>'C:\Users\Miguelito\Downloads\[Riesgos Gestión Humana oct 2020 (1).xlsx]Corrupción'!#REF!</xm:f>
          </x14:formula1>
          <xm:sqref>J223:J246</xm:sqref>
        </x14:dataValidation>
        <x14:dataValidation type="list" allowBlank="1" showInputMessage="1" showErrorMessage="1">
          <x14:formula1>
            <xm:f>'https://minjusticiagovco-my.sharepoint.com/personal/mjrodriguez_minjusticia_gov_co/Documents/MATRIZ DE RIESGOS/VIGENCIA 2022/PRIMER CUATRIMESTRE/[Riesgos OAP (1).xlsx]Listados'!#REF!</xm:f>
          </x14:formula1>
          <xm:sqref>E265</xm:sqref>
        </x14:dataValidation>
        <x14:dataValidation type="list" allowBlank="1" showInputMessage="1" showErrorMessage="1">
          <x14:formula1>
            <xm:f>'https://minjusticiagovco-my.sharepoint.com/personal/mjrodriguez_minjusticia_gov_co/Documents/MATRIZ DE RIESGOS/VIGENCIA 2022/PRIMER CUATRIMESTRE/[Mapa de Riesgos DIRECCIONAMIENTO (3).xlsx]Listados'!#REF!</xm:f>
          </x14:formula1>
          <xm:sqref>H259:H261 H265:H268 Q265:Q268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26"/>
  <sheetViews>
    <sheetView showGridLines="0" tabSelected="1" topLeftCell="AF13" zoomScale="70" zoomScaleNormal="70" zoomScaleSheetLayoutView="50" workbookViewId="0">
      <selection activeCell="BV6" sqref="BV6"/>
    </sheetView>
  </sheetViews>
  <sheetFormatPr baseColWidth="10" defaultColWidth="11.42578125" defaultRowHeight="15"/>
  <cols>
    <col min="1" max="1" width="4.85546875" style="18" customWidth="1"/>
    <col min="2" max="2" width="23.7109375" style="128" customWidth="1"/>
    <col min="3" max="3" width="38.28515625" style="128" customWidth="1"/>
    <col min="4" max="4" width="32.140625" style="18" customWidth="1"/>
    <col min="5" max="5" width="35.85546875" style="18" customWidth="1"/>
    <col min="6" max="6" width="23" style="18" customWidth="1"/>
    <col min="7" max="7" width="27.7109375" style="128" customWidth="1"/>
    <col min="8" max="8" width="16.140625" style="128" customWidth="1"/>
    <col min="9" max="9" width="17" style="128" customWidth="1"/>
    <col min="10" max="10" width="15.5703125" style="128" customWidth="1"/>
    <col min="11" max="11" width="17.28515625" style="128" customWidth="1"/>
    <col min="12" max="12" width="14.42578125" style="128" customWidth="1"/>
    <col min="13" max="13" width="16.85546875" style="128" customWidth="1"/>
    <col min="14" max="14" width="15" style="128" customWidth="1"/>
    <col min="15" max="15" width="24.85546875" style="128" customWidth="1"/>
    <col min="16" max="16" width="13.7109375" style="128" customWidth="1"/>
    <col min="17" max="17" width="15.140625" style="128" customWidth="1"/>
    <col min="18" max="18" width="19.5703125" style="128" customWidth="1"/>
    <col min="19" max="19" width="17.85546875" style="128" customWidth="1"/>
    <col min="20" max="20" width="13" style="128" customWidth="1"/>
    <col min="21" max="21" width="13.28515625" style="128" customWidth="1"/>
    <col min="22" max="22" width="16" style="128" customWidth="1"/>
    <col min="23" max="23" width="14.42578125" style="128" customWidth="1"/>
    <col min="24" max="24" width="13" style="128" customWidth="1"/>
    <col min="25" max="25" width="13.7109375" style="128" customWidth="1"/>
    <col min="26" max="26" width="13.28515625" style="128" customWidth="1"/>
    <col min="27" max="27" width="16" style="128" customWidth="1"/>
    <col min="28" max="28" width="10.85546875" style="129" customWidth="1"/>
    <col min="29" max="29" width="10.42578125" style="129" customWidth="1"/>
    <col min="30" max="30" width="12.42578125" style="129" customWidth="1"/>
    <col min="31" max="31" width="14.5703125" style="129" customWidth="1"/>
    <col min="32" max="32" width="10.140625" style="129" customWidth="1"/>
    <col min="33" max="33" width="103.85546875" style="128" customWidth="1"/>
    <col min="34" max="34" width="28.7109375" style="128" customWidth="1"/>
    <col min="35" max="35" width="16.42578125" style="128" customWidth="1"/>
    <col min="36" max="37" width="20" style="128" customWidth="1"/>
    <col min="38" max="39" width="22.85546875" style="128" customWidth="1"/>
    <col min="40" max="41" width="28.140625" style="128" customWidth="1"/>
    <col min="42" max="43" width="34.7109375" style="128" customWidth="1"/>
    <col min="44" max="45" width="24.140625" style="128" customWidth="1"/>
    <col min="46" max="47" width="27.85546875" style="128" customWidth="1"/>
    <col min="48" max="49" width="23.85546875" style="128" customWidth="1"/>
    <col min="50" max="50" width="16.140625" style="128" customWidth="1"/>
    <col min="51" max="51" width="18.5703125" style="128" customWidth="1"/>
    <col min="52" max="53" width="20.5703125" style="128" customWidth="1"/>
    <col min="54" max="56" width="15.5703125" style="128" customWidth="1"/>
    <col min="57" max="57" width="18.85546875" style="128" customWidth="1"/>
    <col min="58" max="59" width="15.5703125" style="128" customWidth="1"/>
    <col min="60" max="60" width="22.28515625" style="129" customWidth="1"/>
    <col min="61" max="61" width="11.85546875" style="129" customWidth="1"/>
    <col min="62" max="62" width="19.42578125" style="128" customWidth="1"/>
    <col min="63" max="63" width="17.140625" style="128" customWidth="1"/>
    <col min="64" max="64" width="45.42578125" style="74" customWidth="1"/>
    <col min="65" max="65" width="18.85546875" style="74" customWidth="1"/>
    <col min="66" max="66" width="11.42578125" style="74" customWidth="1"/>
    <col min="67" max="67" width="14.5703125" style="74" customWidth="1"/>
    <col min="68" max="68" width="18.140625" style="74" customWidth="1"/>
    <col min="69" max="69" width="36" style="74" customWidth="1"/>
    <col min="70" max="70" width="90.5703125" style="74" customWidth="1"/>
    <col min="71" max="71" width="108.42578125" style="74" customWidth="1"/>
    <col min="72" max="72" width="99" style="74" customWidth="1"/>
    <col min="73" max="73" width="104.85546875" style="74" customWidth="1"/>
    <col min="74" max="74" width="78.42578125" style="74" customWidth="1"/>
    <col min="75" max="75" width="79.28515625" style="74" customWidth="1"/>
    <col min="76" max="76" width="32.5703125" style="74" customWidth="1"/>
    <col min="77" max="16384" width="11.42578125" style="74"/>
  </cols>
  <sheetData>
    <row r="1" spans="1:75" ht="24" hidden="1" customHeight="1" thickTop="1">
      <c r="A1" s="457" t="s">
        <v>628</v>
      </c>
      <c r="B1" s="458"/>
      <c r="C1" s="458"/>
      <c r="D1" s="458"/>
      <c r="E1" s="463" t="s">
        <v>629</v>
      </c>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463"/>
    </row>
    <row r="2" spans="1:75" ht="43.5" hidden="1" customHeight="1">
      <c r="A2" s="459"/>
      <c r="B2" s="460"/>
      <c r="C2" s="460"/>
      <c r="D2" s="460"/>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463"/>
      <c r="AR2" s="463"/>
      <c r="AS2" s="463"/>
      <c r="AT2" s="463"/>
      <c r="AU2" s="463"/>
      <c r="AV2" s="463"/>
      <c r="AW2" s="463"/>
      <c r="AX2" s="463"/>
      <c r="AY2" s="463"/>
      <c r="AZ2" s="463"/>
      <c r="BA2" s="463"/>
      <c r="BB2" s="463"/>
      <c r="BC2" s="463"/>
      <c r="BD2" s="463"/>
      <c r="BE2" s="463"/>
      <c r="BF2" s="463"/>
      <c r="BG2" s="463"/>
      <c r="BH2" s="463"/>
      <c r="BI2" s="463"/>
      <c r="BJ2" s="463"/>
      <c r="BK2" s="463"/>
    </row>
    <row r="3" spans="1:75" ht="53.45" hidden="1" customHeight="1" thickBot="1">
      <c r="A3" s="461"/>
      <c r="B3" s="462"/>
      <c r="C3" s="462"/>
      <c r="D3" s="462"/>
      <c r="E3" s="464" t="s">
        <v>130</v>
      </c>
      <c r="F3" s="464"/>
      <c r="G3" s="238">
        <v>2023</v>
      </c>
      <c r="H3" s="465"/>
      <c r="I3" s="465"/>
      <c r="J3" s="465"/>
      <c r="K3" s="465"/>
      <c r="L3" s="466"/>
      <c r="M3" s="466"/>
      <c r="N3" s="466"/>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c r="BH3" s="467"/>
      <c r="BI3" s="467"/>
      <c r="BJ3" s="467"/>
      <c r="BK3" s="467"/>
    </row>
    <row r="4" spans="1:75" ht="30" hidden="1" customHeight="1">
      <c r="A4" s="334" t="s">
        <v>131</v>
      </c>
      <c r="B4" s="335"/>
      <c r="C4" s="335"/>
      <c r="D4" s="335"/>
      <c r="E4" s="335"/>
      <c r="F4" s="335"/>
      <c r="G4" s="335"/>
      <c r="H4" s="455" t="s">
        <v>630</v>
      </c>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c r="BC4" s="455"/>
      <c r="BD4" s="455"/>
      <c r="BE4" s="455"/>
      <c r="BF4" s="455"/>
      <c r="BG4" s="455"/>
      <c r="BH4" s="455"/>
      <c r="BI4" s="455"/>
      <c r="BJ4" s="455"/>
      <c r="BK4" s="322" t="s">
        <v>134</v>
      </c>
      <c r="BL4" s="455" t="s">
        <v>631</v>
      </c>
      <c r="BM4" s="455"/>
      <c r="BN4" s="455"/>
      <c r="BO4" s="455"/>
      <c r="BP4" s="455"/>
      <c r="BQ4" s="455"/>
      <c r="BR4" s="456" t="s">
        <v>632</v>
      </c>
      <c r="BS4" s="455"/>
      <c r="BT4" s="455"/>
      <c r="BU4" s="456" t="s">
        <v>633</v>
      </c>
      <c r="BV4" s="455"/>
      <c r="BW4" s="455"/>
    </row>
    <row r="5" spans="1:75" ht="30" hidden="1" customHeight="1" thickBot="1">
      <c r="A5" s="336"/>
      <c r="B5" s="337"/>
      <c r="C5" s="337"/>
      <c r="D5" s="337"/>
      <c r="E5" s="337"/>
      <c r="F5" s="337"/>
      <c r="G5" s="337"/>
      <c r="H5" s="455" t="s">
        <v>634</v>
      </c>
      <c r="I5" s="455"/>
      <c r="J5" s="455"/>
      <c r="K5" s="455"/>
      <c r="L5" s="455"/>
      <c r="M5" s="455"/>
      <c r="N5" s="455"/>
      <c r="O5" s="455"/>
      <c r="P5" s="455"/>
      <c r="Q5" s="455"/>
      <c r="R5" s="455"/>
      <c r="S5" s="455"/>
      <c r="T5" s="455"/>
      <c r="U5" s="455"/>
      <c r="V5" s="455"/>
      <c r="W5" s="455"/>
      <c r="X5" s="455"/>
      <c r="Y5" s="455"/>
      <c r="Z5" s="455"/>
      <c r="AA5" s="455"/>
      <c r="AB5" s="456" t="s">
        <v>135</v>
      </c>
      <c r="AC5" s="456"/>
      <c r="AD5" s="456"/>
      <c r="AE5" s="456"/>
      <c r="AF5" s="456"/>
      <c r="AG5" s="319" t="s">
        <v>136</v>
      </c>
      <c r="AH5" s="320"/>
      <c r="AI5" s="321"/>
      <c r="AJ5" s="319" t="s">
        <v>137</v>
      </c>
      <c r="AK5" s="320"/>
      <c r="AL5" s="320"/>
      <c r="AM5" s="320"/>
      <c r="AN5" s="320"/>
      <c r="AO5" s="320"/>
      <c r="AP5" s="320"/>
      <c r="AQ5" s="320"/>
      <c r="AR5" s="320"/>
      <c r="AS5" s="320"/>
      <c r="AT5" s="320"/>
      <c r="AU5" s="320"/>
      <c r="AV5" s="320"/>
      <c r="AW5" s="320"/>
      <c r="AX5" s="320"/>
      <c r="AY5" s="321"/>
      <c r="AZ5" s="322" t="s">
        <v>113</v>
      </c>
      <c r="BA5" s="323"/>
      <c r="BB5" s="322" t="s">
        <v>138</v>
      </c>
      <c r="BC5" s="324"/>
      <c r="BD5" s="322" t="s">
        <v>139</v>
      </c>
      <c r="BE5" s="324"/>
      <c r="BF5" s="170"/>
      <c r="BG5" s="170"/>
      <c r="BH5" s="456" t="s">
        <v>140</v>
      </c>
      <c r="BI5" s="456"/>
      <c r="BJ5" s="456"/>
      <c r="BK5" s="322"/>
      <c r="BL5" s="455"/>
      <c r="BM5" s="455"/>
      <c r="BN5" s="455"/>
      <c r="BO5" s="455"/>
      <c r="BP5" s="455"/>
      <c r="BQ5" s="455"/>
      <c r="BR5" s="455"/>
      <c r="BS5" s="455"/>
      <c r="BT5" s="455"/>
      <c r="BU5" s="455"/>
      <c r="BV5" s="455"/>
      <c r="BW5" s="455"/>
    </row>
    <row r="6" spans="1:75" ht="99" customHeight="1" thickBot="1">
      <c r="A6" s="16" t="s">
        <v>144</v>
      </c>
      <c r="B6" s="49" t="s">
        <v>145</v>
      </c>
      <c r="C6" s="49" t="s">
        <v>146</v>
      </c>
      <c r="D6" s="49" t="s">
        <v>147</v>
      </c>
      <c r="E6" s="49" t="s">
        <v>150</v>
      </c>
      <c r="F6" s="49" t="s">
        <v>151</v>
      </c>
      <c r="G6" s="49" t="s">
        <v>152</v>
      </c>
      <c r="H6" s="176" t="s">
        <v>635</v>
      </c>
      <c r="I6" s="176" t="s">
        <v>636</v>
      </c>
      <c r="J6" s="176" t="s">
        <v>637</v>
      </c>
      <c r="K6" s="176" t="s">
        <v>638</v>
      </c>
      <c r="L6" s="176" t="s">
        <v>639</v>
      </c>
      <c r="M6" s="176" t="s">
        <v>640</v>
      </c>
      <c r="N6" s="176" t="s">
        <v>641</v>
      </c>
      <c r="O6" s="176" t="s">
        <v>642</v>
      </c>
      <c r="P6" s="176" t="s">
        <v>643</v>
      </c>
      <c r="Q6" s="176" t="s">
        <v>644</v>
      </c>
      <c r="R6" s="176" t="s">
        <v>645</v>
      </c>
      <c r="S6" s="176" t="s">
        <v>646</v>
      </c>
      <c r="T6" s="176" t="s">
        <v>647</v>
      </c>
      <c r="U6" s="176" t="s">
        <v>648</v>
      </c>
      <c r="V6" s="176" t="s">
        <v>649</v>
      </c>
      <c r="W6" s="200" t="s">
        <v>650</v>
      </c>
      <c r="X6" s="200" t="s">
        <v>651</v>
      </c>
      <c r="Y6" s="200" t="s">
        <v>652</v>
      </c>
      <c r="Z6" s="200" t="s">
        <v>653</v>
      </c>
      <c r="AA6" s="200" t="s">
        <v>654</v>
      </c>
      <c r="AB6" s="199" t="s">
        <v>153</v>
      </c>
      <c r="AC6" s="199"/>
      <c r="AD6" s="199" t="s">
        <v>154</v>
      </c>
      <c r="AE6" s="199"/>
      <c r="AF6" s="199" t="s">
        <v>155</v>
      </c>
      <c r="AG6" s="200" t="s">
        <v>156</v>
      </c>
      <c r="AH6" s="200" t="s">
        <v>157</v>
      </c>
      <c r="AI6" s="200" t="s">
        <v>158</v>
      </c>
      <c r="AJ6" s="200" t="s">
        <v>159</v>
      </c>
      <c r="AK6" s="200"/>
      <c r="AL6" s="200" t="s">
        <v>160</v>
      </c>
      <c r="AM6" s="200"/>
      <c r="AN6" s="200" t="s">
        <v>161</v>
      </c>
      <c r="AO6" s="200"/>
      <c r="AP6" s="200" t="s">
        <v>162</v>
      </c>
      <c r="AQ6" s="200"/>
      <c r="AR6" s="200" t="s">
        <v>163</v>
      </c>
      <c r="AS6" s="200"/>
      <c r="AT6" s="200" t="s">
        <v>164</v>
      </c>
      <c r="AU6" s="200"/>
      <c r="AV6" s="200" t="s">
        <v>165</v>
      </c>
      <c r="AW6" s="200"/>
      <c r="AX6" s="200" t="s">
        <v>166</v>
      </c>
      <c r="AY6" s="200" t="s">
        <v>167</v>
      </c>
      <c r="AZ6" s="200" t="s">
        <v>168</v>
      </c>
      <c r="BA6" s="200" t="s">
        <v>169</v>
      </c>
      <c r="BB6" s="200" t="s">
        <v>170</v>
      </c>
      <c r="BC6" s="200" t="s">
        <v>171</v>
      </c>
      <c r="BD6" s="200" t="s">
        <v>172</v>
      </c>
      <c r="BE6" s="200" t="s">
        <v>173</v>
      </c>
      <c r="BF6" s="200" t="s">
        <v>174</v>
      </c>
      <c r="BG6" s="200"/>
      <c r="BH6" s="200" t="s">
        <v>153</v>
      </c>
      <c r="BI6" s="200" t="s">
        <v>154</v>
      </c>
      <c r="BJ6" s="200" t="s">
        <v>155</v>
      </c>
      <c r="BK6" s="177" t="s">
        <v>176</v>
      </c>
      <c r="BL6" s="200" t="s">
        <v>655</v>
      </c>
      <c r="BM6" s="200" t="s">
        <v>656</v>
      </c>
      <c r="BN6" s="200" t="s">
        <v>657</v>
      </c>
      <c r="BO6" s="200" t="s">
        <v>658</v>
      </c>
      <c r="BP6" s="200" t="s">
        <v>659</v>
      </c>
      <c r="BQ6" s="200" t="s">
        <v>660</v>
      </c>
      <c r="BR6" s="200" t="s">
        <v>661</v>
      </c>
      <c r="BS6" s="200" t="s">
        <v>662</v>
      </c>
      <c r="BT6" s="200" t="s">
        <v>663</v>
      </c>
      <c r="BU6" s="200" t="s">
        <v>664</v>
      </c>
      <c r="BV6" s="200" t="s">
        <v>665</v>
      </c>
      <c r="BW6" s="200" t="s">
        <v>666</v>
      </c>
    </row>
    <row r="7" spans="1:75" ht="161.25" customHeight="1">
      <c r="A7" s="328">
        <v>1</v>
      </c>
      <c r="B7" s="370" t="s">
        <v>68</v>
      </c>
      <c r="C7" s="450" t="str">
        <f>IFERROR(VLOOKUP(B7,Listados!B$3:C$20,2,FALSE),"")</f>
        <v>Gestión contra la Criminalidad y la Reincidencia</v>
      </c>
      <c r="D7" s="454" t="s">
        <v>667</v>
      </c>
      <c r="E7" s="237" t="s">
        <v>668</v>
      </c>
      <c r="F7" s="236" t="s">
        <v>16</v>
      </c>
      <c r="G7" s="367" t="s">
        <v>669</v>
      </c>
      <c r="H7" s="374" t="s">
        <v>116</v>
      </c>
      <c r="I7" s="374" t="s">
        <v>670</v>
      </c>
      <c r="J7" s="374" t="s">
        <v>116</v>
      </c>
      <c r="K7" s="374" t="s">
        <v>670</v>
      </c>
      <c r="L7" s="374" t="s">
        <v>116</v>
      </c>
      <c r="M7" s="374" t="s">
        <v>120</v>
      </c>
      <c r="N7" s="374" t="s">
        <v>116</v>
      </c>
      <c r="O7" s="374" t="s">
        <v>120</v>
      </c>
      <c r="P7" s="374" t="s">
        <v>120</v>
      </c>
      <c r="Q7" s="374" t="s">
        <v>116</v>
      </c>
      <c r="R7" s="374" t="s">
        <v>116</v>
      </c>
      <c r="S7" s="374" t="s">
        <v>116</v>
      </c>
      <c r="T7" s="374" t="s">
        <v>120</v>
      </c>
      <c r="U7" s="374" t="s">
        <v>116</v>
      </c>
      <c r="V7" s="374" t="s">
        <v>670</v>
      </c>
      <c r="W7" s="410" t="s">
        <v>120</v>
      </c>
      <c r="X7" s="410" t="s">
        <v>120</v>
      </c>
      <c r="Y7" s="410" t="s">
        <v>670</v>
      </c>
      <c r="Z7" s="369" t="s">
        <v>120</v>
      </c>
      <c r="AA7" s="350">
        <f>COUNTIF(H7:Z9, "SI")</f>
        <v>8</v>
      </c>
      <c r="AB7" s="369" t="s">
        <v>21</v>
      </c>
      <c r="AC7" s="348">
        <f>+VLOOKUP(AB7,Listados!$K$8:$L$12,2,0)</f>
        <v>1</v>
      </c>
      <c r="AD7" s="350" t="str">
        <f>+IF(OR(AA7=1,AA7&lt;=5),"Moderado",IF(OR(AA7=6,AA7&lt;=11),"Mayor","Catastrófico"))</f>
        <v>Mayor</v>
      </c>
      <c r="AE7" s="348">
        <f>+VLOOKUP(AD7,Listados!K13:L17,2,0)</f>
        <v>4</v>
      </c>
      <c r="AF7" s="347" t="str">
        <f>IF(AND(AB7&lt;&gt;"",AD7&lt;&gt;""),VLOOKUP(AB7&amp;AD7,Listados!$M$3:$N$27,2,FALSE),"")</f>
        <v>Alto</v>
      </c>
      <c r="AG7" s="178" t="s">
        <v>671</v>
      </c>
      <c r="AH7" s="241" t="s">
        <v>668</v>
      </c>
      <c r="AI7" s="208" t="s">
        <v>123</v>
      </c>
      <c r="AJ7" s="208" t="s">
        <v>116</v>
      </c>
      <c r="AK7" s="27">
        <f>+IF(AJ7="si",15,"")</f>
        <v>15</v>
      </c>
      <c r="AL7" s="208" t="s">
        <v>116</v>
      </c>
      <c r="AM7" s="27">
        <f>+IF(AL7="si",15,"")</f>
        <v>15</v>
      </c>
      <c r="AN7" s="208" t="s">
        <v>116</v>
      </c>
      <c r="AO7" s="27">
        <f>+IF(AN7="si",15,"")</f>
        <v>15</v>
      </c>
      <c r="AP7" s="208" t="s">
        <v>123</v>
      </c>
      <c r="AQ7" s="27">
        <f>+IF(AP7="Preventivo",15,IF(AP7="Detectivo",10,""))</f>
        <v>10</v>
      </c>
      <c r="AR7" s="208" t="s">
        <v>116</v>
      </c>
      <c r="AS7" s="27">
        <f>+IF(AR7="si",15,"")</f>
        <v>15</v>
      </c>
      <c r="AT7" s="208" t="s">
        <v>116</v>
      </c>
      <c r="AU7" s="27">
        <f>+IF(AT7="si",15,"")</f>
        <v>15</v>
      </c>
      <c r="AV7" s="208" t="s">
        <v>117</v>
      </c>
      <c r="AW7" s="142">
        <f>+IF(AV7="Completa",10,IF(AV7="Incompleta",5,""))</f>
        <v>10</v>
      </c>
      <c r="AX7" s="384">
        <f>IF((SUM(AK7,AM7,AO7,AQ7,AS7,AU7,AW7)=0),"",(SUM(AK7,AM7,AO7,AQ7,AS7,AU7,AW7)))</f>
        <v>95</v>
      </c>
      <c r="AY7" s="384" t="str">
        <f>IF(AX7&lt;=85,"Débil",IF(AX7&lt;=95,"Moderado",IF(AX7=100,"Fuerte","")))</f>
        <v>Moderado</v>
      </c>
      <c r="AZ7" s="425" t="s">
        <v>118</v>
      </c>
      <c r="BA7" s="384" t="str">
        <f>+IF(AZ7="siempre","Fuerte",IF(AZ7="Algunas veces","Moderado","Débil"))</f>
        <v>Fuerte</v>
      </c>
      <c r="BB7" s="384" t="str">
        <f>IFERROR(VLOOKUP((CONCATENATE(AY7,BA7)),Listados!$U$3:$V$11,2,FALSE),"")</f>
        <v>Moderado</v>
      </c>
      <c r="BC7" s="384">
        <f>IF(ISBLANK(BB7),"",IF(BB7="Débil", 0, IF(BB7="Moderado",50,100)))</f>
        <v>50</v>
      </c>
      <c r="BD7" s="384">
        <f>AVERAGE(BC7:BC9)</f>
        <v>50</v>
      </c>
      <c r="BE7" s="386" t="str">
        <f>IF(BD7&lt;=50, "Débil", IF(BD7&lt;=99,"Moderado","Fuerte"))</f>
        <v>Débil</v>
      </c>
      <c r="BF7" s="384">
        <f>+IF(BE7="Fuerte",2,IF(BE7="Moderado",1,0))</f>
        <v>0</v>
      </c>
      <c r="BG7" s="384">
        <f>+AC7-BF7</f>
        <v>1</v>
      </c>
      <c r="BH7" s="380" t="str">
        <f>+VLOOKUP(BG7,Listados!$J$18:$K$24,2,TRUE)</f>
        <v>Rara Vez</v>
      </c>
      <c r="BI7" s="378" t="str">
        <f>IF(ISBLANK(AD7),"",AD7)</f>
        <v>Mayor</v>
      </c>
      <c r="BJ7" s="380" t="str">
        <f>IF(AND(BH7&lt;&gt;"",BI7&lt;&gt;""),VLOOKUP(BH7&amp;BI7,Listados!$M$3:$N$27,2,FALSE),"")</f>
        <v>Alto</v>
      </c>
      <c r="BK7" s="427" t="str">
        <f>+VLOOKUP(BJ7,Listados!$P$3:$Q$6,2,FALSE)</f>
        <v>Reducir el riesgo</v>
      </c>
      <c r="BL7" s="375" t="s">
        <v>672</v>
      </c>
      <c r="BM7" s="375" t="s">
        <v>673</v>
      </c>
      <c r="BN7" s="387">
        <v>45139</v>
      </c>
      <c r="BO7" s="472">
        <v>45565</v>
      </c>
      <c r="BP7" s="375" t="s">
        <v>674</v>
      </c>
      <c r="BQ7" s="375" t="s">
        <v>675</v>
      </c>
      <c r="BR7" s="475" t="s">
        <v>676</v>
      </c>
      <c r="BS7" s="411" t="s">
        <v>677</v>
      </c>
      <c r="BT7" s="411" t="s">
        <v>678</v>
      </c>
      <c r="BU7" s="393" t="s">
        <v>679</v>
      </c>
      <c r="BV7" s="381" t="s">
        <v>680</v>
      </c>
      <c r="BW7" s="479" t="s">
        <v>681</v>
      </c>
    </row>
    <row r="8" spans="1:75" ht="29.25" customHeight="1">
      <c r="A8" s="329"/>
      <c r="B8" s="370"/>
      <c r="C8" s="450"/>
      <c r="D8" s="435"/>
      <c r="E8" s="237" t="s">
        <v>682</v>
      </c>
      <c r="F8" s="236" t="s">
        <v>30</v>
      </c>
      <c r="G8" s="367"/>
      <c r="H8" s="374"/>
      <c r="I8" s="374"/>
      <c r="J8" s="374"/>
      <c r="K8" s="374"/>
      <c r="L8" s="374"/>
      <c r="M8" s="374"/>
      <c r="N8" s="374"/>
      <c r="O8" s="374"/>
      <c r="P8" s="374"/>
      <c r="Q8" s="374"/>
      <c r="R8" s="374"/>
      <c r="S8" s="374"/>
      <c r="T8" s="374"/>
      <c r="U8" s="374"/>
      <c r="V8" s="374"/>
      <c r="W8" s="410"/>
      <c r="X8" s="410"/>
      <c r="Y8" s="410"/>
      <c r="Z8" s="369"/>
      <c r="AA8" s="350"/>
      <c r="AB8" s="369"/>
      <c r="AC8" s="349"/>
      <c r="AD8" s="350"/>
      <c r="AE8" s="349"/>
      <c r="AF8" s="347"/>
      <c r="AG8" s="244"/>
      <c r="AH8" s="241"/>
      <c r="AI8" s="213"/>
      <c r="AJ8" s="208"/>
      <c r="AK8" s="27"/>
      <c r="AL8" s="208"/>
      <c r="AM8" s="27"/>
      <c r="AN8" s="208"/>
      <c r="AO8" s="27"/>
      <c r="AP8" s="208"/>
      <c r="AQ8" s="27"/>
      <c r="AR8" s="208"/>
      <c r="AS8" s="27"/>
      <c r="AT8" s="208"/>
      <c r="AU8" s="27"/>
      <c r="AV8" s="208"/>
      <c r="AW8" s="142"/>
      <c r="AX8" s="385"/>
      <c r="AY8" s="385"/>
      <c r="AZ8" s="468"/>
      <c r="BA8" s="385"/>
      <c r="BB8" s="385"/>
      <c r="BC8" s="385"/>
      <c r="BD8" s="385"/>
      <c r="BE8" s="386"/>
      <c r="BF8" s="385"/>
      <c r="BG8" s="385"/>
      <c r="BH8" s="364"/>
      <c r="BI8" s="378"/>
      <c r="BJ8" s="364"/>
      <c r="BK8" s="428"/>
      <c r="BL8" s="376"/>
      <c r="BM8" s="376"/>
      <c r="BN8" s="388"/>
      <c r="BO8" s="473"/>
      <c r="BP8" s="376"/>
      <c r="BQ8" s="376"/>
      <c r="BR8" s="475"/>
      <c r="BS8" s="411"/>
      <c r="BT8" s="411"/>
      <c r="BU8" s="470"/>
      <c r="BV8" s="469"/>
      <c r="BW8" s="480"/>
    </row>
    <row r="9" spans="1:75" ht="29.25" customHeight="1">
      <c r="A9" s="329"/>
      <c r="B9" s="370"/>
      <c r="C9" s="450"/>
      <c r="D9" s="435"/>
      <c r="E9" s="237"/>
      <c r="F9" s="236"/>
      <c r="G9" s="367"/>
      <c r="H9" s="374"/>
      <c r="I9" s="374"/>
      <c r="J9" s="374"/>
      <c r="K9" s="374"/>
      <c r="L9" s="374"/>
      <c r="M9" s="374"/>
      <c r="N9" s="374"/>
      <c r="O9" s="374"/>
      <c r="P9" s="374"/>
      <c r="Q9" s="374"/>
      <c r="R9" s="374"/>
      <c r="S9" s="374"/>
      <c r="T9" s="374"/>
      <c r="U9" s="374"/>
      <c r="V9" s="374"/>
      <c r="W9" s="374"/>
      <c r="X9" s="374"/>
      <c r="Y9" s="374"/>
      <c r="Z9" s="370"/>
      <c r="AA9" s="362"/>
      <c r="AB9" s="370"/>
      <c r="AC9" s="349"/>
      <c r="AD9" s="362" t="str">
        <f>+IF(OR(AB9=1,AB9&lt;=5),"Moderado",IF(OR(AB9=6,AB9&lt;=11),"Mayor","Catastrófico"))</f>
        <v>Moderado</v>
      </c>
      <c r="AE9" s="349"/>
      <c r="AF9" s="353"/>
      <c r="AG9" s="147"/>
      <c r="AH9" s="241"/>
      <c r="AI9" s="213"/>
      <c r="AJ9" s="208"/>
      <c r="AK9" s="27"/>
      <c r="AL9" s="208"/>
      <c r="AM9" s="27"/>
      <c r="AN9" s="208"/>
      <c r="AO9" s="27"/>
      <c r="AP9" s="208"/>
      <c r="AQ9" s="27"/>
      <c r="AR9" s="208"/>
      <c r="AS9" s="27"/>
      <c r="AT9" s="208"/>
      <c r="AU9" s="27"/>
      <c r="AV9" s="208"/>
      <c r="AW9" s="142" t="str">
        <f t="shared" ref="AW9:AW36" si="0">+IF(AV9="Completa",10,IF(AV9="Incompleta",5,""))</f>
        <v/>
      </c>
      <c r="AX9" s="386"/>
      <c r="AY9" s="386"/>
      <c r="AZ9" s="426"/>
      <c r="BA9" s="386"/>
      <c r="BB9" s="386"/>
      <c r="BC9" s="386"/>
      <c r="BD9" s="385"/>
      <c r="BE9" s="413"/>
      <c r="BF9" s="385"/>
      <c r="BG9" s="385"/>
      <c r="BH9" s="364"/>
      <c r="BI9" s="379"/>
      <c r="BJ9" s="364"/>
      <c r="BK9" s="428"/>
      <c r="BL9" s="377"/>
      <c r="BM9" s="377"/>
      <c r="BN9" s="389"/>
      <c r="BO9" s="474"/>
      <c r="BP9" s="377"/>
      <c r="BQ9" s="377"/>
      <c r="BR9" s="477"/>
      <c r="BS9" s="478"/>
      <c r="BT9" s="478"/>
      <c r="BU9" s="471"/>
      <c r="BV9" s="420"/>
      <c r="BW9" s="481"/>
    </row>
    <row r="10" spans="1:75" ht="105">
      <c r="A10" s="328">
        <v>2</v>
      </c>
      <c r="B10" s="370" t="s">
        <v>86</v>
      </c>
      <c r="C10" s="450" t="str">
        <f>IFERROR(VLOOKUP(B10,Listados!B$3:C$20,2,FALSE),"")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0" s="435" t="s">
        <v>683</v>
      </c>
      <c r="E10" s="237" t="s">
        <v>684</v>
      </c>
      <c r="F10" s="419" t="s">
        <v>16</v>
      </c>
      <c r="G10" s="367" t="s">
        <v>685</v>
      </c>
      <c r="H10" s="374" t="s">
        <v>116</v>
      </c>
      <c r="I10" s="374" t="s">
        <v>116</v>
      </c>
      <c r="J10" s="374" t="s">
        <v>116</v>
      </c>
      <c r="K10" s="374" t="s">
        <v>120</v>
      </c>
      <c r="L10" s="374" t="s">
        <v>116</v>
      </c>
      <c r="M10" s="374" t="s">
        <v>120</v>
      </c>
      <c r="N10" s="374" t="s">
        <v>116</v>
      </c>
      <c r="O10" s="374" t="s">
        <v>120</v>
      </c>
      <c r="P10" s="374" t="s">
        <v>120</v>
      </c>
      <c r="Q10" s="374" t="s">
        <v>116</v>
      </c>
      <c r="R10" s="374" t="s">
        <v>116</v>
      </c>
      <c r="S10" s="374" t="s">
        <v>116</v>
      </c>
      <c r="T10" s="374" t="s">
        <v>116</v>
      </c>
      <c r="U10" s="374" t="s">
        <v>116</v>
      </c>
      <c r="V10" s="374" t="s">
        <v>120</v>
      </c>
      <c r="W10" s="410" t="s">
        <v>120</v>
      </c>
      <c r="X10" s="410" t="s">
        <v>120</v>
      </c>
      <c r="Y10" s="410" t="s">
        <v>120</v>
      </c>
      <c r="Z10" s="369" t="s">
        <v>120</v>
      </c>
      <c r="AA10" s="350">
        <f>COUNTIF(H10:Z11, "SI")</f>
        <v>10</v>
      </c>
      <c r="AB10" s="369" t="s">
        <v>21</v>
      </c>
      <c r="AC10" s="348">
        <f>+VLOOKUP(AB10,Listados!$K$8:$L$12,2,0)</f>
        <v>1</v>
      </c>
      <c r="AD10" s="350" t="str">
        <f>+IF(OR(AA10=1,AA10&lt;=5),"Moderado",IF(OR(AA10=6,AA10&lt;=11),"Mayor","Catastrófico"))</f>
        <v>Mayor</v>
      </c>
      <c r="AE10" s="348" t="e">
        <f>+VLOOKUP(AD10,Listados!K19:L23,2,0)</f>
        <v>#N/A</v>
      </c>
      <c r="AF10" s="347" t="str">
        <f>IF(AND(AB10&lt;&gt;"",AD10&lt;&gt;""),VLOOKUP(AB10&amp;AD10,Listados!$M$3:$N$27,2,FALSE),"")</f>
        <v>Alto</v>
      </c>
      <c r="AG10" s="247" t="s">
        <v>686</v>
      </c>
      <c r="AH10" s="248" t="s">
        <v>684</v>
      </c>
      <c r="AI10" s="234" t="s">
        <v>20</v>
      </c>
      <c r="AJ10" s="249" t="s">
        <v>116</v>
      </c>
      <c r="AK10" s="142">
        <f t="shared" ref="AK10" si="1">+IF(AJ10="si",15,"")</f>
        <v>15</v>
      </c>
      <c r="AL10" s="249" t="s">
        <v>116</v>
      </c>
      <c r="AM10" s="142">
        <f t="shared" ref="AM10" si="2">+IF(AL10="si",15,"")</f>
        <v>15</v>
      </c>
      <c r="AN10" s="234" t="s">
        <v>116</v>
      </c>
      <c r="AO10" s="142">
        <f t="shared" ref="AO10" si="3">+IF(AN10="si",15,"")</f>
        <v>15</v>
      </c>
      <c r="AP10" s="234" t="s">
        <v>20</v>
      </c>
      <c r="AQ10" s="142">
        <f t="shared" ref="AQ10" si="4">+IF(AP10="Preventivo",15,IF(AP10="Detectivo",10,""))</f>
        <v>15</v>
      </c>
      <c r="AR10" s="234" t="s">
        <v>116</v>
      </c>
      <c r="AS10" s="142">
        <f t="shared" ref="AS10" si="5">+IF(AR10="si",15,"")</f>
        <v>15</v>
      </c>
      <c r="AT10" s="234" t="s">
        <v>116</v>
      </c>
      <c r="AU10" s="142">
        <f t="shared" ref="AU10" si="6">+IF(AT10="si",15,"")</f>
        <v>15</v>
      </c>
      <c r="AV10" s="234" t="s">
        <v>117</v>
      </c>
      <c r="AW10" s="142">
        <f t="shared" ref="AW10" si="7">+IF(AV10="Completa",10,IF(AV10="Incompleta",5,""))</f>
        <v>10</v>
      </c>
      <c r="AX10" s="21">
        <f t="shared" ref="AX10" si="8">IF((SUM(AK10,AM10,AO10,AQ10,AS10,AU10,AW10)=0),"",(SUM(AK10,AM10,AO10,AQ10,AS10,AU10,AW10)))</f>
        <v>100</v>
      </c>
      <c r="AY10" s="21" t="str">
        <f t="shared" ref="AY10" si="9">IF(AX10&lt;=85,"Débil",IF(AX10&lt;=95,"Moderado",IF(AX10=100,"Fuerte","")))</f>
        <v>Fuerte</v>
      </c>
      <c r="AZ10" s="209" t="s">
        <v>118</v>
      </c>
      <c r="BA10" s="210" t="str">
        <f t="shared" ref="BA10" si="10">+IF(AZ10="siempre","Fuerte",IF(AZ10="Algunas veces","Moderado","Débil"))</f>
        <v>Fuerte</v>
      </c>
      <c r="BB10" s="21" t="str">
        <f>IFERROR(VLOOKUP((CONCATENATE(AY10,BA10)),Listados!$U$3:$V$11,2,FALSE),"")</f>
        <v>Fuerte</v>
      </c>
      <c r="BC10" s="21">
        <f t="shared" ref="BC10" si="11">IF(ISBLANK(BB10),"",IF(BB10="Débil", 0, IF(BB10="Moderado",50,100)))</f>
        <v>100</v>
      </c>
      <c r="BD10" s="384">
        <f>AVERAGE(BC10:BC11)</f>
        <v>75</v>
      </c>
      <c r="BE10" s="386" t="str">
        <f>IF(BD10&lt;=50, "Débil", IF(BD10&lt;=99,"Moderado","Fuerte"))</f>
        <v>Moderado</v>
      </c>
      <c r="BF10" s="384">
        <f>+IF(BE10="Fuerte",2,IF(BE10="Moderado",1,0))</f>
        <v>1</v>
      </c>
      <c r="BG10" s="384">
        <f>+AC10-BF10</f>
        <v>0</v>
      </c>
      <c r="BH10" s="380" t="str">
        <f>+VLOOKUP(BG10,Listados!$J$18:$K$24,2,TRUE)</f>
        <v>Rara Vez</v>
      </c>
      <c r="BI10" s="378" t="str">
        <f>IF(ISBLANK(AD10),"",AD10)</f>
        <v>Mayor</v>
      </c>
      <c r="BJ10" s="380" t="str">
        <f>IF(AND(BH10&lt;&gt;"",BI10&lt;&gt;""),VLOOKUP(BH10&amp;BI10,Listados!$M$3:$N$27,2,FALSE),"")</f>
        <v>Alto</v>
      </c>
      <c r="BK10" s="427" t="str">
        <f>+VLOOKUP(BJ10,Listados!$P$3:$Q$6,2,FALSE)</f>
        <v>Reducir el riesgo</v>
      </c>
      <c r="BL10" s="307" t="s">
        <v>687</v>
      </c>
      <c r="BM10" s="250" t="s">
        <v>673</v>
      </c>
      <c r="BN10" s="251">
        <v>45292</v>
      </c>
      <c r="BO10" s="251">
        <v>45657</v>
      </c>
      <c r="BP10" s="252" t="s">
        <v>688</v>
      </c>
      <c r="BQ10" s="253" t="s">
        <v>689</v>
      </c>
      <c r="BR10" s="242" t="s">
        <v>690</v>
      </c>
      <c r="BS10" s="254" t="s">
        <v>691</v>
      </c>
      <c r="BT10" s="255" t="s">
        <v>692</v>
      </c>
      <c r="BU10" s="393" t="s">
        <v>693</v>
      </c>
      <c r="BV10" s="381" t="s">
        <v>694</v>
      </c>
      <c r="BW10" s="375" t="s">
        <v>695</v>
      </c>
    </row>
    <row r="11" spans="1:75" ht="165">
      <c r="A11" s="329"/>
      <c r="B11" s="370"/>
      <c r="C11" s="450"/>
      <c r="D11" s="435"/>
      <c r="E11" s="237" t="s">
        <v>696</v>
      </c>
      <c r="F11" s="419"/>
      <c r="G11" s="367"/>
      <c r="H11" s="374"/>
      <c r="I11" s="374"/>
      <c r="J11" s="374"/>
      <c r="K11" s="374"/>
      <c r="L11" s="374"/>
      <c r="M11" s="374"/>
      <c r="N11" s="374"/>
      <c r="O11" s="374"/>
      <c r="P11" s="374"/>
      <c r="Q11" s="374"/>
      <c r="R11" s="374"/>
      <c r="S11" s="374"/>
      <c r="T11" s="374"/>
      <c r="U11" s="374"/>
      <c r="V11" s="374"/>
      <c r="W11" s="374"/>
      <c r="X11" s="374"/>
      <c r="Y11" s="374"/>
      <c r="Z11" s="370"/>
      <c r="AA11" s="362"/>
      <c r="AB11" s="370"/>
      <c r="AC11" s="349"/>
      <c r="AD11" s="362" t="str">
        <f>+IF(OR(AB11=1,AB11&lt;=5),"Moderado",IF(OR(AB11=6,AB11&lt;=11),"Mayor","Catastrófico"))</f>
        <v>Moderado</v>
      </c>
      <c r="AE11" s="349"/>
      <c r="AF11" s="353"/>
      <c r="AG11" s="256" t="s">
        <v>697</v>
      </c>
      <c r="AH11" s="248" t="s">
        <v>696</v>
      </c>
      <c r="AI11" s="234" t="s">
        <v>123</v>
      </c>
      <c r="AJ11" s="249" t="s">
        <v>116</v>
      </c>
      <c r="AK11" s="142">
        <f t="shared" ref="AK11:AK15" si="12">+IF(AJ11="si",15,"")</f>
        <v>15</v>
      </c>
      <c r="AL11" s="249" t="s">
        <v>116</v>
      </c>
      <c r="AM11" s="142">
        <f t="shared" ref="AM11:AM15" si="13">+IF(AL11="si",15,"")</f>
        <v>15</v>
      </c>
      <c r="AN11" s="234" t="s">
        <v>116</v>
      </c>
      <c r="AO11" s="142">
        <f t="shared" ref="AO11:AO15" si="14">+IF(AN11="si",15,"")</f>
        <v>15</v>
      </c>
      <c r="AP11" s="234" t="s">
        <v>123</v>
      </c>
      <c r="AQ11" s="142">
        <f t="shared" ref="AQ11:AQ15" si="15">+IF(AP11="Preventivo",15,IF(AP11="Detectivo",10,""))</f>
        <v>10</v>
      </c>
      <c r="AR11" s="234" t="s">
        <v>116</v>
      </c>
      <c r="AS11" s="142">
        <f t="shared" ref="AS11:AS15" si="16">+IF(AR11="si",15,"")</f>
        <v>15</v>
      </c>
      <c r="AT11" s="234" t="s">
        <v>116</v>
      </c>
      <c r="AU11" s="142">
        <f t="shared" ref="AU11:AU15" si="17">+IF(AT11="si",15,"")</f>
        <v>15</v>
      </c>
      <c r="AV11" s="234" t="s">
        <v>117</v>
      </c>
      <c r="AW11" s="142">
        <f t="shared" si="0"/>
        <v>10</v>
      </c>
      <c r="AX11" s="21">
        <f t="shared" ref="AX11:AX36" si="18">IF((SUM(AK11,AM11,AO11,AQ11,AS11,AU11,AW11)=0),"",(SUM(AK11,AM11,AO11,AQ11,AS11,AU11,AW11)))</f>
        <v>95</v>
      </c>
      <c r="AY11" s="21" t="str">
        <f t="shared" ref="AY11:AY36" si="19">IF(AX11&lt;=85,"Débil",IF(AX11&lt;=95,"Moderado",IF(AX11=100,"Fuerte","")))</f>
        <v>Moderado</v>
      </c>
      <c r="AZ11" s="209" t="s">
        <v>118</v>
      </c>
      <c r="BA11" s="210" t="str">
        <f t="shared" ref="BA11:BA36" si="20">+IF(AZ11="siempre","Fuerte",IF(AZ11="Algunas veces","Moderado","Débil"))</f>
        <v>Fuerte</v>
      </c>
      <c r="BB11" s="21" t="str">
        <f>IFERROR(VLOOKUP((CONCATENATE(AY11,BA11)),Listados!$U$3:$V$11,2,FALSE),"")</f>
        <v>Moderado</v>
      </c>
      <c r="BC11" s="21">
        <f t="shared" ref="BC11:BC36" si="21">IF(ISBLANK(BB11),"",IF(BB11="Débil", 0, IF(BB11="Moderado",50,100)))</f>
        <v>50</v>
      </c>
      <c r="BD11" s="385"/>
      <c r="BE11" s="413"/>
      <c r="BF11" s="385"/>
      <c r="BG11" s="385"/>
      <c r="BH11" s="364"/>
      <c r="BI11" s="379"/>
      <c r="BJ11" s="364"/>
      <c r="BK11" s="428"/>
      <c r="BL11" s="257"/>
      <c r="BM11" s="243"/>
      <c r="BN11" s="251"/>
      <c r="BO11" s="251"/>
      <c r="BP11" s="258"/>
      <c r="BQ11" s="243"/>
      <c r="BR11" s="242" t="s">
        <v>698</v>
      </c>
      <c r="BS11" s="254" t="s">
        <v>699</v>
      </c>
      <c r="BT11" s="255" t="s">
        <v>700</v>
      </c>
      <c r="BU11" s="395"/>
      <c r="BV11" s="420"/>
      <c r="BW11" s="377"/>
    </row>
    <row r="12" spans="1:75" ht="165">
      <c r="A12" s="328">
        <v>3</v>
      </c>
      <c r="B12" s="370" t="s">
        <v>27</v>
      </c>
      <c r="C12" s="379" t="str">
        <f>IFERROR(VLOOKUP(B12,Listados!B$3:C$20,2,FALSE),"")</f>
        <v>Proveer información oportuna, confiable, veraz y accesible a clientes internos y externos del Ministerio de Justicia y del Derecho.</v>
      </c>
      <c r="D12" s="442" t="s">
        <v>701</v>
      </c>
      <c r="E12" s="237" t="s">
        <v>702</v>
      </c>
      <c r="F12" s="423" t="s">
        <v>16</v>
      </c>
      <c r="G12" s="367" t="s">
        <v>703</v>
      </c>
      <c r="H12" s="374" t="s">
        <v>116</v>
      </c>
      <c r="I12" s="374" t="s">
        <v>116</v>
      </c>
      <c r="J12" s="374" t="s">
        <v>116</v>
      </c>
      <c r="K12" s="374" t="s">
        <v>120</v>
      </c>
      <c r="L12" s="374" t="s">
        <v>116</v>
      </c>
      <c r="M12" s="374" t="s">
        <v>120</v>
      </c>
      <c r="N12" s="374" t="s">
        <v>120</v>
      </c>
      <c r="O12" s="374" t="s">
        <v>120</v>
      </c>
      <c r="P12" s="374" t="s">
        <v>116</v>
      </c>
      <c r="Q12" s="374" t="s">
        <v>116</v>
      </c>
      <c r="R12" s="374" t="s">
        <v>116</v>
      </c>
      <c r="S12" s="374" t="s">
        <v>116</v>
      </c>
      <c r="T12" s="374" t="s">
        <v>120</v>
      </c>
      <c r="U12" s="374" t="s">
        <v>120</v>
      </c>
      <c r="V12" s="374" t="s">
        <v>116</v>
      </c>
      <c r="W12" s="410" t="s">
        <v>120</v>
      </c>
      <c r="X12" s="410" t="s">
        <v>120</v>
      </c>
      <c r="Y12" s="410" t="s">
        <v>120</v>
      </c>
      <c r="Z12" s="369" t="s">
        <v>120</v>
      </c>
      <c r="AA12" s="350">
        <f>COUNTIF(H12:Z13, "SI")</f>
        <v>9</v>
      </c>
      <c r="AB12" s="369" t="s">
        <v>31</v>
      </c>
      <c r="AC12" s="348">
        <f>+VLOOKUP(AB12,Listados!$K$8:$L$12,2,0)</f>
        <v>2</v>
      </c>
      <c r="AD12" s="350" t="str">
        <f>+IF(OR(AA12=1,AA12&lt;=5),"Moderado",IF(OR(AA12=6,AA12&lt;=11),"Mayor","Catastrófico"))</f>
        <v>Mayor</v>
      </c>
      <c r="AE12" s="348" t="e">
        <f>+VLOOKUP(AD12,Listados!K25:L29,2,0)</f>
        <v>#N/A</v>
      </c>
      <c r="AF12" s="347" t="str">
        <f>IF(AND(AB12&lt;&gt;"",AD12&lt;&gt;""),VLOOKUP(AB12&amp;AD12,Listados!$M$3:$N$27,2,FALSE),"")</f>
        <v>Alto</v>
      </c>
      <c r="AG12" s="308" t="s">
        <v>704</v>
      </c>
      <c r="AH12" s="248" t="s">
        <v>702</v>
      </c>
      <c r="AI12" s="249" t="s">
        <v>123</v>
      </c>
      <c r="AJ12" s="249" t="s">
        <v>116</v>
      </c>
      <c r="AK12" s="142">
        <f t="shared" si="12"/>
        <v>15</v>
      </c>
      <c r="AL12" s="249" t="s">
        <v>116</v>
      </c>
      <c r="AM12" s="142">
        <f t="shared" si="13"/>
        <v>15</v>
      </c>
      <c r="AN12" s="234" t="s">
        <v>116</v>
      </c>
      <c r="AO12" s="142">
        <f t="shared" si="14"/>
        <v>15</v>
      </c>
      <c r="AP12" s="234" t="s">
        <v>123</v>
      </c>
      <c r="AQ12" s="142">
        <f t="shared" si="15"/>
        <v>10</v>
      </c>
      <c r="AR12" s="234" t="s">
        <v>116</v>
      </c>
      <c r="AS12" s="142">
        <f t="shared" si="16"/>
        <v>15</v>
      </c>
      <c r="AT12" s="234" t="s">
        <v>116</v>
      </c>
      <c r="AU12" s="142">
        <f t="shared" si="17"/>
        <v>15</v>
      </c>
      <c r="AV12" s="234" t="s">
        <v>117</v>
      </c>
      <c r="AW12" s="142">
        <f t="shared" si="0"/>
        <v>10</v>
      </c>
      <c r="AX12" s="21">
        <f t="shared" si="18"/>
        <v>95</v>
      </c>
      <c r="AY12" s="21" t="str">
        <f t="shared" si="19"/>
        <v>Moderado</v>
      </c>
      <c r="AZ12" s="209" t="s">
        <v>118</v>
      </c>
      <c r="BA12" s="210" t="str">
        <f t="shared" si="20"/>
        <v>Fuerte</v>
      </c>
      <c r="BB12" s="21" t="str">
        <f>IFERROR(VLOOKUP((CONCATENATE(AY12,BA12)),Listados!$U$3:$V$11,2,FALSE),"")</f>
        <v>Moderado</v>
      </c>
      <c r="BC12" s="21">
        <f t="shared" si="21"/>
        <v>50</v>
      </c>
      <c r="BD12" s="384">
        <f>AVERAGE(BC12:BC13)</f>
        <v>50</v>
      </c>
      <c r="BE12" s="386" t="str">
        <f>IF(BD12&lt;=50, "Débil", IF(BD12&lt;=99,"Moderado","Fuerte"))</f>
        <v>Débil</v>
      </c>
      <c r="BF12" s="384">
        <f>+IF(BE12="Fuerte",2,IF(BE12="Moderado",1,0))</f>
        <v>0</v>
      </c>
      <c r="BG12" s="384">
        <f>+AC12-BF12</f>
        <v>2</v>
      </c>
      <c r="BH12" s="380" t="str">
        <f>+VLOOKUP(BG12,Listados!$J$18:$K$24,2,TRUE)</f>
        <v>Improbable</v>
      </c>
      <c r="BI12" s="378" t="str">
        <f>IF(ISBLANK(AD12),"",AD12)</f>
        <v>Mayor</v>
      </c>
      <c r="BJ12" s="380" t="str">
        <f>IF(AND(BH12&lt;&gt;"",BI12&lt;&gt;""),VLOOKUP(BH12&amp;BI12,Listados!$M$3:$N$27,2,FALSE),"")</f>
        <v>Alto</v>
      </c>
      <c r="BK12" s="427" t="str">
        <f>+VLOOKUP(BJ12,Listados!$P$3:$Q$6,2,FALSE)</f>
        <v>Reducir el riesgo</v>
      </c>
      <c r="BL12" s="258" t="s">
        <v>705</v>
      </c>
      <c r="BM12" s="151" t="s">
        <v>706</v>
      </c>
      <c r="BN12" s="152">
        <v>45139</v>
      </c>
      <c r="BO12" s="152">
        <v>45291</v>
      </c>
      <c r="BP12" s="151" t="s">
        <v>707</v>
      </c>
      <c r="BQ12" s="151" t="s">
        <v>708</v>
      </c>
      <c r="BR12" s="495" t="s">
        <v>709</v>
      </c>
      <c r="BS12" s="375" t="s">
        <v>710</v>
      </c>
      <c r="BT12" s="375" t="s">
        <v>711</v>
      </c>
      <c r="BU12" s="393" t="s">
        <v>712</v>
      </c>
      <c r="BV12" s="381" t="s">
        <v>713</v>
      </c>
      <c r="BW12" s="375" t="s">
        <v>714</v>
      </c>
    </row>
    <row r="13" spans="1:75" ht="180">
      <c r="A13" s="329"/>
      <c r="B13" s="370"/>
      <c r="C13" s="379"/>
      <c r="D13" s="443"/>
      <c r="E13" s="237" t="s">
        <v>715</v>
      </c>
      <c r="F13" s="424"/>
      <c r="G13" s="367"/>
      <c r="H13" s="374"/>
      <c r="I13" s="374"/>
      <c r="J13" s="374"/>
      <c r="K13" s="374"/>
      <c r="L13" s="374"/>
      <c r="M13" s="374"/>
      <c r="N13" s="374"/>
      <c r="O13" s="374"/>
      <c r="P13" s="374"/>
      <c r="Q13" s="374"/>
      <c r="R13" s="374"/>
      <c r="S13" s="374"/>
      <c r="T13" s="374"/>
      <c r="U13" s="374"/>
      <c r="V13" s="374"/>
      <c r="W13" s="374"/>
      <c r="X13" s="374"/>
      <c r="Y13" s="374"/>
      <c r="Z13" s="370"/>
      <c r="AA13" s="362"/>
      <c r="AB13" s="370"/>
      <c r="AC13" s="349"/>
      <c r="AD13" s="362" t="str">
        <f>+IF(OR(AB13=1,AB13&lt;=5),"Moderado",IF(OR(AB13=6,AB13&lt;=11),"Mayor","Catastrófico"))</f>
        <v>Moderado</v>
      </c>
      <c r="AE13" s="349"/>
      <c r="AF13" s="353"/>
      <c r="AG13" s="308" t="s">
        <v>716</v>
      </c>
      <c r="AH13" s="248" t="s">
        <v>715</v>
      </c>
      <c r="AI13" s="249" t="s">
        <v>123</v>
      </c>
      <c r="AJ13" s="249" t="s">
        <v>116</v>
      </c>
      <c r="AK13" s="142">
        <f t="shared" si="12"/>
        <v>15</v>
      </c>
      <c r="AL13" s="249" t="s">
        <v>116</v>
      </c>
      <c r="AM13" s="142">
        <f t="shared" si="13"/>
        <v>15</v>
      </c>
      <c r="AN13" s="234" t="s">
        <v>116</v>
      </c>
      <c r="AO13" s="142">
        <f t="shared" si="14"/>
        <v>15</v>
      </c>
      <c r="AP13" s="234" t="s">
        <v>123</v>
      </c>
      <c r="AQ13" s="142">
        <f t="shared" si="15"/>
        <v>10</v>
      </c>
      <c r="AR13" s="234" t="s">
        <v>116</v>
      </c>
      <c r="AS13" s="142">
        <f t="shared" si="16"/>
        <v>15</v>
      </c>
      <c r="AT13" s="234" t="s">
        <v>116</v>
      </c>
      <c r="AU13" s="142">
        <f t="shared" si="17"/>
        <v>15</v>
      </c>
      <c r="AV13" s="234" t="s">
        <v>117</v>
      </c>
      <c r="AW13" s="142">
        <f t="shared" si="0"/>
        <v>10</v>
      </c>
      <c r="AX13" s="21">
        <f t="shared" si="18"/>
        <v>95</v>
      </c>
      <c r="AY13" s="21" t="str">
        <f t="shared" si="19"/>
        <v>Moderado</v>
      </c>
      <c r="AZ13" s="209" t="s">
        <v>118</v>
      </c>
      <c r="BA13" s="210" t="str">
        <f t="shared" si="20"/>
        <v>Fuerte</v>
      </c>
      <c r="BB13" s="21" t="str">
        <f>IFERROR(VLOOKUP((CONCATENATE(AY13,BA13)),Listados!$U$3:$V$11,2,FALSE),"")</f>
        <v>Moderado</v>
      </c>
      <c r="BC13" s="21">
        <f t="shared" si="21"/>
        <v>50</v>
      </c>
      <c r="BD13" s="385"/>
      <c r="BE13" s="413"/>
      <c r="BF13" s="385"/>
      <c r="BG13" s="385"/>
      <c r="BH13" s="364"/>
      <c r="BI13" s="379"/>
      <c r="BJ13" s="364"/>
      <c r="BK13" s="428"/>
      <c r="BL13" s="258"/>
      <c r="BM13" s="258"/>
      <c r="BN13" s="258"/>
      <c r="BO13" s="258"/>
      <c r="BP13" s="258"/>
      <c r="BQ13" s="258"/>
      <c r="BR13" s="496"/>
      <c r="BS13" s="377"/>
      <c r="BT13" s="377"/>
      <c r="BU13" s="395"/>
      <c r="BV13" s="383"/>
      <c r="BW13" s="377"/>
    </row>
    <row r="14" spans="1:75" ht="87.6" customHeight="1">
      <c r="A14" s="328">
        <v>4</v>
      </c>
      <c r="B14" s="370" t="s">
        <v>98</v>
      </c>
      <c r="C14" s="379" t="str">
        <f>IFERROR(VLOOKUP(B14,Listados!B$3:C$20,2,FALSE),"")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14" s="435" t="s">
        <v>717</v>
      </c>
      <c r="E14" s="237" t="s">
        <v>718</v>
      </c>
      <c r="F14" s="423" t="s">
        <v>16</v>
      </c>
      <c r="G14" s="367" t="s">
        <v>719</v>
      </c>
      <c r="H14" s="374" t="s">
        <v>116</v>
      </c>
      <c r="I14" s="374" t="s">
        <v>116</v>
      </c>
      <c r="J14" s="374" t="s">
        <v>116</v>
      </c>
      <c r="K14" s="374" t="s">
        <v>116</v>
      </c>
      <c r="L14" s="374" t="s">
        <v>116</v>
      </c>
      <c r="M14" s="374" t="s">
        <v>120</v>
      </c>
      <c r="N14" s="374" t="s">
        <v>116</v>
      </c>
      <c r="O14" s="374" t="s">
        <v>120</v>
      </c>
      <c r="P14" s="374" t="s">
        <v>116</v>
      </c>
      <c r="Q14" s="374" t="s">
        <v>116</v>
      </c>
      <c r="R14" s="374" t="s">
        <v>120</v>
      </c>
      <c r="S14" s="374" t="s">
        <v>116</v>
      </c>
      <c r="T14" s="374" t="s">
        <v>120</v>
      </c>
      <c r="U14" s="374" t="s">
        <v>116</v>
      </c>
      <c r="V14" s="374" t="s">
        <v>116</v>
      </c>
      <c r="W14" s="410" t="s">
        <v>120</v>
      </c>
      <c r="X14" s="410" t="s">
        <v>116</v>
      </c>
      <c r="Y14" s="410" t="s">
        <v>116</v>
      </c>
      <c r="Z14" s="369" t="s">
        <v>120</v>
      </c>
      <c r="AA14" s="350">
        <f>COUNTIF(H14:Z15, "SI")</f>
        <v>13</v>
      </c>
      <c r="AB14" s="369" t="s">
        <v>21</v>
      </c>
      <c r="AC14" s="348">
        <f>+VLOOKUP(AB14,Listados!$K$8:$L$12,2,0)</f>
        <v>1</v>
      </c>
      <c r="AD14" s="350" t="str">
        <f>+IF(OR(AA14=1,AA14&lt;=5),"Moderado",IF(OR(AA14=6,AA14&lt;=11),"Mayor","Catastrófico"))</f>
        <v>Catastrófico</v>
      </c>
      <c r="AE14" s="348">
        <f>+VLOOKUP(AD14,Listados!K31:L35,2,0)</f>
        <v>0</v>
      </c>
      <c r="AF14" s="347" t="str">
        <f>IF(AND(AB14&lt;&gt;"",AD14&lt;&gt;""),VLOOKUP(AB14&amp;AD14,Listados!$M$3:$N$27,2,FALSE),"")</f>
        <v>Extremo</v>
      </c>
      <c r="AG14" s="421" t="s">
        <v>720</v>
      </c>
      <c r="AH14" s="400" t="s">
        <v>721</v>
      </c>
      <c r="AI14" s="412" t="s">
        <v>123</v>
      </c>
      <c r="AJ14" s="412" t="s">
        <v>116</v>
      </c>
      <c r="AK14" s="142">
        <f>+IF(AJ14="si",15,"")</f>
        <v>15</v>
      </c>
      <c r="AL14" s="412" t="s">
        <v>116</v>
      </c>
      <c r="AM14" s="142">
        <f>+IF(AL14="si",15,"")</f>
        <v>15</v>
      </c>
      <c r="AN14" s="412" t="s">
        <v>116</v>
      </c>
      <c r="AO14" s="142">
        <f>+IF(AN14="si",15,"")</f>
        <v>15</v>
      </c>
      <c r="AP14" s="412" t="s">
        <v>123</v>
      </c>
      <c r="AQ14" s="142">
        <f t="shared" si="15"/>
        <v>10</v>
      </c>
      <c r="AR14" s="412" t="s">
        <v>116</v>
      </c>
      <c r="AS14" s="142">
        <f>+IF(AR14="si",15,"")</f>
        <v>15</v>
      </c>
      <c r="AT14" s="412" t="s">
        <v>116</v>
      </c>
      <c r="AU14" s="142">
        <f>+IF(AT14="si",15,"")</f>
        <v>15</v>
      </c>
      <c r="AV14" s="412" t="s">
        <v>117</v>
      </c>
      <c r="AW14" s="142">
        <f t="shared" si="0"/>
        <v>10</v>
      </c>
      <c r="AX14" s="384">
        <f t="shared" si="18"/>
        <v>95</v>
      </c>
      <c r="AY14" s="384" t="str">
        <f t="shared" si="19"/>
        <v>Moderado</v>
      </c>
      <c r="AZ14" s="425" t="s">
        <v>118</v>
      </c>
      <c r="BA14" s="384" t="str">
        <f t="shared" ref="BA14" si="22">+IF(AZ14="siempre","Fuerte",IF(AZ14="Algunas veces","Moderado","Débil"))</f>
        <v>Fuerte</v>
      </c>
      <c r="BB14" s="384" t="str">
        <f>IFERROR(VLOOKUP((CONCATENATE(AY14,BA14)),[5]Listados!$U$3:$V$11,2,FALSE),"")</f>
        <v>Moderado</v>
      </c>
      <c r="BC14" s="384">
        <f t="shared" ref="BC14" si="23">IF(ISBLANK(BB14),"",IF(BB14="Débil", 0, IF(BB14="Moderado",50,100)))</f>
        <v>50</v>
      </c>
      <c r="BD14" s="384">
        <f>AVERAGE(BC14:BC15)</f>
        <v>50</v>
      </c>
      <c r="BE14" s="386" t="str">
        <f>IF(BD14&lt;=50, "Débil", IF(BD14&lt;=99,"Moderado","Fuerte"))</f>
        <v>Débil</v>
      </c>
      <c r="BF14" s="384">
        <f>+IF(BE14="Fuerte",2,IF(BE14="Moderado",1,0))</f>
        <v>0</v>
      </c>
      <c r="BG14" s="384">
        <f>+AC14-BF14</f>
        <v>1</v>
      </c>
      <c r="BH14" s="380" t="str">
        <f>+VLOOKUP(BG14,[5]Listados!$J$18:$K$24,2,TRUE)</f>
        <v>Rara Vez</v>
      </c>
      <c r="BI14" s="378" t="str">
        <f>IF(ISBLANK(AD14),"",AD14)</f>
        <v>Catastrófico</v>
      </c>
      <c r="BJ14" s="380" t="str">
        <f>IF(AND(BH14&lt;&gt;"",BI14&lt;&gt;""),VLOOKUP(BH14&amp;BI14,[5]Listados!$M$3:$N$27,2,FALSE),"")</f>
        <v>Extremo</v>
      </c>
      <c r="BK14" s="427" t="str">
        <f>+VLOOKUP(BJ14,[5]Listados!$P$3:$Q$6,2,FALSE)</f>
        <v>Evitar el riesgo</v>
      </c>
      <c r="BL14" s="381" t="s">
        <v>722</v>
      </c>
      <c r="BM14" s="375" t="s">
        <v>723</v>
      </c>
      <c r="BN14" s="387">
        <v>44927</v>
      </c>
      <c r="BO14" s="387">
        <v>45291</v>
      </c>
      <c r="BP14" s="375" t="s">
        <v>724</v>
      </c>
      <c r="BQ14" s="375" t="s">
        <v>725</v>
      </c>
      <c r="BR14" s="406" t="s">
        <v>726</v>
      </c>
      <c r="BS14" s="375" t="s">
        <v>726</v>
      </c>
      <c r="BT14" s="411" t="s">
        <v>726</v>
      </c>
      <c r="BU14" s="400" t="s">
        <v>727</v>
      </c>
      <c r="BV14" s="400" t="s">
        <v>728</v>
      </c>
      <c r="BW14" s="396" t="s">
        <v>729</v>
      </c>
    </row>
    <row r="15" spans="1:75" ht="81.75" customHeight="1" thickBot="1">
      <c r="A15" s="329"/>
      <c r="B15" s="370"/>
      <c r="C15" s="379"/>
      <c r="D15" s="435"/>
      <c r="E15" s="237" t="s">
        <v>730</v>
      </c>
      <c r="F15" s="424"/>
      <c r="G15" s="367"/>
      <c r="H15" s="374"/>
      <c r="I15" s="374"/>
      <c r="J15" s="374"/>
      <c r="K15" s="374"/>
      <c r="L15" s="374"/>
      <c r="M15" s="374"/>
      <c r="N15" s="374"/>
      <c r="O15" s="374"/>
      <c r="P15" s="374"/>
      <c r="Q15" s="374"/>
      <c r="R15" s="374"/>
      <c r="S15" s="374"/>
      <c r="T15" s="374"/>
      <c r="U15" s="374"/>
      <c r="V15" s="374"/>
      <c r="W15" s="374"/>
      <c r="X15" s="374"/>
      <c r="Y15" s="374"/>
      <c r="Z15" s="370"/>
      <c r="AA15" s="362"/>
      <c r="AB15" s="370"/>
      <c r="AC15" s="349"/>
      <c r="AD15" s="362" t="str">
        <f>+IF(OR(AB15=1,AB15&lt;=5),"Moderado",IF(OR(AB15=6,AB15&lt;=11),"Mayor","Catastrófico"))</f>
        <v>Moderado</v>
      </c>
      <c r="AE15" s="349"/>
      <c r="AF15" s="353"/>
      <c r="AG15" s="422"/>
      <c r="AH15" s="400"/>
      <c r="AI15" s="369"/>
      <c r="AJ15" s="369"/>
      <c r="AK15" s="142" t="str">
        <f t="shared" si="12"/>
        <v/>
      </c>
      <c r="AL15" s="369"/>
      <c r="AM15" s="142" t="str">
        <f t="shared" si="13"/>
        <v/>
      </c>
      <c r="AN15" s="369"/>
      <c r="AO15" s="142" t="str">
        <f t="shared" si="14"/>
        <v/>
      </c>
      <c r="AP15" s="369"/>
      <c r="AQ15" s="142" t="str">
        <f t="shared" si="15"/>
        <v/>
      </c>
      <c r="AR15" s="369"/>
      <c r="AS15" s="142" t="str">
        <f t="shared" si="16"/>
        <v/>
      </c>
      <c r="AT15" s="369"/>
      <c r="AU15" s="142" t="str">
        <f t="shared" si="17"/>
        <v/>
      </c>
      <c r="AV15" s="369"/>
      <c r="AW15" s="142" t="str">
        <f t="shared" si="0"/>
        <v/>
      </c>
      <c r="AX15" s="386"/>
      <c r="AY15" s="386"/>
      <c r="AZ15" s="426"/>
      <c r="BA15" s="386"/>
      <c r="BB15" s="386"/>
      <c r="BC15" s="386"/>
      <c r="BD15" s="385"/>
      <c r="BE15" s="413"/>
      <c r="BF15" s="385"/>
      <c r="BG15" s="385"/>
      <c r="BH15" s="364"/>
      <c r="BI15" s="379"/>
      <c r="BJ15" s="364"/>
      <c r="BK15" s="428"/>
      <c r="BL15" s="383"/>
      <c r="BM15" s="377"/>
      <c r="BN15" s="389"/>
      <c r="BO15" s="389"/>
      <c r="BP15" s="377"/>
      <c r="BQ15" s="377"/>
      <c r="BR15" s="408"/>
      <c r="BS15" s="377"/>
      <c r="BT15" s="411"/>
      <c r="BU15" s="400"/>
      <c r="BV15" s="400"/>
      <c r="BW15" s="396"/>
    </row>
    <row r="16" spans="1:75" ht="120.75" customHeight="1">
      <c r="A16" s="328">
        <v>5</v>
      </c>
      <c r="B16" s="379" t="s">
        <v>104</v>
      </c>
      <c r="C16" s="379" t="str">
        <f>IFERROR(VLOOKUP(B16,Listados!B$3:C$20,2,FALSE),"")</f>
        <v>Evaluar y/o hacer seguimiento a la planeación, ejecución y control en la gestión de los procesos (SIG), programas, planes y proyectos del Ministerio de Justicia y del Derecho para el mejoramiento continuo de la gestión de la Entidad.</v>
      </c>
      <c r="D16" s="435" t="s">
        <v>731</v>
      </c>
      <c r="E16" s="61" t="s">
        <v>732</v>
      </c>
      <c r="F16" s="103" t="s">
        <v>16</v>
      </c>
      <c r="G16" s="367" t="s">
        <v>733</v>
      </c>
      <c r="H16" s="353" t="s">
        <v>312</v>
      </c>
      <c r="I16" s="353" t="s">
        <v>312</v>
      </c>
      <c r="J16" s="353" t="s">
        <v>670</v>
      </c>
      <c r="K16" s="353" t="s">
        <v>670</v>
      </c>
      <c r="L16" s="353" t="s">
        <v>312</v>
      </c>
      <c r="M16" s="353" t="s">
        <v>312</v>
      </c>
      <c r="N16" s="353" t="s">
        <v>670</v>
      </c>
      <c r="O16" s="353" t="s">
        <v>670</v>
      </c>
      <c r="P16" s="353" t="s">
        <v>312</v>
      </c>
      <c r="Q16" s="353" t="s">
        <v>312</v>
      </c>
      <c r="R16" s="353" t="s">
        <v>312</v>
      </c>
      <c r="S16" s="353" t="s">
        <v>312</v>
      </c>
      <c r="T16" s="353" t="s">
        <v>670</v>
      </c>
      <c r="U16" s="353" t="s">
        <v>312</v>
      </c>
      <c r="V16" s="353" t="s">
        <v>312</v>
      </c>
      <c r="W16" s="347" t="s">
        <v>670</v>
      </c>
      <c r="X16" s="347" t="s">
        <v>670</v>
      </c>
      <c r="Y16" s="347" t="s">
        <v>670</v>
      </c>
      <c r="Z16" s="378" t="s">
        <v>670</v>
      </c>
      <c r="AA16" s="350">
        <f>COUNTIF(H16:Z18, "SI")</f>
        <v>10</v>
      </c>
      <c r="AB16" s="369" t="s">
        <v>21</v>
      </c>
      <c r="AC16" s="348">
        <f>+VLOOKUP(AB16,Listados!$K$8:$L$12,2,0)</f>
        <v>1</v>
      </c>
      <c r="AD16" s="350" t="str">
        <f>+IF(OR(AA16=1,AA16&lt;=5),"Moderado",IF(OR(AA16=6,AA16&lt;=11),"Mayor","Catastrófico"))</f>
        <v>Mayor</v>
      </c>
      <c r="AE16" s="348" t="e">
        <f>+VLOOKUP(AD16,Listados!K37:L41,2,0)</f>
        <v>#N/A</v>
      </c>
      <c r="AF16" s="347" t="str">
        <f>IF(AND(AB16&lt;&gt;"",AD16&lt;&gt;""),VLOOKUP(AB16&amp;AD16,Listados!$M$3:$N$27,2,FALSE),"")</f>
        <v>Alto</v>
      </c>
      <c r="AG16" s="259" t="s">
        <v>734</v>
      </c>
      <c r="AH16" s="400" t="s">
        <v>735</v>
      </c>
      <c r="AI16" s="245" t="s">
        <v>20</v>
      </c>
      <c r="AJ16" s="245" t="s">
        <v>116</v>
      </c>
      <c r="AK16" s="142">
        <f>+IF(AJ16="si",15,"")</f>
        <v>15</v>
      </c>
      <c r="AL16" s="245" t="s">
        <v>312</v>
      </c>
      <c r="AM16" s="142">
        <f>+IF(AL16="si",15,"")</f>
        <v>15</v>
      </c>
      <c r="AN16" s="245" t="s">
        <v>312</v>
      </c>
      <c r="AO16" s="142">
        <f>+IF(AN16="si",15,"")</f>
        <v>15</v>
      </c>
      <c r="AP16" s="245" t="s">
        <v>20</v>
      </c>
      <c r="AQ16" s="142" t="str">
        <f>+IF(AP16="si",15,"")</f>
        <v/>
      </c>
      <c r="AR16" s="245" t="s">
        <v>312</v>
      </c>
      <c r="AS16" s="142">
        <f>+IF(AR16="si",15,"")</f>
        <v>15</v>
      </c>
      <c r="AT16" s="245" t="s">
        <v>312</v>
      </c>
      <c r="AU16" s="142">
        <f>+IF(AT16="si",15,"")</f>
        <v>15</v>
      </c>
      <c r="AV16" s="245" t="s">
        <v>117</v>
      </c>
      <c r="AW16" s="142">
        <f t="shared" si="0"/>
        <v>10</v>
      </c>
      <c r="AX16" s="21">
        <f t="shared" si="18"/>
        <v>85</v>
      </c>
      <c r="AY16" s="21" t="str">
        <f t="shared" si="19"/>
        <v>Débil</v>
      </c>
      <c r="AZ16" s="209" t="s">
        <v>118</v>
      </c>
      <c r="BA16" s="210" t="str">
        <f t="shared" si="20"/>
        <v>Fuerte</v>
      </c>
      <c r="BB16" s="21" t="str">
        <f>IFERROR(VLOOKUP((CONCATENATE(AY16,BA16)),Listados!$U$3:$V$11,2,FALSE),"")</f>
        <v>Débil</v>
      </c>
      <c r="BC16" s="21">
        <f t="shared" si="21"/>
        <v>0</v>
      </c>
      <c r="BD16" s="384">
        <f>AVERAGE(BC16:BC18)</f>
        <v>0</v>
      </c>
      <c r="BE16" s="386" t="str">
        <f>IF(BD16&lt;=50, "Débil", IF(BD16&lt;=99,"Moderado","Fuerte"))</f>
        <v>Débil</v>
      </c>
      <c r="BF16" s="384">
        <f>+IF(BE16="Fuerte",2,IF(BE16="Moderado",1,0))</f>
        <v>0</v>
      </c>
      <c r="BG16" s="384">
        <f>+AC16-BF16</f>
        <v>1</v>
      </c>
      <c r="BH16" s="380" t="str">
        <f>+VLOOKUP(BG16,Listados!$J$18:$K$24,2,TRUE)</f>
        <v>Rara Vez</v>
      </c>
      <c r="BI16" s="378" t="str">
        <f>IF(ISBLANK(AD16),"",AD16)</f>
        <v>Mayor</v>
      </c>
      <c r="BJ16" s="380" t="str">
        <f>IF(AND(BH16&lt;&gt;"",BI16&lt;&gt;""),VLOOKUP(BH16&amp;BI16,Listados!$M$3:$N$27,2,FALSE),"")</f>
        <v>Alto</v>
      </c>
      <c r="BK16" s="427" t="str">
        <f>+VLOOKUP(BJ16,Listados!$P$3:$Q$6,2,FALSE)</f>
        <v>Reducir el riesgo</v>
      </c>
      <c r="BL16" s="492" t="s">
        <v>736</v>
      </c>
      <c r="BM16" s="482" t="s">
        <v>737</v>
      </c>
      <c r="BN16" s="484">
        <v>44927</v>
      </c>
      <c r="BO16" s="484">
        <v>45291</v>
      </c>
      <c r="BP16" s="482" t="s">
        <v>738</v>
      </c>
      <c r="BQ16" s="482" t="s">
        <v>739</v>
      </c>
      <c r="BR16" s="475" t="s">
        <v>740</v>
      </c>
      <c r="BS16" s="411" t="s">
        <v>741</v>
      </c>
      <c r="BT16" s="411" t="s">
        <v>742</v>
      </c>
      <c r="BU16" s="400" t="s">
        <v>735</v>
      </c>
      <c r="BV16" s="400" t="s">
        <v>743</v>
      </c>
      <c r="BW16" s="396" t="s">
        <v>744</v>
      </c>
    </row>
    <row r="17" spans="1:75" ht="76.5">
      <c r="A17" s="329"/>
      <c r="B17" s="379"/>
      <c r="C17" s="379"/>
      <c r="D17" s="435"/>
      <c r="E17" s="213" t="s">
        <v>745</v>
      </c>
      <c r="F17" s="236" t="s">
        <v>16</v>
      </c>
      <c r="G17" s="367"/>
      <c r="H17" s="353"/>
      <c r="I17" s="353"/>
      <c r="J17" s="353"/>
      <c r="K17" s="353"/>
      <c r="L17" s="353"/>
      <c r="M17" s="353"/>
      <c r="N17" s="353"/>
      <c r="O17" s="353"/>
      <c r="P17" s="353"/>
      <c r="Q17" s="353"/>
      <c r="R17" s="353"/>
      <c r="S17" s="353"/>
      <c r="T17" s="353"/>
      <c r="U17" s="353"/>
      <c r="V17" s="353"/>
      <c r="W17" s="353"/>
      <c r="X17" s="353"/>
      <c r="Y17" s="353"/>
      <c r="Z17" s="379"/>
      <c r="AA17" s="362"/>
      <c r="AB17" s="370"/>
      <c r="AC17" s="349"/>
      <c r="AD17" s="362" t="str">
        <f>+IF(OR(AB17=1,AB17&lt;=5),"Moderado",IF(OR(AB17=6,AB17&lt;=11),"Mayor","Catastrófico"))</f>
        <v>Moderado</v>
      </c>
      <c r="AE17" s="349"/>
      <c r="AF17" s="353"/>
      <c r="AG17" s="259" t="s">
        <v>746</v>
      </c>
      <c r="AH17" s="400"/>
      <c r="AI17" s="245" t="s">
        <v>123</v>
      </c>
      <c r="AJ17" s="245" t="s">
        <v>312</v>
      </c>
      <c r="AK17" s="142">
        <f t="shared" ref="AK17" si="24">+IF(AJ17="si",15,"")</f>
        <v>15</v>
      </c>
      <c r="AL17" s="245" t="s">
        <v>312</v>
      </c>
      <c r="AM17" s="142">
        <f t="shared" ref="AM17" si="25">+IF(AL17="si",15,"")</f>
        <v>15</v>
      </c>
      <c r="AN17" s="245" t="s">
        <v>312</v>
      </c>
      <c r="AO17" s="142">
        <f t="shared" ref="AO17" si="26">+IF(AN17="si",15,"")</f>
        <v>15</v>
      </c>
      <c r="AP17" s="245" t="s">
        <v>123</v>
      </c>
      <c r="AQ17" s="142" t="str">
        <f t="shared" ref="AQ17" si="27">+IF(AP17="si",15,"")</f>
        <v/>
      </c>
      <c r="AR17" s="245" t="s">
        <v>312</v>
      </c>
      <c r="AS17" s="142">
        <f t="shared" ref="AS17" si="28">+IF(AR17="si",15,"")</f>
        <v>15</v>
      </c>
      <c r="AT17" s="245" t="s">
        <v>312</v>
      </c>
      <c r="AU17" s="142">
        <f t="shared" ref="AU17" si="29">+IF(AT17="si",15,"")</f>
        <v>15</v>
      </c>
      <c r="AV17" s="245" t="s">
        <v>117</v>
      </c>
      <c r="AW17" s="142">
        <f t="shared" si="0"/>
        <v>10</v>
      </c>
      <c r="AX17" s="21">
        <f t="shared" si="18"/>
        <v>85</v>
      </c>
      <c r="AY17" s="21" t="str">
        <f t="shared" si="19"/>
        <v>Débil</v>
      </c>
      <c r="AZ17" s="209" t="s">
        <v>118</v>
      </c>
      <c r="BA17" s="210" t="str">
        <f t="shared" si="20"/>
        <v>Fuerte</v>
      </c>
      <c r="BB17" s="21" t="str">
        <f>IFERROR(VLOOKUP((CONCATENATE(AY17,BA17)),Listados!$U$3:$V$11,2,FALSE),"")</f>
        <v>Débil</v>
      </c>
      <c r="BC17" s="21">
        <f t="shared" si="21"/>
        <v>0</v>
      </c>
      <c r="BD17" s="385"/>
      <c r="BE17" s="413"/>
      <c r="BF17" s="385"/>
      <c r="BG17" s="385"/>
      <c r="BH17" s="364"/>
      <c r="BI17" s="379"/>
      <c r="BJ17" s="364"/>
      <c r="BK17" s="428"/>
      <c r="BL17" s="493"/>
      <c r="BM17" s="490"/>
      <c r="BN17" s="491"/>
      <c r="BO17" s="491"/>
      <c r="BP17" s="490"/>
      <c r="BQ17" s="490"/>
      <c r="BR17" s="475"/>
      <c r="BS17" s="411"/>
      <c r="BT17" s="411"/>
      <c r="BU17" s="400"/>
      <c r="BV17" s="400"/>
      <c r="BW17" s="396"/>
    </row>
    <row r="18" spans="1:75" ht="77.25" thickBot="1">
      <c r="A18" s="329"/>
      <c r="B18" s="379"/>
      <c r="C18" s="379"/>
      <c r="D18" s="435"/>
      <c r="E18" s="213" t="s">
        <v>747</v>
      </c>
      <c r="F18" s="236" t="s">
        <v>16</v>
      </c>
      <c r="G18" s="367"/>
      <c r="H18" s="353"/>
      <c r="I18" s="353"/>
      <c r="J18" s="353"/>
      <c r="K18" s="353"/>
      <c r="L18" s="353"/>
      <c r="M18" s="353"/>
      <c r="N18" s="353"/>
      <c r="O18" s="353"/>
      <c r="P18" s="353"/>
      <c r="Q18" s="353"/>
      <c r="R18" s="353"/>
      <c r="S18" s="353"/>
      <c r="T18" s="353"/>
      <c r="U18" s="353"/>
      <c r="V18" s="353"/>
      <c r="W18" s="353"/>
      <c r="X18" s="353"/>
      <c r="Y18" s="353"/>
      <c r="Z18" s="379"/>
      <c r="AA18" s="362"/>
      <c r="AB18" s="370"/>
      <c r="AC18" s="349"/>
      <c r="AD18" s="362" t="str">
        <f>+IF(OR(AB18=1,AB18&lt;=5),"Moderado",IF(OR(AB18=6,AB18&lt;=11),"Mayor","Catastrófico"))</f>
        <v>Moderado</v>
      </c>
      <c r="AE18" s="349"/>
      <c r="AF18" s="353"/>
      <c r="AG18" s="259" t="s">
        <v>746</v>
      </c>
      <c r="AH18" s="400"/>
      <c r="AI18" s="245" t="s">
        <v>123</v>
      </c>
      <c r="AJ18" s="245" t="s">
        <v>312</v>
      </c>
      <c r="AK18" s="142">
        <f t="shared" ref="AK18" si="30">+IF(AJ18="si",15,"")</f>
        <v>15</v>
      </c>
      <c r="AL18" s="245" t="s">
        <v>312</v>
      </c>
      <c r="AM18" s="142">
        <f t="shared" ref="AM18" si="31">+IF(AL18="si",15,"")</f>
        <v>15</v>
      </c>
      <c r="AN18" s="245" t="s">
        <v>312</v>
      </c>
      <c r="AO18" s="142">
        <f t="shared" ref="AO18" si="32">+IF(AN18="si",15,"")</f>
        <v>15</v>
      </c>
      <c r="AP18" s="245" t="s">
        <v>123</v>
      </c>
      <c r="AQ18" s="142" t="str">
        <f t="shared" ref="AQ18" si="33">+IF(AP18="si",15,"")</f>
        <v/>
      </c>
      <c r="AR18" s="245" t="s">
        <v>312</v>
      </c>
      <c r="AS18" s="142">
        <f t="shared" ref="AS18" si="34">+IF(AR18="si",15,"")</f>
        <v>15</v>
      </c>
      <c r="AT18" s="245" t="s">
        <v>312</v>
      </c>
      <c r="AU18" s="142">
        <f t="shared" ref="AU18" si="35">+IF(AT18="si",15,"")</f>
        <v>15</v>
      </c>
      <c r="AV18" s="245" t="s">
        <v>117</v>
      </c>
      <c r="AW18" s="142">
        <f t="shared" si="0"/>
        <v>10</v>
      </c>
      <c r="AX18" s="21">
        <f t="shared" si="18"/>
        <v>85</v>
      </c>
      <c r="AY18" s="21" t="str">
        <f t="shared" si="19"/>
        <v>Débil</v>
      </c>
      <c r="AZ18" s="209" t="s">
        <v>118</v>
      </c>
      <c r="BA18" s="210" t="str">
        <f t="shared" si="20"/>
        <v>Fuerte</v>
      </c>
      <c r="BB18" s="21" t="str">
        <f>IFERROR(VLOOKUP((CONCATENATE(AY18,BA18)),Listados!$U$3:$V$11,2,FALSE),"")</f>
        <v>Débil</v>
      </c>
      <c r="BC18" s="21">
        <f t="shared" si="21"/>
        <v>0</v>
      </c>
      <c r="BD18" s="385"/>
      <c r="BE18" s="413"/>
      <c r="BF18" s="385"/>
      <c r="BG18" s="385"/>
      <c r="BH18" s="364"/>
      <c r="BI18" s="379"/>
      <c r="BJ18" s="364"/>
      <c r="BK18" s="428"/>
      <c r="BL18" s="494"/>
      <c r="BM18" s="483"/>
      <c r="BN18" s="485"/>
      <c r="BO18" s="485"/>
      <c r="BP18" s="483"/>
      <c r="BQ18" s="483"/>
      <c r="BR18" s="475"/>
      <c r="BS18" s="411"/>
      <c r="BT18" s="411"/>
      <c r="BU18" s="400"/>
      <c r="BV18" s="400"/>
      <c r="BW18" s="396"/>
    </row>
    <row r="19" spans="1:75" ht="105">
      <c r="A19" s="328">
        <v>6</v>
      </c>
      <c r="B19" s="374" t="s">
        <v>68</v>
      </c>
      <c r="C19" s="379" t="s">
        <v>748</v>
      </c>
      <c r="D19" s="435" t="s">
        <v>749</v>
      </c>
      <c r="E19" s="260" t="s">
        <v>750</v>
      </c>
      <c r="F19" s="246" t="s">
        <v>30</v>
      </c>
      <c r="G19" s="367" t="s">
        <v>751</v>
      </c>
      <c r="H19" s="374" t="s">
        <v>116</v>
      </c>
      <c r="I19" s="374" t="s">
        <v>116</v>
      </c>
      <c r="J19" s="374" t="s">
        <v>116</v>
      </c>
      <c r="K19" s="374" t="s">
        <v>116</v>
      </c>
      <c r="L19" s="374" t="s">
        <v>116</v>
      </c>
      <c r="M19" s="374" t="s">
        <v>120</v>
      </c>
      <c r="N19" s="374" t="s">
        <v>116</v>
      </c>
      <c r="O19" s="374" t="s">
        <v>120</v>
      </c>
      <c r="P19" s="374" t="s">
        <v>116</v>
      </c>
      <c r="Q19" s="374" t="s">
        <v>116</v>
      </c>
      <c r="R19" s="374" t="s">
        <v>116</v>
      </c>
      <c r="S19" s="374" t="s">
        <v>116</v>
      </c>
      <c r="T19" s="374" t="s">
        <v>116</v>
      </c>
      <c r="U19" s="374" t="s">
        <v>116</v>
      </c>
      <c r="V19" s="374" t="s">
        <v>116</v>
      </c>
      <c r="W19" s="410" t="s">
        <v>120</v>
      </c>
      <c r="X19" s="410" t="s">
        <v>120</v>
      </c>
      <c r="Y19" s="410" t="s">
        <v>116</v>
      </c>
      <c r="Z19" s="369" t="s">
        <v>120</v>
      </c>
      <c r="AA19" s="350">
        <f>COUNTIF(H19:Z22, "SI")</f>
        <v>14</v>
      </c>
      <c r="AB19" s="369" t="s">
        <v>44</v>
      </c>
      <c r="AC19" s="348">
        <f>+VLOOKUP(AB19,Listados!$K$8:$L$12,2,0)</f>
        <v>3</v>
      </c>
      <c r="AD19" s="350" t="str">
        <f>+IF(OR(AA19=1,AA19&lt;=5),"Moderado",IF(OR(AA19=6,AA19&lt;=11),"Mayor","Catastrófico"))</f>
        <v>Catastrófico</v>
      </c>
      <c r="AE19" s="348" t="e">
        <f>+VLOOKUP(AD19,Listados!K43:L47,2,0)</f>
        <v>#N/A</v>
      </c>
      <c r="AF19" s="347" t="str">
        <f>IF(AND(AB19&lt;&gt;"",AD19&lt;&gt;""),VLOOKUP(AB19&amp;AD19,Listados!$M$3:$N$27,2,FALSE),"")</f>
        <v>Extremo</v>
      </c>
      <c r="AG19" s="256" t="s">
        <v>752</v>
      </c>
      <c r="AH19" s="261" t="s">
        <v>750</v>
      </c>
      <c r="AI19" s="234" t="s">
        <v>20</v>
      </c>
      <c r="AJ19" s="245" t="s">
        <v>116</v>
      </c>
      <c r="AK19" s="142">
        <f t="shared" ref="AK19:AK24" si="36">+IF(AJ19="si",15,"")</f>
        <v>15</v>
      </c>
      <c r="AL19" s="245" t="s">
        <v>312</v>
      </c>
      <c r="AM19" s="142">
        <f t="shared" ref="AM19:AM24" si="37">+IF(AL19="si",15,"")</f>
        <v>15</v>
      </c>
      <c r="AN19" s="245" t="s">
        <v>312</v>
      </c>
      <c r="AO19" s="142">
        <f t="shared" ref="AO19:AO24" si="38">+IF(AN19="si",15,"")</f>
        <v>15</v>
      </c>
      <c r="AP19" s="245" t="s">
        <v>20</v>
      </c>
      <c r="AQ19" s="142" t="str">
        <f t="shared" ref="AQ19:AQ24" si="39">+IF(AP19="si",15,"")</f>
        <v/>
      </c>
      <c r="AR19" s="245" t="s">
        <v>312</v>
      </c>
      <c r="AS19" s="142">
        <f t="shared" ref="AS19:AS24" si="40">+IF(AR19="si",15,"")</f>
        <v>15</v>
      </c>
      <c r="AT19" s="245" t="s">
        <v>312</v>
      </c>
      <c r="AU19" s="142">
        <f t="shared" ref="AU19:AU24" si="41">+IF(AT19="si",15,"")</f>
        <v>15</v>
      </c>
      <c r="AV19" s="245" t="s">
        <v>117</v>
      </c>
      <c r="AW19" s="142">
        <f t="shared" si="0"/>
        <v>10</v>
      </c>
      <c r="AX19" s="21">
        <f t="shared" si="18"/>
        <v>85</v>
      </c>
      <c r="AY19" s="21" t="str">
        <f t="shared" si="19"/>
        <v>Débil</v>
      </c>
      <c r="AZ19" s="209" t="s">
        <v>118</v>
      </c>
      <c r="BA19" s="210" t="str">
        <f t="shared" si="20"/>
        <v>Fuerte</v>
      </c>
      <c r="BB19" s="21" t="str">
        <f>IFERROR(VLOOKUP((CONCATENATE(AY19,BA19)),Listados!$U$3:$V$11,2,FALSE),"")</f>
        <v>Débil</v>
      </c>
      <c r="BC19" s="21">
        <f t="shared" si="21"/>
        <v>0</v>
      </c>
      <c r="BD19" s="384">
        <f>AVERAGE(BC19:BC22)</f>
        <v>0</v>
      </c>
      <c r="BE19" s="386" t="str">
        <f>IF(BD19&lt;=50, "Débil", IF(BD19&lt;=99,"Moderado","Fuerte"))</f>
        <v>Débil</v>
      </c>
      <c r="BF19" s="384">
        <f>+IF(BE19="Fuerte",2,IF(BE19="Moderado",1,0))</f>
        <v>0</v>
      </c>
      <c r="BG19" s="384">
        <f>+AC19-BF19</f>
        <v>3</v>
      </c>
      <c r="BH19" s="380" t="str">
        <f>+VLOOKUP(BG19,Listados!$J$18:$K$24,2,TRUE)</f>
        <v>Posible</v>
      </c>
      <c r="BI19" s="378" t="str">
        <f>IF(ISBLANK(AD19),"",AD19)</f>
        <v>Catastrófico</v>
      </c>
      <c r="BJ19" s="380" t="str">
        <f>IF(AND(BH19&lt;&gt;"",BI19&lt;&gt;""),VLOOKUP(BH19&amp;BI19,Listados!$M$3:$N$27,2,FALSE),"")</f>
        <v>Extremo</v>
      </c>
      <c r="BK19" s="427" t="str">
        <f>+VLOOKUP(BJ19,Listados!$P$3:$Q$6,2,FALSE)</f>
        <v>Evitar el riesgo</v>
      </c>
      <c r="BL19" s="183" t="s">
        <v>753</v>
      </c>
      <c r="BM19" s="262" t="s">
        <v>754</v>
      </c>
      <c r="BN19" s="251">
        <v>44927</v>
      </c>
      <c r="BO19" s="251">
        <v>45291</v>
      </c>
      <c r="BP19" s="262" t="s">
        <v>755</v>
      </c>
      <c r="BQ19" s="262" t="s">
        <v>756</v>
      </c>
      <c r="BR19" s="242" t="s">
        <v>757</v>
      </c>
      <c r="BS19" s="263" t="s">
        <v>758</v>
      </c>
      <c r="BT19" s="162"/>
      <c r="BU19" s="411" t="s">
        <v>759</v>
      </c>
      <c r="BV19" s="411" t="s">
        <v>760</v>
      </c>
      <c r="BW19" s="396" t="s">
        <v>761</v>
      </c>
    </row>
    <row r="20" spans="1:75" ht="171">
      <c r="A20" s="329"/>
      <c r="B20" s="374"/>
      <c r="C20" s="379"/>
      <c r="D20" s="435"/>
      <c r="E20" s="260" t="s">
        <v>762</v>
      </c>
      <c r="F20" s="246" t="s">
        <v>16</v>
      </c>
      <c r="G20" s="367"/>
      <c r="H20" s="374"/>
      <c r="I20" s="374"/>
      <c r="J20" s="374"/>
      <c r="K20" s="374"/>
      <c r="L20" s="374"/>
      <c r="M20" s="374"/>
      <c r="N20" s="374"/>
      <c r="O20" s="374"/>
      <c r="P20" s="374"/>
      <c r="Q20" s="374"/>
      <c r="R20" s="374"/>
      <c r="S20" s="374"/>
      <c r="T20" s="374"/>
      <c r="U20" s="374"/>
      <c r="V20" s="374"/>
      <c r="W20" s="374"/>
      <c r="X20" s="374"/>
      <c r="Y20" s="374"/>
      <c r="Z20" s="370"/>
      <c r="AA20" s="362"/>
      <c r="AB20" s="370"/>
      <c r="AC20" s="349"/>
      <c r="AD20" s="362" t="str">
        <f>+IF(OR(AB20=1,AB20&lt;=5),"Moderado",IF(OR(AB20=6,AB20&lt;=11),"Mayor","Catastrófico"))</f>
        <v>Moderado</v>
      </c>
      <c r="AE20" s="349"/>
      <c r="AF20" s="353"/>
      <c r="AG20" s="264" t="s">
        <v>763</v>
      </c>
      <c r="AH20" s="261" t="s">
        <v>764</v>
      </c>
      <c r="AI20" s="234" t="s">
        <v>123</v>
      </c>
      <c r="AJ20" s="245" t="s">
        <v>116</v>
      </c>
      <c r="AK20" s="142">
        <f t="shared" si="36"/>
        <v>15</v>
      </c>
      <c r="AL20" s="245" t="s">
        <v>312</v>
      </c>
      <c r="AM20" s="142">
        <f t="shared" si="37"/>
        <v>15</v>
      </c>
      <c r="AN20" s="245" t="s">
        <v>312</v>
      </c>
      <c r="AO20" s="142">
        <f t="shared" si="38"/>
        <v>15</v>
      </c>
      <c r="AP20" s="245" t="s">
        <v>123</v>
      </c>
      <c r="AQ20" s="142" t="str">
        <f t="shared" si="39"/>
        <v/>
      </c>
      <c r="AR20" s="245" t="s">
        <v>312</v>
      </c>
      <c r="AS20" s="142">
        <f t="shared" si="40"/>
        <v>15</v>
      </c>
      <c r="AT20" s="245" t="s">
        <v>312</v>
      </c>
      <c r="AU20" s="142">
        <f t="shared" si="41"/>
        <v>15</v>
      </c>
      <c r="AV20" s="245" t="s">
        <v>117</v>
      </c>
      <c r="AW20" s="142">
        <f t="shared" si="0"/>
        <v>10</v>
      </c>
      <c r="AX20" s="21">
        <f t="shared" si="18"/>
        <v>85</v>
      </c>
      <c r="AY20" s="21" t="str">
        <f t="shared" si="19"/>
        <v>Débil</v>
      </c>
      <c r="AZ20" s="209" t="s">
        <v>118</v>
      </c>
      <c r="BA20" s="210" t="str">
        <f t="shared" si="20"/>
        <v>Fuerte</v>
      </c>
      <c r="BB20" s="21" t="str">
        <f>IFERROR(VLOOKUP((CONCATENATE(AY20,BA20)),Listados!$U$3:$V$11,2,FALSE),"")</f>
        <v>Débil</v>
      </c>
      <c r="BC20" s="21">
        <f t="shared" si="21"/>
        <v>0</v>
      </c>
      <c r="BD20" s="385"/>
      <c r="BE20" s="413"/>
      <c r="BF20" s="385"/>
      <c r="BG20" s="385"/>
      <c r="BH20" s="364"/>
      <c r="BI20" s="379"/>
      <c r="BJ20" s="364"/>
      <c r="BK20" s="428"/>
      <c r="BL20" s="183" t="s">
        <v>765</v>
      </c>
      <c r="BM20" s="262" t="s">
        <v>754</v>
      </c>
      <c r="BN20" s="251">
        <v>44927</v>
      </c>
      <c r="BO20" s="251">
        <v>45291</v>
      </c>
      <c r="BP20" s="262" t="s">
        <v>755</v>
      </c>
      <c r="BQ20" s="262" t="s">
        <v>766</v>
      </c>
      <c r="BR20" s="242" t="s">
        <v>767</v>
      </c>
      <c r="BS20" s="158" t="s">
        <v>768</v>
      </c>
      <c r="BT20" s="163" t="s">
        <v>769</v>
      </c>
      <c r="BU20" s="411"/>
      <c r="BV20" s="411"/>
      <c r="BW20" s="396"/>
    </row>
    <row r="21" spans="1:75" ht="256.5">
      <c r="A21" s="329"/>
      <c r="B21" s="374"/>
      <c r="C21" s="379"/>
      <c r="D21" s="435"/>
      <c r="E21" s="260" t="s">
        <v>770</v>
      </c>
      <c r="F21" s="246" t="s">
        <v>16</v>
      </c>
      <c r="G21" s="367"/>
      <c r="H21" s="374"/>
      <c r="I21" s="374"/>
      <c r="J21" s="374"/>
      <c r="K21" s="374"/>
      <c r="L21" s="374"/>
      <c r="M21" s="374"/>
      <c r="N21" s="374"/>
      <c r="O21" s="374"/>
      <c r="P21" s="374"/>
      <c r="Q21" s="374"/>
      <c r="R21" s="374"/>
      <c r="S21" s="374"/>
      <c r="T21" s="374"/>
      <c r="U21" s="374"/>
      <c r="V21" s="374"/>
      <c r="W21" s="374"/>
      <c r="X21" s="374"/>
      <c r="Y21" s="374"/>
      <c r="Z21" s="370"/>
      <c r="AA21" s="362"/>
      <c r="AB21" s="370"/>
      <c r="AC21" s="349"/>
      <c r="AD21" s="362" t="str">
        <f>+IF(OR(AB21=1,AB21&lt;=5),"Moderado",IF(OR(AB21=6,AB21&lt;=11),"Mayor","Catastrófico"))</f>
        <v>Moderado</v>
      </c>
      <c r="AE21" s="349"/>
      <c r="AF21" s="353"/>
      <c r="AG21" s="308" t="s">
        <v>771</v>
      </c>
      <c r="AH21" s="261" t="s">
        <v>770</v>
      </c>
      <c r="AI21" s="234" t="s">
        <v>20</v>
      </c>
      <c r="AJ21" s="245" t="s">
        <v>116</v>
      </c>
      <c r="AK21" s="142">
        <f t="shared" si="36"/>
        <v>15</v>
      </c>
      <c r="AL21" s="245" t="s">
        <v>312</v>
      </c>
      <c r="AM21" s="142">
        <f t="shared" si="37"/>
        <v>15</v>
      </c>
      <c r="AN21" s="245" t="s">
        <v>312</v>
      </c>
      <c r="AO21" s="142">
        <f t="shared" si="38"/>
        <v>15</v>
      </c>
      <c r="AP21" s="245" t="s">
        <v>123</v>
      </c>
      <c r="AQ21" s="142" t="str">
        <f t="shared" si="39"/>
        <v/>
      </c>
      <c r="AR21" s="245" t="s">
        <v>312</v>
      </c>
      <c r="AS21" s="142">
        <f t="shared" si="40"/>
        <v>15</v>
      </c>
      <c r="AT21" s="245" t="s">
        <v>312</v>
      </c>
      <c r="AU21" s="142">
        <f t="shared" si="41"/>
        <v>15</v>
      </c>
      <c r="AV21" s="245" t="s">
        <v>117</v>
      </c>
      <c r="AW21" s="142">
        <f t="shared" si="0"/>
        <v>10</v>
      </c>
      <c r="AX21" s="21">
        <f t="shared" si="18"/>
        <v>85</v>
      </c>
      <c r="AY21" s="21" t="str">
        <f t="shared" si="19"/>
        <v>Débil</v>
      </c>
      <c r="AZ21" s="209" t="s">
        <v>118</v>
      </c>
      <c r="BA21" s="210" t="str">
        <f t="shared" si="20"/>
        <v>Fuerte</v>
      </c>
      <c r="BB21" s="21" t="str">
        <f>IFERROR(VLOOKUP((CONCATENATE(AY21,BA21)),Listados!$U$3:$V$11,2,FALSE),"")</f>
        <v>Débil</v>
      </c>
      <c r="BC21" s="21">
        <f t="shared" si="21"/>
        <v>0</v>
      </c>
      <c r="BD21" s="385"/>
      <c r="BE21" s="413"/>
      <c r="BF21" s="385"/>
      <c r="BG21" s="385"/>
      <c r="BH21" s="364"/>
      <c r="BI21" s="379"/>
      <c r="BJ21" s="364"/>
      <c r="BK21" s="428"/>
      <c r="BL21" s="183" t="s">
        <v>772</v>
      </c>
      <c r="BM21" s="262" t="s">
        <v>754</v>
      </c>
      <c r="BN21" s="251">
        <v>44927</v>
      </c>
      <c r="BO21" s="251">
        <v>45291</v>
      </c>
      <c r="BP21" s="262" t="s">
        <v>755</v>
      </c>
      <c r="BQ21" s="262" t="s">
        <v>773</v>
      </c>
      <c r="BR21" s="242" t="s">
        <v>774</v>
      </c>
      <c r="BS21" s="265" t="s">
        <v>775</v>
      </c>
      <c r="BT21" s="163" t="s">
        <v>776</v>
      </c>
      <c r="BU21" s="411"/>
      <c r="BV21" s="411"/>
      <c r="BW21" s="396"/>
    </row>
    <row r="22" spans="1:75" ht="15.75" thickBot="1">
      <c r="A22" s="329"/>
      <c r="B22" s="374"/>
      <c r="C22" s="379"/>
      <c r="D22" s="435"/>
      <c r="E22" s="266"/>
      <c r="F22" s="267"/>
      <c r="G22" s="367"/>
      <c r="H22" s="374"/>
      <c r="I22" s="374"/>
      <c r="J22" s="374"/>
      <c r="K22" s="374"/>
      <c r="L22" s="374"/>
      <c r="M22" s="374"/>
      <c r="N22" s="374"/>
      <c r="O22" s="374"/>
      <c r="P22" s="374"/>
      <c r="Q22" s="374"/>
      <c r="R22" s="374"/>
      <c r="S22" s="374"/>
      <c r="T22" s="374"/>
      <c r="U22" s="374"/>
      <c r="V22" s="374"/>
      <c r="W22" s="374"/>
      <c r="X22" s="374"/>
      <c r="Y22" s="374"/>
      <c r="Z22" s="370"/>
      <c r="AA22" s="362"/>
      <c r="AB22" s="370"/>
      <c r="AC22" s="349"/>
      <c r="AD22" s="362" t="str">
        <f>+IF(OR(AB22=1,AB22&lt;=5),"Moderado",IF(OR(AB22=6,AB22&lt;=11),"Mayor","Catastrófico"))</f>
        <v>Moderado</v>
      </c>
      <c r="AE22" s="349"/>
      <c r="AF22" s="353"/>
      <c r="AG22" s="256"/>
      <c r="AH22" s="268"/>
      <c r="AI22" s="234"/>
      <c r="AJ22" s="245"/>
      <c r="AK22" s="142"/>
      <c r="AL22" s="245"/>
      <c r="AM22" s="142"/>
      <c r="AN22" s="245"/>
      <c r="AO22" s="142"/>
      <c r="AP22" s="245"/>
      <c r="AQ22" s="142"/>
      <c r="AR22" s="245"/>
      <c r="AS22" s="142"/>
      <c r="AT22" s="245"/>
      <c r="AU22" s="142" t="str">
        <f t="shared" si="41"/>
        <v/>
      </c>
      <c r="AV22" s="245" t="s">
        <v>117</v>
      </c>
      <c r="AW22" s="142">
        <f t="shared" si="0"/>
        <v>10</v>
      </c>
      <c r="AX22" s="21">
        <f t="shared" si="18"/>
        <v>10</v>
      </c>
      <c r="AY22" s="21" t="str">
        <f t="shared" si="19"/>
        <v>Débil</v>
      </c>
      <c r="AZ22" s="209" t="s">
        <v>118</v>
      </c>
      <c r="BA22" s="210" t="str">
        <f t="shared" si="20"/>
        <v>Fuerte</v>
      </c>
      <c r="BB22" s="21" t="str">
        <f>IFERROR(VLOOKUP((CONCATENATE(AY22,BA22)),Listados!$U$3:$V$11,2,FALSE),"")</f>
        <v>Débil</v>
      </c>
      <c r="BC22" s="21">
        <f t="shared" si="21"/>
        <v>0</v>
      </c>
      <c r="BD22" s="385"/>
      <c r="BE22" s="413"/>
      <c r="BF22" s="385"/>
      <c r="BG22" s="385"/>
      <c r="BH22" s="364"/>
      <c r="BI22" s="379"/>
      <c r="BJ22" s="364"/>
      <c r="BK22" s="428"/>
      <c r="BL22" s="258"/>
      <c r="BM22" s="258"/>
      <c r="BN22" s="258"/>
      <c r="BO22" s="258"/>
      <c r="BP22" s="258"/>
      <c r="BQ22" s="258"/>
      <c r="BR22" s="269"/>
      <c r="BS22" s="268"/>
      <c r="BT22" s="270"/>
      <c r="BU22" s="411"/>
      <c r="BV22" s="411"/>
      <c r="BW22" s="396"/>
    </row>
    <row r="23" spans="1:75" ht="185.25">
      <c r="A23" s="328">
        <v>7</v>
      </c>
      <c r="B23" s="374" t="s">
        <v>68</v>
      </c>
      <c r="C23" s="379" t="s">
        <v>748</v>
      </c>
      <c r="D23" s="435" t="s">
        <v>777</v>
      </c>
      <c r="E23" s="237" t="s">
        <v>764</v>
      </c>
      <c r="F23" s="432" t="s">
        <v>16</v>
      </c>
      <c r="G23" s="367" t="s">
        <v>778</v>
      </c>
      <c r="H23" s="374" t="s">
        <v>116</v>
      </c>
      <c r="I23" s="374" t="s">
        <v>116</v>
      </c>
      <c r="J23" s="374" t="s">
        <v>116</v>
      </c>
      <c r="K23" s="374" t="s">
        <v>116</v>
      </c>
      <c r="L23" s="374" t="s">
        <v>116</v>
      </c>
      <c r="M23" s="374" t="s">
        <v>120</v>
      </c>
      <c r="N23" s="374" t="s">
        <v>120</v>
      </c>
      <c r="O23" s="374" t="s">
        <v>120</v>
      </c>
      <c r="P23" s="374" t="s">
        <v>116</v>
      </c>
      <c r="Q23" s="374" t="s">
        <v>116</v>
      </c>
      <c r="R23" s="374" t="s">
        <v>116</v>
      </c>
      <c r="S23" s="374" t="s">
        <v>116</v>
      </c>
      <c r="T23" s="374" t="s">
        <v>116</v>
      </c>
      <c r="U23" s="374" t="s">
        <v>116</v>
      </c>
      <c r="V23" s="374" t="s">
        <v>116</v>
      </c>
      <c r="W23" s="410" t="s">
        <v>120</v>
      </c>
      <c r="X23" s="410" t="s">
        <v>120</v>
      </c>
      <c r="Y23" s="410" t="s">
        <v>116</v>
      </c>
      <c r="Z23" s="369" t="s">
        <v>120</v>
      </c>
      <c r="AA23" s="350">
        <f>COUNTIF(H23:Z26, "SI")</f>
        <v>13</v>
      </c>
      <c r="AB23" s="369" t="s">
        <v>21</v>
      </c>
      <c r="AC23" s="348">
        <f>+VLOOKUP(AB23,Listados!$K$8:$L$12,2,0)</f>
        <v>1</v>
      </c>
      <c r="AD23" s="350" t="str">
        <f>+IF(OR(AA23=1,AA23&lt;=5),"Moderado",IF(OR(AA23=6,AA23&lt;=11),"Mayor","Catastrófico"))</f>
        <v>Catastrófico</v>
      </c>
      <c r="AE23" s="348" t="e">
        <f>+VLOOKUP(AD23,Listados!K55:L59,2,0)</f>
        <v>#N/A</v>
      </c>
      <c r="AF23" s="347" t="str">
        <f>IF(AND(AB23&lt;&gt;"",AD23&lt;&gt;""),VLOOKUP(AB23&amp;AD23,Listados!$M$3:$N$27,2,FALSE),"")</f>
        <v>Extremo</v>
      </c>
      <c r="AG23" s="271" t="s">
        <v>779</v>
      </c>
      <c r="AH23" s="272" t="s">
        <v>764</v>
      </c>
      <c r="AI23" s="249" t="s">
        <v>20</v>
      </c>
      <c r="AJ23" s="245" t="s">
        <v>116</v>
      </c>
      <c r="AK23" s="142">
        <f t="shared" si="36"/>
        <v>15</v>
      </c>
      <c r="AL23" s="245" t="s">
        <v>312</v>
      </c>
      <c r="AM23" s="142">
        <f t="shared" si="37"/>
        <v>15</v>
      </c>
      <c r="AN23" s="245" t="s">
        <v>312</v>
      </c>
      <c r="AO23" s="142">
        <f t="shared" si="38"/>
        <v>15</v>
      </c>
      <c r="AP23" s="245" t="s">
        <v>20</v>
      </c>
      <c r="AQ23" s="142" t="str">
        <f t="shared" si="39"/>
        <v/>
      </c>
      <c r="AR23" s="245" t="s">
        <v>312</v>
      </c>
      <c r="AS23" s="142">
        <f t="shared" si="40"/>
        <v>15</v>
      </c>
      <c r="AT23" s="245" t="s">
        <v>312</v>
      </c>
      <c r="AU23" s="142">
        <f t="shared" si="41"/>
        <v>15</v>
      </c>
      <c r="AV23" s="245" t="s">
        <v>117</v>
      </c>
      <c r="AW23" s="142">
        <f t="shared" si="0"/>
        <v>10</v>
      </c>
      <c r="AX23" s="21">
        <f t="shared" si="18"/>
        <v>85</v>
      </c>
      <c r="AY23" s="21" t="str">
        <f t="shared" si="19"/>
        <v>Débil</v>
      </c>
      <c r="AZ23" s="209" t="s">
        <v>118</v>
      </c>
      <c r="BA23" s="210" t="str">
        <f t="shared" si="20"/>
        <v>Fuerte</v>
      </c>
      <c r="BB23" s="21" t="str">
        <f>IFERROR(VLOOKUP((CONCATENATE(AY23,BA23)),Listados!$U$3:$V$11,2,FALSE),"")</f>
        <v>Débil</v>
      </c>
      <c r="BC23" s="21">
        <f t="shared" si="21"/>
        <v>0</v>
      </c>
      <c r="BD23" s="384">
        <f>AVERAGE(BC23:BC26)</f>
        <v>50</v>
      </c>
      <c r="BE23" s="386" t="str">
        <f>IF(BD23&lt;=50, "Débil", IF(BD23&lt;=99,"Moderado","Fuerte"))</f>
        <v>Débil</v>
      </c>
      <c r="BF23" s="384">
        <f>+IF(BE23="Fuerte",2,IF(BE23="Moderado",1,0))</f>
        <v>0</v>
      </c>
      <c r="BG23" s="384">
        <f>+AC23-BF23</f>
        <v>1</v>
      </c>
      <c r="BH23" s="380" t="str">
        <f>+VLOOKUP(BG23,Listados!$J$18:$K$24,2,TRUE)</f>
        <v>Rara Vez</v>
      </c>
      <c r="BI23" s="378" t="str">
        <f>IF(ISBLANK(AD23),"",AD23)</f>
        <v>Catastrófico</v>
      </c>
      <c r="BJ23" s="380" t="str">
        <f>IF(AND(BH23&lt;&gt;"",BI23&lt;&gt;""),VLOOKUP(BH23&amp;BI23,Listados!$M$3:$N$27,2,FALSE),"")</f>
        <v>Extremo</v>
      </c>
      <c r="BK23" s="427" t="str">
        <f>+VLOOKUP(BJ23,Listados!$P$3:$Q$6,2,FALSE)</f>
        <v>Evitar el riesgo</v>
      </c>
      <c r="BL23" s="273" t="s">
        <v>780</v>
      </c>
      <c r="BM23" s="417" t="s">
        <v>754</v>
      </c>
      <c r="BN23" s="418">
        <v>44927</v>
      </c>
      <c r="BO23" s="418">
        <v>45291</v>
      </c>
      <c r="BP23" s="417" t="s">
        <v>755</v>
      </c>
      <c r="BQ23" s="262" t="s">
        <v>781</v>
      </c>
      <c r="BR23" s="269" t="s">
        <v>782</v>
      </c>
      <c r="BS23" s="276" t="s">
        <v>783</v>
      </c>
      <c r="BT23" s="163" t="s">
        <v>784</v>
      </c>
      <c r="BU23" s="400" t="s">
        <v>785</v>
      </c>
      <c r="BV23" s="400" t="s">
        <v>786</v>
      </c>
      <c r="BW23" s="396" t="s">
        <v>787</v>
      </c>
    </row>
    <row r="24" spans="1:75" ht="342">
      <c r="A24" s="329"/>
      <c r="B24" s="374"/>
      <c r="C24" s="379"/>
      <c r="D24" s="435"/>
      <c r="E24" s="237" t="s">
        <v>788</v>
      </c>
      <c r="F24" s="433"/>
      <c r="G24" s="367"/>
      <c r="H24" s="374"/>
      <c r="I24" s="374"/>
      <c r="J24" s="374"/>
      <c r="K24" s="374"/>
      <c r="L24" s="374"/>
      <c r="M24" s="374"/>
      <c r="N24" s="374"/>
      <c r="O24" s="374"/>
      <c r="P24" s="374"/>
      <c r="Q24" s="374"/>
      <c r="R24" s="374"/>
      <c r="S24" s="374"/>
      <c r="T24" s="374"/>
      <c r="U24" s="374"/>
      <c r="V24" s="374"/>
      <c r="W24" s="374"/>
      <c r="X24" s="374"/>
      <c r="Y24" s="374"/>
      <c r="Z24" s="370"/>
      <c r="AA24" s="362"/>
      <c r="AB24" s="370"/>
      <c r="AC24" s="349"/>
      <c r="AD24" s="362" t="str">
        <f>+IF(OR(AB24=1,AB24&lt;=5),"Moderado",IF(OR(AB24=6,AB24&lt;=11),"Mayor","Catastrófico"))</f>
        <v>Moderado</v>
      </c>
      <c r="AE24" s="349"/>
      <c r="AF24" s="353"/>
      <c r="AG24" s="271" t="s">
        <v>789</v>
      </c>
      <c r="AH24" s="277" t="s">
        <v>790</v>
      </c>
      <c r="AI24" s="249" t="s">
        <v>20</v>
      </c>
      <c r="AJ24" s="245" t="s">
        <v>116</v>
      </c>
      <c r="AK24" s="142">
        <f t="shared" si="36"/>
        <v>15</v>
      </c>
      <c r="AL24" s="245" t="s">
        <v>312</v>
      </c>
      <c r="AM24" s="142">
        <f t="shared" si="37"/>
        <v>15</v>
      </c>
      <c r="AN24" s="245" t="s">
        <v>312</v>
      </c>
      <c r="AO24" s="142">
        <f t="shared" si="38"/>
        <v>15</v>
      </c>
      <c r="AP24" s="245" t="s">
        <v>20</v>
      </c>
      <c r="AQ24" s="142" t="str">
        <f t="shared" si="39"/>
        <v/>
      </c>
      <c r="AR24" s="245" t="s">
        <v>312</v>
      </c>
      <c r="AS24" s="142">
        <f t="shared" si="40"/>
        <v>15</v>
      </c>
      <c r="AT24" s="245" t="s">
        <v>312</v>
      </c>
      <c r="AU24" s="142">
        <f t="shared" si="41"/>
        <v>15</v>
      </c>
      <c r="AV24" s="245" t="s">
        <v>117</v>
      </c>
      <c r="AW24" s="142">
        <f t="shared" si="0"/>
        <v>10</v>
      </c>
      <c r="AX24" s="21">
        <f t="shared" si="18"/>
        <v>85</v>
      </c>
      <c r="AY24" s="21" t="str">
        <f t="shared" si="19"/>
        <v>Débil</v>
      </c>
      <c r="AZ24" s="209" t="s">
        <v>118</v>
      </c>
      <c r="BA24" s="210" t="str">
        <f t="shared" si="20"/>
        <v>Fuerte</v>
      </c>
      <c r="BB24" s="21" t="str">
        <f>IFERROR(VLOOKUP((CONCATENATE(AY24,BA24)),Listados!$U$3:$V$11,2,FALSE),"")</f>
        <v>Débil</v>
      </c>
      <c r="BC24" s="21">
        <f t="shared" si="21"/>
        <v>0</v>
      </c>
      <c r="BD24" s="385"/>
      <c r="BE24" s="413"/>
      <c r="BF24" s="385"/>
      <c r="BG24" s="385"/>
      <c r="BH24" s="364"/>
      <c r="BI24" s="379"/>
      <c r="BJ24" s="364"/>
      <c r="BK24" s="428"/>
      <c r="BL24" s="273" t="s">
        <v>791</v>
      </c>
      <c r="BM24" s="417"/>
      <c r="BN24" s="418"/>
      <c r="BO24" s="418"/>
      <c r="BP24" s="417"/>
      <c r="BQ24" s="262" t="s">
        <v>792</v>
      </c>
      <c r="BR24" s="403" t="s">
        <v>793</v>
      </c>
      <c r="BS24" s="276" t="s">
        <v>794</v>
      </c>
      <c r="BT24" s="163" t="s">
        <v>795</v>
      </c>
      <c r="BU24" s="400"/>
      <c r="BV24" s="400"/>
      <c r="BW24" s="396"/>
    </row>
    <row r="25" spans="1:75" ht="125.45" customHeight="1">
      <c r="A25" s="329"/>
      <c r="B25" s="374"/>
      <c r="C25" s="379"/>
      <c r="D25" s="435"/>
      <c r="E25" s="237" t="s">
        <v>796</v>
      </c>
      <c r="F25" s="433"/>
      <c r="G25" s="367"/>
      <c r="H25" s="374"/>
      <c r="I25" s="374"/>
      <c r="J25" s="374"/>
      <c r="K25" s="374"/>
      <c r="L25" s="374"/>
      <c r="M25" s="374"/>
      <c r="N25" s="374"/>
      <c r="O25" s="374"/>
      <c r="P25" s="374"/>
      <c r="Q25" s="374"/>
      <c r="R25" s="374"/>
      <c r="S25" s="374"/>
      <c r="T25" s="374"/>
      <c r="U25" s="374"/>
      <c r="V25" s="374"/>
      <c r="W25" s="374"/>
      <c r="X25" s="374"/>
      <c r="Y25" s="374"/>
      <c r="Z25" s="370"/>
      <c r="AA25" s="362"/>
      <c r="AB25" s="370"/>
      <c r="AC25" s="349"/>
      <c r="AD25" s="362" t="str">
        <f>+IF(OR(AB25=1,AB25&lt;=5),"Moderado",IF(OR(AB25=6,AB25&lt;=11),"Mayor","Catastrófico"))</f>
        <v>Moderado</v>
      </c>
      <c r="AE25" s="349"/>
      <c r="AF25" s="353"/>
      <c r="AG25" s="256"/>
      <c r="AH25" s="258"/>
      <c r="AI25" s="249"/>
      <c r="AJ25" s="245"/>
      <c r="AK25" s="142"/>
      <c r="AL25" s="245"/>
      <c r="AM25" s="142"/>
      <c r="AN25" s="245"/>
      <c r="AO25" s="142"/>
      <c r="AP25" s="245"/>
      <c r="AQ25" s="142"/>
      <c r="AR25" s="245"/>
      <c r="AS25" s="142"/>
      <c r="AT25" s="245"/>
      <c r="AU25" s="142"/>
      <c r="AV25" s="245"/>
      <c r="AW25" s="142" t="str">
        <f t="shared" si="0"/>
        <v/>
      </c>
      <c r="AX25" s="21" t="str">
        <f t="shared" si="18"/>
        <v/>
      </c>
      <c r="AY25" s="21" t="str">
        <f t="shared" si="19"/>
        <v/>
      </c>
      <c r="AZ25" s="209"/>
      <c r="BA25" s="210" t="str">
        <f t="shared" si="20"/>
        <v>Débil</v>
      </c>
      <c r="BB25" s="21" t="str">
        <f>IFERROR(VLOOKUP((CONCATENATE(AY25,BA25)),Listados!$U$3:$V$11,2,FALSE),"")</f>
        <v/>
      </c>
      <c r="BC25" s="21">
        <f t="shared" si="21"/>
        <v>100</v>
      </c>
      <c r="BD25" s="385"/>
      <c r="BE25" s="413"/>
      <c r="BF25" s="385"/>
      <c r="BG25" s="385"/>
      <c r="BH25" s="364"/>
      <c r="BI25" s="379"/>
      <c r="BJ25" s="364"/>
      <c r="BK25" s="428"/>
      <c r="BL25" s="258"/>
      <c r="BM25" s="258"/>
      <c r="BN25" s="278"/>
      <c r="BO25" s="278"/>
      <c r="BP25" s="258"/>
      <c r="BQ25" s="258"/>
      <c r="BR25" s="404"/>
      <c r="BS25" s="258"/>
      <c r="BT25" s="268"/>
      <c r="BU25" s="400"/>
      <c r="BV25" s="400"/>
      <c r="BW25" s="396"/>
    </row>
    <row r="26" spans="1:75" ht="158.1" customHeight="1" thickBot="1">
      <c r="A26" s="329"/>
      <c r="B26" s="374"/>
      <c r="C26" s="379"/>
      <c r="D26" s="435"/>
      <c r="E26" s="266" t="s">
        <v>797</v>
      </c>
      <c r="F26" s="434"/>
      <c r="G26" s="367"/>
      <c r="H26" s="374"/>
      <c r="I26" s="374"/>
      <c r="J26" s="374"/>
      <c r="K26" s="374"/>
      <c r="L26" s="374"/>
      <c r="M26" s="374"/>
      <c r="N26" s="374"/>
      <c r="O26" s="374"/>
      <c r="P26" s="374"/>
      <c r="Q26" s="374"/>
      <c r="R26" s="374"/>
      <c r="S26" s="374"/>
      <c r="T26" s="374"/>
      <c r="U26" s="374"/>
      <c r="V26" s="374"/>
      <c r="W26" s="374"/>
      <c r="X26" s="374"/>
      <c r="Y26" s="374"/>
      <c r="Z26" s="370"/>
      <c r="AA26" s="362"/>
      <c r="AB26" s="370"/>
      <c r="AC26" s="349"/>
      <c r="AD26" s="362" t="str">
        <f>+IF(OR(AB26=1,AB26&lt;=5),"Moderado",IF(OR(AB26=6,AB26&lt;=11),"Mayor","Catastrófico"))</f>
        <v>Moderado</v>
      </c>
      <c r="AE26" s="349"/>
      <c r="AF26" s="353"/>
      <c r="AG26" s="256"/>
      <c r="AH26" s="258"/>
      <c r="AI26" s="249"/>
      <c r="AJ26" s="245"/>
      <c r="AK26" s="142"/>
      <c r="AL26" s="245"/>
      <c r="AM26" s="142"/>
      <c r="AN26" s="245"/>
      <c r="AO26" s="142"/>
      <c r="AP26" s="245"/>
      <c r="AQ26" s="142"/>
      <c r="AR26" s="245"/>
      <c r="AS26" s="142"/>
      <c r="AT26" s="245"/>
      <c r="AU26" s="142"/>
      <c r="AV26" s="245"/>
      <c r="AW26" s="142" t="str">
        <f t="shared" si="0"/>
        <v/>
      </c>
      <c r="AX26" s="21" t="str">
        <f t="shared" si="18"/>
        <v/>
      </c>
      <c r="AY26" s="21" t="str">
        <f t="shared" si="19"/>
        <v/>
      </c>
      <c r="AZ26" s="209"/>
      <c r="BA26" s="210" t="str">
        <f t="shared" si="20"/>
        <v>Débil</v>
      </c>
      <c r="BB26" s="21" t="str">
        <f>IFERROR(VLOOKUP((CONCATENATE(AY26,BA26)),Listados!$U$3:$V$11,2,FALSE),"")</f>
        <v/>
      </c>
      <c r="BC26" s="21">
        <f t="shared" si="21"/>
        <v>100</v>
      </c>
      <c r="BD26" s="385"/>
      <c r="BE26" s="413"/>
      <c r="BF26" s="385"/>
      <c r="BG26" s="385"/>
      <c r="BH26" s="364"/>
      <c r="BI26" s="379"/>
      <c r="BJ26" s="364"/>
      <c r="BK26" s="428"/>
      <c r="BL26" s="258"/>
      <c r="BM26" s="258"/>
      <c r="BN26" s="278"/>
      <c r="BO26" s="278"/>
      <c r="BP26" s="258"/>
      <c r="BQ26" s="258"/>
      <c r="BR26" s="405"/>
      <c r="BS26" s="258"/>
      <c r="BT26" s="268"/>
      <c r="BU26" s="400"/>
      <c r="BV26" s="400"/>
      <c r="BW26" s="396"/>
    </row>
    <row r="27" spans="1:75" ht="287.25" customHeight="1">
      <c r="A27" s="328">
        <v>8</v>
      </c>
      <c r="B27" s="444" t="s">
        <v>77</v>
      </c>
      <c r="C27" s="379" t="str">
        <f>IFERROR(VLOOKUP(B27,Listados!B$3:C$20,2,FALSE),"")</f>
        <v>Acceso a la Justicia</v>
      </c>
      <c r="D27" s="435" t="s">
        <v>798</v>
      </c>
      <c r="E27" s="237" t="s">
        <v>799</v>
      </c>
      <c r="F27" s="246" t="s">
        <v>16</v>
      </c>
      <c r="G27" s="367" t="s">
        <v>800</v>
      </c>
      <c r="H27" s="374" t="s">
        <v>116</v>
      </c>
      <c r="I27" s="374" t="s">
        <v>116</v>
      </c>
      <c r="J27" s="374" t="s">
        <v>116</v>
      </c>
      <c r="K27" s="374" t="s">
        <v>120</v>
      </c>
      <c r="L27" s="374" t="s">
        <v>116</v>
      </c>
      <c r="M27" s="374" t="s">
        <v>120</v>
      </c>
      <c r="N27" s="374" t="s">
        <v>116</v>
      </c>
      <c r="O27" s="374" t="s">
        <v>120</v>
      </c>
      <c r="P27" s="374" t="s">
        <v>120</v>
      </c>
      <c r="Q27" s="374" t="s">
        <v>116</v>
      </c>
      <c r="R27" s="374" t="s">
        <v>116</v>
      </c>
      <c r="S27" s="374" t="s">
        <v>116</v>
      </c>
      <c r="T27" s="374" t="s">
        <v>120</v>
      </c>
      <c r="U27" s="374" t="s">
        <v>120</v>
      </c>
      <c r="V27" s="374" t="s">
        <v>120</v>
      </c>
      <c r="W27" s="410" t="s">
        <v>120</v>
      </c>
      <c r="X27" s="410" t="s">
        <v>120</v>
      </c>
      <c r="Y27" s="410" t="s">
        <v>120</v>
      </c>
      <c r="Z27" s="369" t="s">
        <v>120</v>
      </c>
      <c r="AA27" s="350">
        <f>COUNTIF(H27:Z29, "SI")</f>
        <v>8</v>
      </c>
      <c r="AB27" s="369" t="s">
        <v>21</v>
      </c>
      <c r="AC27" s="348">
        <f>+VLOOKUP(AB27,Listados!$K$8:$L$12,2,0)</f>
        <v>1</v>
      </c>
      <c r="AD27" s="350" t="str">
        <f>+IF(OR(AA27=1,AA27&lt;=5),"Moderado",IF(OR(AA27=6,AA27&lt;=11),"Mayor","Catastrófico"))</f>
        <v>Mayor</v>
      </c>
      <c r="AE27" s="348" t="e">
        <f>+VLOOKUP(AD27,Listados!K61:L65,2,0)</f>
        <v>#N/A</v>
      </c>
      <c r="AF27" s="347" t="str">
        <f>IF(AND(AB27&lt;&gt;"",AD27&lt;&gt;""),VLOOKUP(AB27&amp;AD27,Listados!$M$3:$N$27,2,FALSE),"")</f>
        <v>Alto</v>
      </c>
      <c r="AG27" s="255" t="s">
        <v>801</v>
      </c>
      <c r="AH27" s="237" t="s">
        <v>799</v>
      </c>
      <c r="AI27" s="234" t="s">
        <v>20</v>
      </c>
      <c r="AJ27" s="245" t="s">
        <v>116</v>
      </c>
      <c r="AK27" s="142">
        <f>+IF(AJ27="si",15,"")</f>
        <v>15</v>
      </c>
      <c r="AL27" s="245" t="s">
        <v>312</v>
      </c>
      <c r="AM27" s="142">
        <f>+IF(AL27="si",15,"")</f>
        <v>15</v>
      </c>
      <c r="AN27" s="245" t="s">
        <v>312</v>
      </c>
      <c r="AO27" s="142">
        <f>+IF(AN27="si",15,"")</f>
        <v>15</v>
      </c>
      <c r="AP27" s="245" t="s">
        <v>20</v>
      </c>
      <c r="AQ27" s="142" t="str">
        <f>+IF(AP27="si",15,"")</f>
        <v/>
      </c>
      <c r="AR27" s="245" t="s">
        <v>312</v>
      </c>
      <c r="AS27" s="142">
        <f>+IF(AR27="si",15,"")</f>
        <v>15</v>
      </c>
      <c r="AT27" s="245" t="s">
        <v>312</v>
      </c>
      <c r="AU27" s="142">
        <f>+IF(AT27="si",15,"")</f>
        <v>15</v>
      </c>
      <c r="AV27" s="245" t="s">
        <v>117</v>
      </c>
      <c r="AW27" s="142">
        <f t="shared" si="0"/>
        <v>10</v>
      </c>
      <c r="AX27" s="21">
        <f t="shared" si="18"/>
        <v>85</v>
      </c>
      <c r="AY27" s="21" t="str">
        <f t="shared" si="19"/>
        <v>Débil</v>
      </c>
      <c r="AZ27" s="209" t="s">
        <v>118</v>
      </c>
      <c r="BA27" s="210" t="str">
        <f t="shared" si="20"/>
        <v>Fuerte</v>
      </c>
      <c r="BB27" s="21" t="str">
        <f>IFERROR(VLOOKUP((CONCATENATE(AY27,BA27)),Listados!$U$3:$V$11,2,FALSE),"")</f>
        <v>Débil</v>
      </c>
      <c r="BC27" s="21">
        <f t="shared" si="21"/>
        <v>0</v>
      </c>
      <c r="BD27" s="384">
        <f>AVERAGE(BC27:BC29)</f>
        <v>0</v>
      </c>
      <c r="BE27" s="386" t="str">
        <f>IF(BD27&lt;=50, "Débil", IF(BD27&lt;=99,"Moderado","Fuerte"))</f>
        <v>Débil</v>
      </c>
      <c r="BF27" s="384">
        <f>+IF(BE27="Fuerte",2,IF(BE27="Moderado",1,0))</f>
        <v>0</v>
      </c>
      <c r="BG27" s="384">
        <f>+AC27-BF27</f>
        <v>1</v>
      </c>
      <c r="BH27" s="380" t="str">
        <f>+VLOOKUP(BG27,Listados!$J$18:$K$24,2,TRUE)</f>
        <v>Rara Vez</v>
      </c>
      <c r="BI27" s="378" t="str">
        <f>IF(ISBLANK(AD27),"",AD27)</f>
        <v>Mayor</v>
      </c>
      <c r="BJ27" s="380" t="str">
        <f>IF(AND(BH27&lt;&gt;"",BI27&lt;&gt;""),VLOOKUP(BH27&amp;BI27,Listados!$M$3:$N$27,2,FALSE),"")</f>
        <v>Alto</v>
      </c>
      <c r="BK27" s="427" t="str">
        <f>+VLOOKUP(BJ27,Listados!$P$3:$Q$6,2,FALSE)</f>
        <v>Reducir el riesgo</v>
      </c>
      <c r="BL27" s="185" t="s">
        <v>802</v>
      </c>
      <c r="BM27" s="345" t="s">
        <v>803</v>
      </c>
      <c r="BN27" s="414">
        <v>44927</v>
      </c>
      <c r="BO27" s="414">
        <v>45291</v>
      </c>
      <c r="BP27" s="345" t="s">
        <v>804</v>
      </c>
      <c r="BQ27" s="345" t="s">
        <v>805</v>
      </c>
      <c r="BR27" s="255" t="s">
        <v>806</v>
      </c>
      <c r="BS27" s="255" t="s">
        <v>807</v>
      </c>
      <c r="BT27" s="309" t="s">
        <v>808</v>
      </c>
      <c r="BU27" s="381" t="s">
        <v>809</v>
      </c>
      <c r="BV27" s="381" t="s">
        <v>810</v>
      </c>
      <c r="BW27" s="381" t="s">
        <v>811</v>
      </c>
    </row>
    <row r="28" spans="1:75" ht="315">
      <c r="A28" s="329"/>
      <c r="B28" s="444"/>
      <c r="C28" s="379"/>
      <c r="D28" s="435"/>
      <c r="E28" s="237" t="s">
        <v>812</v>
      </c>
      <c r="F28" s="246" t="s">
        <v>16</v>
      </c>
      <c r="G28" s="367"/>
      <c r="H28" s="374"/>
      <c r="I28" s="374"/>
      <c r="J28" s="374"/>
      <c r="K28" s="374"/>
      <c r="L28" s="374"/>
      <c r="M28" s="374"/>
      <c r="N28" s="374"/>
      <c r="O28" s="374"/>
      <c r="P28" s="374"/>
      <c r="Q28" s="374"/>
      <c r="R28" s="374"/>
      <c r="S28" s="374"/>
      <c r="T28" s="374"/>
      <c r="U28" s="374"/>
      <c r="V28" s="374"/>
      <c r="W28" s="374"/>
      <c r="X28" s="374"/>
      <c r="Y28" s="374"/>
      <c r="Z28" s="370"/>
      <c r="AA28" s="362"/>
      <c r="AB28" s="370"/>
      <c r="AC28" s="349"/>
      <c r="AD28" s="362" t="str">
        <f>+IF(OR(AB28=1,AB28&lt;=5),"Moderado",IF(OR(AB28=6,AB28&lt;=11),"Mayor","Catastrófico"))</f>
        <v>Moderado</v>
      </c>
      <c r="AE28" s="349"/>
      <c r="AF28" s="353"/>
      <c r="AG28" s="255" t="s">
        <v>813</v>
      </c>
      <c r="AH28" s="237" t="s">
        <v>812</v>
      </c>
      <c r="AI28" s="234" t="s">
        <v>20</v>
      </c>
      <c r="AJ28" s="245" t="s">
        <v>116</v>
      </c>
      <c r="AK28" s="142">
        <f>+IF(AJ28="si",15,"")</f>
        <v>15</v>
      </c>
      <c r="AL28" s="245" t="s">
        <v>312</v>
      </c>
      <c r="AM28" s="142">
        <f>+IF(AL28="si",15,"")</f>
        <v>15</v>
      </c>
      <c r="AN28" s="245" t="s">
        <v>312</v>
      </c>
      <c r="AO28" s="142">
        <f>+IF(AN28="si",15,"")</f>
        <v>15</v>
      </c>
      <c r="AP28" s="245" t="s">
        <v>20</v>
      </c>
      <c r="AQ28" s="142" t="str">
        <f>+IF(AP28="si",15,"")</f>
        <v/>
      </c>
      <c r="AR28" s="245" t="s">
        <v>312</v>
      </c>
      <c r="AS28" s="142">
        <f>+IF(AR28="si",15,"")</f>
        <v>15</v>
      </c>
      <c r="AT28" s="245" t="s">
        <v>312</v>
      </c>
      <c r="AU28" s="142">
        <f>+IF(AT28="si",15,"")</f>
        <v>15</v>
      </c>
      <c r="AV28" s="245" t="s">
        <v>117</v>
      </c>
      <c r="AW28" s="142">
        <f t="shared" si="0"/>
        <v>10</v>
      </c>
      <c r="AX28" s="21">
        <f t="shared" si="18"/>
        <v>85</v>
      </c>
      <c r="AY28" s="21" t="str">
        <f t="shared" si="19"/>
        <v>Débil</v>
      </c>
      <c r="AZ28" s="209" t="s">
        <v>118</v>
      </c>
      <c r="BA28" s="210" t="str">
        <f t="shared" si="20"/>
        <v>Fuerte</v>
      </c>
      <c r="BB28" s="21" t="str">
        <f>IFERROR(VLOOKUP((CONCATENATE(AY28,BA28)),Listados!$U$3:$V$11,2,FALSE),"")</f>
        <v>Débil</v>
      </c>
      <c r="BC28" s="21">
        <f t="shared" si="21"/>
        <v>0</v>
      </c>
      <c r="BD28" s="385"/>
      <c r="BE28" s="413"/>
      <c r="BF28" s="385"/>
      <c r="BG28" s="385"/>
      <c r="BH28" s="364"/>
      <c r="BI28" s="379"/>
      <c r="BJ28" s="364"/>
      <c r="BK28" s="428"/>
      <c r="BL28" s="153" t="s">
        <v>814</v>
      </c>
      <c r="BM28" s="346"/>
      <c r="BN28" s="415"/>
      <c r="BO28" s="415"/>
      <c r="BP28" s="346"/>
      <c r="BQ28" s="346"/>
      <c r="BR28" s="255" t="s">
        <v>815</v>
      </c>
      <c r="BS28" s="255" t="s">
        <v>816</v>
      </c>
      <c r="BT28" s="309" t="s">
        <v>817</v>
      </c>
      <c r="BU28" s="382"/>
      <c r="BV28" s="382"/>
      <c r="BW28" s="382"/>
    </row>
    <row r="29" spans="1:75" ht="315.75" thickBot="1">
      <c r="A29" s="329"/>
      <c r="B29" s="444"/>
      <c r="C29" s="379"/>
      <c r="D29" s="435"/>
      <c r="E29" s="237" t="s">
        <v>818</v>
      </c>
      <c r="F29" s="246" t="s">
        <v>16</v>
      </c>
      <c r="G29" s="367"/>
      <c r="H29" s="374"/>
      <c r="I29" s="374"/>
      <c r="J29" s="374"/>
      <c r="K29" s="374"/>
      <c r="L29" s="374"/>
      <c r="M29" s="374"/>
      <c r="N29" s="374"/>
      <c r="O29" s="374"/>
      <c r="P29" s="374"/>
      <c r="Q29" s="374"/>
      <c r="R29" s="374"/>
      <c r="S29" s="374"/>
      <c r="T29" s="374"/>
      <c r="U29" s="374"/>
      <c r="V29" s="374"/>
      <c r="W29" s="374"/>
      <c r="X29" s="374"/>
      <c r="Y29" s="374"/>
      <c r="Z29" s="370"/>
      <c r="AA29" s="362"/>
      <c r="AB29" s="370"/>
      <c r="AC29" s="349"/>
      <c r="AD29" s="362" t="str">
        <f>+IF(OR(AB29=1,AB29&lt;=5),"Moderado",IF(OR(AB29=6,AB29&lt;=11),"Mayor","Catastrófico"))</f>
        <v>Moderado</v>
      </c>
      <c r="AE29" s="349"/>
      <c r="AF29" s="353"/>
      <c r="AG29" s="279" t="s">
        <v>819</v>
      </c>
      <c r="AH29" s="237" t="s">
        <v>818</v>
      </c>
      <c r="AI29" s="234" t="s">
        <v>20</v>
      </c>
      <c r="AJ29" s="245" t="s">
        <v>116</v>
      </c>
      <c r="AK29" s="142">
        <f>+IF(AJ29="si",15,"")</f>
        <v>15</v>
      </c>
      <c r="AL29" s="245" t="s">
        <v>312</v>
      </c>
      <c r="AM29" s="142">
        <f>+IF(AL29="si",15,"")</f>
        <v>15</v>
      </c>
      <c r="AN29" s="245" t="s">
        <v>312</v>
      </c>
      <c r="AO29" s="142">
        <f>+IF(AN29="si",15,"")</f>
        <v>15</v>
      </c>
      <c r="AP29" s="245" t="s">
        <v>20</v>
      </c>
      <c r="AQ29" s="142" t="str">
        <f>+IF(AP29="si",15,"")</f>
        <v/>
      </c>
      <c r="AR29" s="245" t="s">
        <v>312</v>
      </c>
      <c r="AS29" s="142">
        <f>+IF(AR29="si",15,"")</f>
        <v>15</v>
      </c>
      <c r="AT29" s="245" t="s">
        <v>312</v>
      </c>
      <c r="AU29" s="142">
        <f>+IF(AT29="si",15,"")</f>
        <v>15</v>
      </c>
      <c r="AV29" s="245" t="s">
        <v>117</v>
      </c>
      <c r="AW29" s="142">
        <f t="shared" si="0"/>
        <v>10</v>
      </c>
      <c r="AX29" s="21">
        <f t="shared" si="18"/>
        <v>85</v>
      </c>
      <c r="AY29" s="21" t="str">
        <f t="shared" si="19"/>
        <v>Débil</v>
      </c>
      <c r="AZ29" s="209" t="s">
        <v>118</v>
      </c>
      <c r="BA29" s="210" t="str">
        <f t="shared" si="20"/>
        <v>Fuerte</v>
      </c>
      <c r="BB29" s="21" t="str">
        <f>IFERROR(VLOOKUP((CONCATENATE(AY29,BA29)),Listados!$U$3:$V$11,2,FALSE),"")</f>
        <v>Débil</v>
      </c>
      <c r="BC29" s="21">
        <f t="shared" si="21"/>
        <v>0</v>
      </c>
      <c r="BD29" s="385"/>
      <c r="BE29" s="413"/>
      <c r="BF29" s="385"/>
      <c r="BG29" s="385"/>
      <c r="BH29" s="364"/>
      <c r="BI29" s="379"/>
      <c r="BJ29" s="364"/>
      <c r="BK29" s="428"/>
      <c r="BL29" s="154"/>
      <c r="BM29" s="347"/>
      <c r="BN29" s="416"/>
      <c r="BO29" s="416"/>
      <c r="BP29" s="347"/>
      <c r="BQ29" s="347"/>
      <c r="BR29" s="255" t="s">
        <v>815</v>
      </c>
      <c r="BS29" s="255" t="s">
        <v>820</v>
      </c>
      <c r="BT29" s="255" t="s">
        <v>821</v>
      </c>
      <c r="BU29" s="383"/>
      <c r="BV29" s="383"/>
      <c r="BW29" s="383"/>
    </row>
    <row r="30" spans="1:75" ht="162.75" customHeight="1">
      <c r="A30" s="328">
        <v>9</v>
      </c>
      <c r="B30" s="444" t="s">
        <v>83</v>
      </c>
      <c r="C30" s="450" t="str">
        <f>IFERROR(VLOOKUP(B30,Listados!B$3:C$20,2,FALSE),"")</f>
        <v>Fijar los lineamientos, parámetros y actividades requeridas para garantizar la gestión de los servicios administrativos, logísticos y la administración de los bienes necesario para la operación del Ministerio de Justicia y del Derecho.</v>
      </c>
      <c r="D30" s="435" t="s">
        <v>822</v>
      </c>
      <c r="E30" s="237" t="s">
        <v>823</v>
      </c>
      <c r="F30" s="246" t="s">
        <v>16</v>
      </c>
      <c r="G30" s="367" t="s">
        <v>824</v>
      </c>
      <c r="H30" s="353" t="s">
        <v>312</v>
      </c>
      <c r="I30" s="353" t="s">
        <v>312</v>
      </c>
      <c r="J30" s="353" t="s">
        <v>312</v>
      </c>
      <c r="K30" s="353" t="s">
        <v>120</v>
      </c>
      <c r="L30" s="353" t="s">
        <v>312</v>
      </c>
      <c r="M30" s="353" t="s">
        <v>312</v>
      </c>
      <c r="N30" s="353" t="s">
        <v>312</v>
      </c>
      <c r="O30" s="353" t="s">
        <v>120</v>
      </c>
      <c r="P30" s="353" t="s">
        <v>120</v>
      </c>
      <c r="Q30" s="353" t="s">
        <v>116</v>
      </c>
      <c r="R30" s="353" t="s">
        <v>116</v>
      </c>
      <c r="S30" s="353" t="s">
        <v>312</v>
      </c>
      <c r="T30" s="353" t="s">
        <v>670</v>
      </c>
      <c r="U30" s="353" t="s">
        <v>120</v>
      </c>
      <c r="V30" s="353" t="s">
        <v>120</v>
      </c>
      <c r="W30" s="347" t="s">
        <v>670</v>
      </c>
      <c r="X30" s="347" t="s">
        <v>120</v>
      </c>
      <c r="Y30" s="347" t="s">
        <v>670</v>
      </c>
      <c r="Z30" s="378" t="s">
        <v>120</v>
      </c>
      <c r="AA30" s="350">
        <f>COUNTIF(H30:Z31, "SI")</f>
        <v>9</v>
      </c>
      <c r="AB30" s="369" t="s">
        <v>21</v>
      </c>
      <c r="AC30" s="348">
        <f>+VLOOKUP(AB30,Listados!$K$8:$L$12,2,0)</f>
        <v>1</v>
      </c>
      <c r="AD30" s="350" t="str">
        <f>+IF(OR(AA30=1,AA30&lt;=5),"Moderado",IF(OR(AA30=6,AA30&lt;=11),"Mayor","Catastrófico"))</f>
        <v>Mayor</v>
      </c>
      <c r="AE30" s="348" t="e">
        <f>+VLOOKUP(AD30,Listados!K67:L71,2,0)</f>
        <v>#N/A</v>
      </c>
      <c r="AF30" s="347" t="str">
        <f>IF(AND(AB30&lt;&gt;"",AD30&lt;&gt;""),VLOOKUP(AB30&amp;AD30,Listados!$M$3:$N$27,2,FALSE),"")</f>
        <v>Alto</v>
      </c>
      <c r="AG30" s="255" t="s">
        <v>825</v>
      </c>
      <c r="AH30" s="237" t="s">
        <v>823</v>
      </c>
      <c r="AI30" s="245" t="s">
        <v>123</v>
      </c>
      <c r="AJ30" s="245" t="s">
        <v>116</v>
      </c>
      <c r="AK30" s="142">
        <f>+IF(AJ30="si",15,"")</f>
        <v>15</v>
      </c>
      <c r="AL30" s="245" t="s">
        <v>312</v>
      </c>
      <c r="AM30" s="142">
        <f>+IF(AL30="si",15,"")</f>
        <v>15</v>
      </c>
      <c r="AN30" s="245" t="s">
        <v>312</v>
      </c>
      <c r="AO30" s="142">
        <f>+IF(AN30="si",15,"")</f>
        <v>15</v>
      </c>
      <c r="AP30" s="245" t="s">
        <v>123</v>
      </c>
      <c r="AQ30" s="142" t="str">
        <f>+IF(AP30="si",15,"")</f>
        <v/>
      </c>
      <c r="AR30" s="245" t="s">
        <v>312</v>
      </c>
      <c r="AS30" s="142">
        <f>+IF(AR30="si",15,"")</f>
        <v>15</v>
      </c>
      <c r="AT30" s="245" t="s">
        <v>312</v>
      </c>
      <c r="AU30" s="142">
        <f>+IF(AT30="si",15,"")</f>
        <v>15</v>
      </c>
      <c r="AV30" s="245" t="s">
        <v>117</v>
      </c>
      <c r="AW30" s="142">
        <f t="shared" si="0"/>
        <v>10</v>
      </c>
      <c r="AX30" s="21">
        <f t="shared" si="18"/>
        <v>85</v>
      </c>
      <c r="AY30" s="21" t="str">
        <f t="shared" si="19"/>
        <v>Débil</v>
      </c>
      <c r="AZ30" s="209" t="s">
        <v>118</v>
      </c>
      <c r="BA30" s="210" t="str">
        <f t="shared" si="20"/>
        <v>Fuerte</v>
      </c>
      <c r="BB30" s="21" t="str">
        <f>IFERROR(VLOOKUP((CONCATENATE(AY30,BA30)),Listados!$U$3:$V$11,2,FALSE),"")</f>
        <v>Débil</v>
      </c>
      <c r="BC30" s="210">
        <f t="shared" si="21"/>
        <v>0</v>
      </c>
      <c r="BD30" s="413">
        <f>AVERAGE(BC30:BC31)</f>
        <v>0</v>
      </c>
      <c r="BE30" s="384" t="str">
        <f>IF(BD30&lt;=50, "Débil", IF(BD30&lt;=99,"Moderado","Fuerte"))</f>
        <v>Débil</v>
      </c>
      <c r="BF30" s="384">
        <f>+IF(BE30="Fuerte",2,IF(BE30="Moderado",1,0))</f>
        <v>0</v>
      </c>
      <c r="BG30" s="413">
        <f>+AC30-BF30</f>
        <v>1</v>
      </c>
      <c r="BH30" s="379" t="str">
        <f>+VLOOKUP(BG30,Listados!$J$18:$K$24,2,TRUE)</f>
        <v>Rara Vez</v>
      </c>
      <c r="BI30" s="379" t="str">
        <f>IF(ISBLANK(AD30),"",AD30)</f>
        <v>Mayor</v>
      </c>
      <c r="BJ30" s="379" t="str">
        <f>IF(AND(BH30&lt;&gt;"",BI30&lt;&gt;""),VLOOKUP(BH30&amp;BI30,Listados!$M$3:$N$27,2,FALSE),"")</f>
        <v>Alto</v>
      </c>
      <c r="BK30" s="427" t="str">
        <f>+VLOOKUP(BJ30,Listados!$P$3:$Q$6,2,FALSE)</f>
        <v>Reducir el riesgo</v>
      </c>
      <c r="BL30" s="381" t="s">
        <v>826</v>
      </c>
      <c r="BM30" s="375" t="s">
        <v>754</v>
      </c>
      <c r="BN30" s="387">
        <v>44927</v>
      </c>
      <c r="BO30" s="387">
        <v>45291</v>
      </c>
      <c r="BP30" s="375" t="s">
        <v>827</v>
      </c>
      <c r="BQ30" s="375" t="s">
        <v>828</v>
      </c>
      <c r="BR30" s="475" t="s">
        <v>829</v>
      </c>
      <c r="BS30" s="409" t="s">
        <v>830</v>
      </c>
      <c r="BT30" s="411" t="s">
        <v>831</v>
      </c>
      <c r="BU30" s="400" t="s">
        <v>832</v>
      </c>
      <c r="BV30" s="400" t="s">
        <v>833</v>
      </c>
      <c r="BW30" s="396" t="s">
        <v>834</v>
      </c>
    </row>
    <row r="31" spans="1:75" ht="171" customHeight="1" thickBot="1">
      <c r="A31" s="329"/>
      <c r="B31" s="447"/>
      <c r="C31" s="451"/>
      <c r="D31" s="436"/>
      <c r="E31" s="187" t="s">
        <v>835</v>
      </c>
      <c r="F31" s="181" t="s">
        <v>30</v>
      </c>
      <c r="G31" s="367"/>
      <c r="H31" s="353"/>
      <c r="I31" s="353"/>
      <c r="J31" s="353"/>
      <c r="K31" s="353"/>
      <c r="L31" s="353"/>
      <c r="M31" s="353"/>
      <c r="N31" s="353"/>
      <c r="O31" s="353"/>
      <c r="P31" s="353"/>
      <c r="Q31" s="353"/>
      <c r="R31" s="353"/>
      <c r="S31" s="353"/>
      <c r="T31" s="353"/>
      <c r="U31" s="353"/>
      <c r="V31" s="353"/>
      <c r="W31" s="353"/>
      <c r="X31" s="353"/>
      <c r="Y31" s="353"/>
      <c r="Z31" s="379"/>
      <c r="AA31" s="362"/>
      <c r="AB31" s="370"/>
      <c r="AC31" s="349"/>
      <c r="AD31" s="362" t="str">
        <f>+IF(OR(AB31=1,AB31&lt;=5),"Moderado",IF(OR(AB31=6,AB31&lt;=11),"Mayor","Catastrófico"))</f>
        <v>Moderado</v>
      </c>
      <c r="AE31" s="349"/>
      <c r="AF31" s="353"/>
      <c r="AG31" s="255" t="s">
        <v>836</v>
      </c>
      <c r="AH31" s="187" t="s">
        <v>835</v>
      </c>
      <c r="AI31" s="245" t="s">
        <v>20</v>
      </c>
      <c r="AJ31" s="245" t="s">
        <v>116</v>
      </c>
      <c r="AK31" s="142">
        <f>+IF(AJ31="si",15,"")</f>
        <v>15</v>
      </c>
      <c r="AL31" s="245" t="s">
        <v>312</v>
      </c>
      <c r="AM31" s="142">
        <f>+IF(AL31="si",15,"")</f>
        <v>15</v>
      </c>
      <c r="AN31" s="245" t="s">
        <v>312</v>
      </c>
      <c r="AO31" s="142">
        <f>+IF(AN31="si",15,"")</f>
        <v>15</v>
      </c>
      <c r="AP31" s="245" t="s">
        <v>20</v>
      </c>
      <c r="AQ31" s="142" t="str">
        <f>+IF(AP31="si",15,"")</f>
        <v/>
      </c>
      <c r="AR31" s="245" t="s">
        <v>312</v>
      </c>
      <c r="AS31" s="142">
        <f>+IF(AR31="si",15,"")</f>
        <v>15</v>
      </c>
      <c r="AT31" s="245" t="s">
        <v>312</v>
      </c>
      <c r="AU31" s="142">
        <f>+IF(AT31="si",15,"")</f>
        <v>15</v>
      </c>
      <c r="AV31" s="245" t="s">
        <v>117</v>
      </c>
      <c r="AW31" s="142">
        <f t="shared" si="0"/>
        <v>10</v>
      </c>
      <c r="AX31" s="21">
        <f t="shared" si="18"/>
        <v>85</v>
      </c>
      <c r="AY31" s="21" t="str">
        <f t="shared" si="19"/>
        <v>Débil</v>
      </c>
      <c r="AZ31" s="209" t="s">
        <v>118</v>
      </c>
      <c r="BA31" s="210" t="str">
        <f t="shared" si="20"/>
        <v>Fuerte</v>
      </c>
      <c r="BB31" s="21" t="str">
        <f>IFERROR(VLOOKUP((CONCATENATE(AY31,BA31)),Listados!$U$3:$V$11,2,FALSE),"")</f>
        <v>Débil</v>
      </c>
      <c r="BC31" s="210">
        <f t="shared" si="21"/>
        <v>0</v>
      </c>
      <c r="BD31" s="413"/>
      <c r="BE31" s="386"/>
      <c r="BF31" s="386"/>
      <c r="BG31" s="413"/>
      <c r="BH31" s="379"/>
      <c r="BI31" s="379"/>
      <c r="BJ31" s="379"/>
      <c r="BK31" s="428"/>
      <c r="BL31" s="383"/>
      <c r="BM31" s="377"/>
      <c r="BN31" s="389"/>
      <c r="BO31" s="389"/>
      <c r="BP31" s="377"/>
      <c r="BQ31" s="377"/>
      <c r="BR31" s="406"/>
      <c r="BS31" s="392"/>
      <c r="BT31" s="393"/>
      <c r="BU31" s="381"/>
      <c r="BV31" s="381"/>
      <c r="BW31" s="375"/>
    </row>
    <row r="32" spans="1:75" ht="171.75" customHeight="1">
      <c r="A32" s="328">
        <v>10</v>
      </c>
      <c r="B32" s="444" t="s">
        <v>92</v>
      </c>
      <c r="C32" s="450" t="str">
        <f>IFERROR(VLOOKUP(B32,[24]Listados!B$3:C$20,2,FALSE),"")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32" s="435" t="s">
        <v>837</v>
      </c>
      <c r="E32" s="280" t="s">
        <v>838</v>
      </c>
      <c r="F32" s="281" t="s">
        <v>16</v>
      </c>
      <c r="G32" s="452" t="s">
        <v>839</v>
      </c>
      <c r="H32" s="345" t="s">
        <v>116</v>
      </c>
      <c r="I32" s="345" t="s">
        <v>116</v>
      </c>
      <c r="J32" s="345" t="s">
        <v>116</v>
      </c>
      <c r="K32" s="345" t="s">
        <v>116</v>
      </c>
      <c r="L32" s="345" t="s">
        <v>116</v>
      </c>
      <c r="M32" s="410" t="s">
        <v>116</v>
      </c>
      <c r="N32" s="410" t="s">
        <v>116</v>
      </c>
      <c r="O32" s="410" t="s">
        <v>116</v>
      </c>
      <c r="P32" s="410" t="s">
        <v>120</v>
      </c>
      <c r="Q32" s="410" t="s">
        <v>116</v>
      </c>
      <c r="R32" s="410" t="s">
        <v>116</v>
      </c>
      <c r="S32" s="410" t="s">
        <v>116</v>
      </c>
      <c r="T32" s="410" t="s">
        <v>120</v>
      </c>
      <c r="U32" s="410" t="s">
        <v>120</v>
      </c>
      <c r="V32" s="410" t="s">
        <v>116</v>
      </c>
      <c r="W32" s="410" t="s">
        <v>116</v>
      </c>
      <c r="X32" s="410" t="s">
        <v>116</v>
      </c>
      <c r="Y32" s="410" t="s">
        <v>116</v>
      </c>
      <c r="Z32" s="410" t="s">
        <v>116</v>
      </c>
      <c r="AA32" s="410" t="s">
        <v>120</v>
      </c>
      <c r="AB32" s="369" t="s">
        <v>44</v>
      </c>
      <c r="AC32" s="348">
        <f>+VLOOKUP(AB32,[24]Listados!$K$8:$L$12,2,0)</f>
        <v>3</v>
      </c>
      <c r="AD32" s="350" t="str">
        <f>+IF(OR(AA32=1,AA32&lt;=5),"Moderado",IF(OR(AA32=6,AA32&lt;=11),"Mayor","Catastrófico"))</f>
        <v>Catastrófico</v>
      </c>
      <c r="AE32" s="348" t="e">
        <f>+VLOOKUP(AD32,[24]Listados!K37:L41,2,0)</f>
        <v>#N/A</v>
      </c>
      <c r="AF32" s="347" t="str">
        <f>IF(AND(AB32&lt;&gt;"",AD32&lt;&gt;""),VLOOKUP(AB32&amp;AD32,[24]Listados!$M$3:$N$27,2,FALSE),"")</f>
        <v>Extremo</v>
      </c>
      <c r="AG32" s="150" t="s">
        <v>840</v>
      </c>
      <c r="AH32" s="268" t="s">
        <v>838</v>
      </c>
      <c r="AI32" s="282" t="s">
        <v>20</v>
      </c>
      <c r="AJ32" s="283" t="s">
        <v>116</v>
      </c>
      <c r="AK32" s="27">
        <f t="shared" ref="AK32:AK36" si="42">+IF(AJ32="si",15,"")</f>
        <v>15</v>
      </c>
      <c r="AL32" s="283" t="s">
        <v>116</v>
      </c>
      <c r="AM32" s="27">
        <f t="shared" ref="AM32:AM36" si="43">+IF(AL32="si",15,"")</f>
        <v>15</v>
      </c>
      <c r="AN32" s="208" t="s">
        <v>116</v>
      </c>
      <c r="AO32" s="27">
        <f t="shared" ref="AO32:AO36" si="44">+IF(AN32="si",15,"")</f>
        <v>15</v>
      </c>
      <c r="AP32" s="208" t="s">
        <v>20</v>
      </c>
      <c r="AQ32" s="27">
        <f t="shared" ref="AQ32:AQ36" si="45">+IF(AP32="Preventivo",15,IF(AP32="Detectivo",10,""))</f>
        <v>15</v>
      </c>
      <c r="AR32" s="208" t="s">
        <v>116</v>
      </c>
      <c r="AS32" s="27">
        <f t="shared" ref="AS32:AS36" si="46">+IF(AR32="si",15,"")</f>
        <v>15</v>
      </c>
      <c r="AT32" s="208" t="s">
        <v>116</v>
      </c>
      <c r="AU32" s="27">
        <f t="shared" ref="AU32:AU36" si="47">+IF(AT32="si",15,"")</f>
        <v>15</v>
      </c>
      <c r="AV32" s="208" t="s">
        <v>117</v>
      </c>
      <c r="AW32" s="27">
        <f t="shared" si="0"/>
        <v>10</v>
      </c>
      <c r="AX32" s="48">
        <f t="shared" si="18"/>
        <v>100</v>
      </c>
      <c r="AY32" s="48" t="str">
        <f t="shared" si="19"/>
        <v>Fuerte</v>
      </c>
      <c r="AZ32" s="209" t="s">
        <v>118</v>
      </c>
      <c r="BA32" s="210" t="str">
        <f t="shared" si="20"/>
        <v>Fuerte</v>
      </c>
      <c r="BB32" s="21" t="str">
        <f>IFERROR(VLOOKUP((CONCATENATE(AY32,BA32)),[24]Listados!$U$3:$V$11,2,FALSE),"")</f>
        <v>Fuerte</v>
      </c>
      <c r="BC32" s="48">
        <f t="shared" si="21"/>
        <v>100</v>
      </c>
      <c r="BD32" s="354">
        <f>AVERAGE(BC32:BC37)</f>
        <v>100</v>
      </c>
      <c r="BE32" s="354" t="str">
        <f>IF(BD32&lt;=50, "Débil", IF(BD32&lt;=99,"Moderado","Fuerte"))</f>
        <v>Fuerte</v>
      </c>
      <c r="BF32" s="354">
        <f>+IF(BE32="Fuerte",2,IF(BE32="Moderado",1,0))</f>
        <v>2</v>
      </c>
      <c r="BG32" s="355">
        <f>+AC32-BF32</f>
        <v>1</v>
      </c>
      <c r="BH32" s="345" t="str">
        <f>+VLOOKUP(BG32,[24]Listados!$J$18:$K$24,2,TRUE)</f>
        <v>Rara Vez</v>
      </c>
      <c r="BI32" s="345" t="str">
        <f>IF(ISBLANK(AD32),"",AD32)</f>
        <v>Catastrófico</v>
      </c>
      <c r="BJ32" s="345" t="str">
        <f>IF(AND(BH32&lt;&gt;"",BI32&lt;&gt;""),VLOOKUP(BH32&amp;BI32,[24]Listados!$M$3:$N$27,2,FALSE),"")</f>
        <v>Extremo</v>
      </c>
      <c r="BK32" s="345" t="str">
        <f>+VLOOKUP(BJ32,[24]Listados!$P$3:$Q$6,2,FALSE)</f>
        <v>Evitar el riesgo</v>
      </c>
      <c r="BL32" s="253" t="s">
        <v>841</v>
      </c>
      <c r="BM32" s="284" t="s">
        <v>842</v>
      </c>
      <c r="BN32" s="285">
        <v>44927</v>
      </c>
      <c r="BO32" s="286">
        <v>45291</v>
      </c>
      <c r="BP32" s="284" t="s">
        <v>843</v>
      </c>
      <c r="BQ32" s="253" t="s">
        <v>844</v>
      </c>
      <c r="BR32" s="403" t="s">
        <v>845</v>
      </c>
      <c r="BS32" s="375" t="s">
        <v>846</v>
      </c>
      <c r="BT32" s="381" t="s">
        <v>847</v>
      </c>
      <c r="BU32" s="381" t="s">
        <v>848</v>
      </c>
      <c r="BV32" s="393" t="s">
        <v>833</v>
      </c>
      <c r="BW32" s="381" t="s">
        <v>849</v>
      </c>
    </row>
    <row r="33" spans="1:75" ht="102">
      <c r="A33" s="329"/>
      <c r="B33" s="444"/>
      <c r="C33" s="450"/>
      <c r="D33" s="435"/>
      <c r="E33" s="280" t="s">
        <v>850</v>
      </c>
      <c r="F33" s="281" t="s">
        <v>16</v>
      </c>
      <c r="G33" s="453"/>
      <c r="H33" s="346"/>
      <c r="I33" s="346"/>
      <c r="J33" s="346"/>
      <c r="K33" s="346"/>
      <c r="L33" s="346"/>
      <c r="M33" s="374"/>
      <c r="N33" s="374"/>
      <c r="O33" s="374"/>
      <c r="P33" s="374"/>
      <c r="Q33" s="374"/>
      <c r="R33" s="374"/>
      <c r="S33" s="374"/>
      <c r="T33" s="374"/>
      <c r="U33" s="374"/>
      <c r="V33" s="374"/>
      <c r="W33" s="374"/>
      <c r="X33" s="374"/>
      <c r="Y33" s="374"/>
      <c r="Z33" s="374"/>
      <c r="AA33" s="374"/>
      <c r="AB33" s="370"/>
      <c r="AC33" s="349"/>
      <c r="AD33" s="362" t="str">
        <f>+IF(OR(AB33=1,AB33&lt;=5),"Moderado",IF(OR(AB33=6,AB33&lt;=11),"Mayor","Catastrófico"))</f>
        <v>Moderado</v>
      </c>
      <c r="AE33" s="349"/>
      <c r="AF33" s="353"/>
      <c r="AG33" s="150" t="s">
        <v>851</v>
      </c>
      <c r="AH33" s="268" t="s">
        <v>838</v>
      </c>
      <c r="AI33" s="282" t="s">
        <v>20</v>
      </c>
      <c r="AJ33" s="283" t="s">
        <v>116</v>
      </c>
      <c r="AK33" s="27">
        <f t="shared" si="42"/>
        <v>15</v>
      </c>
      <c r="AL33" s="283" t="s">
        <v>116</v>
      </c>
      <c r="AM33" s="27">
        <f t="shared" si="43"/>
        <v>15</v>
      </c>
      <c r="AN33" s="208" t="s">
        <v>116</v>
      </c>
      <c r="AO33" s="27">
        <f t="shared" si="44"/>
        <v>15</v>
      </c>
      <c r="AP33" s="208" t="s">
        <v>20</v>
      </c>
      <c r="AQ33" s="27">
        <f t="shared" si="45"/>
        <v>15</v>
      </c>
      <c r="AR33" s="208" t="s">
        <v>116</v>
      </c>
      <c r="AS33" s="27">
        <f t="shared" si="46"/>
        <v>15</v>
      </c>
      <c r="AT33" s="208" t="s">
        <v>116</v>
      </c>
      <c r="AU33" s="27">
        <f t="shared" si="47"/>
        <v>15</v>
      </c>
      <c r="AV33" s="208" t="s">
        <v>117</v>
      </c>
      <c r="AW33" s="27">
        <f t="shared" si="0"/>
        <v>10</v>
      </c>
      <c r="AX33" s="48">
        <f t="shared" si="18"/>
        <v>100</v>
      </c>
      <c r="AY33" s="48" t="str">
        <f t="shared" si="19"/>
        <v>Fuerte</v>
      </c>
      <c r="AZ33" s="209" t="s">
        <v>118</v>
      </c>
      <c r="BA33" s="210" t="str">
        <f t="shared" si="20"/>
        <v>Fuerte</v>
      </c>
      <c r="BB33" s="21" t="str">
        <f>IFERROR(VLOOKUP((CONCATENATE(AY33,BA33)),[24]Listados!$U$3:$V$11,2,FALSE),"")</f>
        <v>Fuerte</v>
      </c>
      <c r="BC33" s="48">
        <f t="shared" si="21"/>
        <v>100</v>
      </c>
      <c r="BD33" s="355"/>
      <c r="BE33" s="355"/>
      <c r="BF33" s="355"/>
      <c r="BG33" s="355"/>
      <c r="BH33" s="346"/>
      <c r="BI33" s="346"/>
      <c r="BJ33" s="346"/>
      <c r="BK33" s="346"/>
      <c r="BL33" s="253" t="s">
        <v>852</v>
      </c>
      <c r="BM33" s="284" t="s">
        <v>842</v>
      </c>
      <c r="BN33" s="285">
        <v>44927</v>
      </c>
      <c r="BO33" s="286">
        <v>45291</v>
      </c>
      <c r="BP33" s="284" t="s">
        <v>853</v>
      </c>
      <c r="BQ33" s="253" t="s">
        <v>854</v>
      </c>
      <c r="BR33" s="404"/>
      <c r="BS33" s="376"/>
      <c r="BT33" s="382"/>
      <c r="BU33" s="382"/>
      <c r="BV33" s="394"/>
      <c r="BW33" s="382"/>
    </row>
    <row r="34" spans="1:75" ht="114.75">
      <c r="A34" s="329"/>
      <c r="B34" s="444"/>
      <c r="C34" s="450"/>
      <c r="D34" s="435"/>
      <c r="E34" s="280" t="s">
        <v>838</v>
      </c>
      <c r="F34" s="281" t="s">
        <v>16</v>
      </c>
      <c r="G34" s="453"/>
      <c r="H34" s="346"/>
      <c r="I34" s="346"/>
      <c r="J34" s="346"/>
      <c r="K34" s="346"/>
      <c r="L34" s="346"/>
      <c r="M34" s="374"/>
      <c r="N34" s="374"/>
      <c r="O34" s="374"/>
      <c r="P34" s="374"/>
      <c r="Q34" s="374"/>
      <c r="R34" s="374"/>
      <c r="S34" s="374"/>
      <c r="T34" s="374"/>
      <c r="U34" s="374"/>
      <c r="V34" s="374"/>
      <c r="W34" s="374"/>
      <c r="X34" s="374"/>
      <c r="Y34" s="374"/>
      <c r="Z34" s="374"/>
      <c r="AA34" s="374"/>
      <c r="AB34" s="370"/>
      <c r="AC34" s="349"/>
      <c r="AD34" s="362" t="str">
        <f>+IF(OR(AB34=1,AB34&lt;=5),"Moderado",IF(OR(AB34=6,AB34&lt;=11),"Mayor","Catastrófico"))</f>
        <v>Moderado</v>
      </c>
      <c r="AE34" s="349"/>
      <c r="AF34" s="353"/>
      <c r="AG34" s="150" t="s">
        <v>855</v>
      </c>
      <c r="AH34" s="268" t="s">
        <v>838</v>
      </c>
      <c r="AI34" s="282" t="s">
        <v>123</v>
      </c>
      <c r="AJ34" s="283" t="s">
        <v>116</v>
      </c>
      <c r="AK34" s="27">
        <f t="shared" si="42"/>
        <v>15</v>
      </c>
      <c r="AL34" s="283" t="s">
        <v>116</v>
      </c>
      <c r="AM34" s="27">
        <f t="shared" si="43"/>
        <v>15</v>
      </c>
      <c r="AN34" s="208" t="s">
        <v>116</v>
      </c>
      <c r="AO34" s="27">
        <f t="shared" si="44"/>
        <v>15</v>
      </c>
      <c r="AP34" s="208" t="s">
        <v>20</v>
      </c>
      <c r="AQ34" s="27">
        <f t="shared" si="45"/>
        <v>15</v>
      </c>
      <c r="AR34" s="208" t="s">
        <v>116</v>
      </c>
      <c r="AS34" s="27">
        <f t="shared" si="46"/>
        <v>15</v>
      </c>
      <c r="AT34" s="208" t="s">
        <v>116</v>
      </c>
      <c r="AU34" s="27">
        <f t="shared" si="47"/>
        <v>15</v>
      </c>
      <c r="AV34" s="208" t="s">
        <v>117</v>
      </c>
      <c r="AW34" s="27">
        <f t="shared" si="0"/>
        <v>10</v>
      </c>
      <c r="AX34" s="48">
        <f t="shared" si="18"/>
        <v>100</v>
      </c>
      <c r="AY34" s="48" t="str">
        <f t="shared" si="19"/>
        <v>Fuerte</v>
      </c>
      <c r="AZ34" s="209" t="s">
        <v>118</v>
      </c>
      <c r="BA34" s="210" t="str">
        <f t="shared" si="20"/>
        <v>Fuerte</v>
      </c>
      <c r="BB34" s="21" t="str">
        <f>IFERROR(VLOOKUP((CONCATENATE(AY34,BA34)),[24]Listados!$U$3:$V$11,2,FALSE),"")</f>
        <v>Fuerte</v>
      </c>
      <c r="BC34" s="48">
        <f t="shared" si="21"/>
        <v>100</v>
      </c>
      <c r="BD34" s="355"/>
      <c r="BE34" s="355"/>
      <c r="BF34" s="355"/>
      <c r="BG34" s="355"/>
      <c r="BH34" s="346"/>
      <c r="BI34" s="346"/>
      <c r="BJ34" s="346"/>
      <c r="BK34" s="346"/>
      <c r="BL34" s="253" t="s">
        <v>856</v>
      </c>
      <c r="BM34" s="284" t="s">
        <v>857</v>
      </c>
      <c r="BN34" s="285">
        <v>44927</v>
      </c>
      <c r="BO34" s="286">
        <v>45291</v>
      </c>
      <c r="BP34" s="284" t="s">
        <v>858</v>
      </c>
      <c r="BQ34" s="253" t="s">
        <v>859</v>
      </c>
      <c r="BR34" s="404"/>
      <c r="BS34" s="376"/>
      <c r="BT34" s="382"/>
      <c r="BU34" s="382"/>
      <c r="BV34" s="394"/>
      <c r="BW34" s="382"/>
    </row>
    <row r="35" spans="1:75" ht="129" customHeight="1">
      <c r="A35" s="329"/>
      <c r="B35" s="444"/>
      <c r="C35" s="450"/>
      <c r="D35" s="435"/>
      <c r="E35" s="280" t="s">
        <v>860</v>
      </c>
      <c r="F35" s="287" t="s">
        <v>16</v>
      </c>
      <c r="G35" s="453"/>
      <c r="H35" s="346"/>
      <c r="I35" s="346"/>
      <c r="J35" s="346"/>
      <c r="K35" s="346"/>
      <c r="L35" s="346"/>
      <c r="M35" s="374"/>
      <c r="N35" s="374"/>
      <c r="O35" s="374"/>
      <c r="P35" s="374"/>
      <c r="Q35" s="374"/>
      <c r="R35" s="374"/>
      <c r="S35" s="374"/>
      <c r="T35" s="374"/>
      <c r="U35" s="374"/>
      <c r="V35" s="374"/>
      <c r="W35" s="374"/>
      <c r="X35" s="374"/>
      <c r="Y35" s="374"/>
      <c r="Z35" s="374"/>
      <c r="AA35" s="374"/>
      <c r="AB35" s="370"/>
      <c r="AC35" s="349"/>
      <c r="AD35" s="362" t="str">
        <f>+IF(OR(AB35=1,AB35&lt;=5),"Moderado",IF(OR(AB35=6,AB35&lt;=11),"Mayor","Catastrófico"))</f>
        <v>Moderado</v>
      </c>
      <c r="AE35" s="349"/>
      <c r="AF35" s="353"/>
      <c r="AG35" s="150" t="s">
        <v>861</v>
      </c>
      <c r="AH35" s="268" t="s">
        <v>862</v>
      </c>
      <c r="AI35" s="282" t="s">
        <v>20</v>
      </c>
      <c r="AJ35" s="283" t="s">
        <v>116</v>
      </c>
      <c r="AK35" s="27">
        <f t="shared" si="42"/>
        <v>15</v>
      </c>
      <c r="AL35" s="283" t="s">
        <v>116</v>
      </c>
      <c r="AM35" s="27">
        <f t="shared" si="43"/>
        <v>15</v>
      </c>
      <c r="AN35" s="208" t="s">
        <v>116</v>
      </c>
      <c r="AO35" s="27">
        <f t="shared" si="44"/>
        <v>15</v>
      </c>
      <c r="AP35" s="208" t="s">
        <v>20</v>
      </c>
      <c r="AQ35" s="27">
        <f t="shared" si="45"/>
        <v>15</v>
      </c>
      <c r="AR35" s="208" t="s">
        <v>116</v>
      </c>
      <c r="AS35" s="27">
        <f t="shared" si="46"/>
        <v>15</v>
      </c>
      <c r="AT35" s="208" t="s">
        <v>116</v>
      </c>
      <c r="AU35" s="27">
        <f t="shared" si="47"/>
        <v>15</v>
      </c>
      <c r="AV35" s="208" t="s">
        <v>117</v>
      </c>
      <c r="AW35" s="27">
        <f t="shared" si="0"/>
        <v>10</v>
      </c>
      <c r="AX35" s="48">
        <f t="shared" si="18"/>
        <v>100</v>
      </c>
      <c r="AY35" s="48" t="str">
        <f t="shared" si="19"/>
        <v>Fuerte</v>
      </c>
      <c r="AZ35" s="209" t="s">
        <v>118</v>
      </c>
      <c r="BA35" s="210" t="str">
        <f t="shared" si="20"/>
        <v>Fuerte</v>
      </c>
      <c r="BB35" s="21" t="str">
        <f>IFERROR(VLOOKUP((CONCATENATE(AY35,BA35)),[24]Listados!$U$3:$V$11,2,FALSE),"")</f>
        <v>Fuerte</v>
      </c>
      <c r="BC35" s="48">
        <f t="shared" si="21"/>
        <v>100</v>
      </c>
      <c r="BD35" s="355"/>
      <c r="BE35" s="355"/>
      <c r="BF35" s="355"/>
      <c r="BG35" s="355"/>
      <c r="BH35" s="346"/>
      <c r="BI35" s="346"/>
      <c r="BJ35" s="346"/>
      <c r="BK35" s="346"/>
      <c r="BL35" s="375"/>
      <c r="BM35" s="375"/>
      <c r="BN35" s="375"/>
      <c r="BO35" s="375"/>
      <c r="BP35" s="375"/>
      <c r="BQ35" s="375"/>
      <c r="BR35" s="404"/>
      <c r="BS35" s="376"/>
      <c r="BT35" s="382"/>
      <c r="BU35" s="382"/>
      <c r="BV35" s="394"/>
      <c r="BW35" s="382"/>
    </row>
    <row r="36" spans="1:75" ht="25.5">
      <c r="A36" s="329"/>
      <c r="B36" s="444"/>
      <c r="C36" s="450"/>
      <c r="D36" s="435"/>
      <c r="E36" s="280" t="s">
        <v>863</v>
      </c>
      <c r="F36" s="281" t="s">
        <v>16</v>
      </c>
      <c r="G36" s="453"/>
      <c r="H36" s="346"/>
      <c r="I36" s="346"/>
      <c r="J36" s="346"/>
      <c r="K36" s="346"/>
      <c r="L36" s="346"/>
      <c r="M36" s="374"/>
      <c r="N36" s="374"/>
      <c r="O36" s="374"/>
      <c r="P36" s="374"/>
      <c r="Q36" s="374"/>
      <c r="R36" s="374"/>
      <c r="S36" s="374"/>
      <c r="T36" s="374"/>
      <c r="U36" s="374"/>
      <c r="V36" s="374"/>
      <c r="W36" s="374"/>
      <c r="X36" s="374"/>
      <c r="Y36" s="374"/>
      <c r="Z36" s="374"/>
      <c r="AA36" s="374"/>
      <c r="AB36" s="370"/>
      <c r="AC36" s="349"/>
      <c r="AD36" s="362" t="str">
        <f>+IF(OR(AB36=1,AB36&lt;=5),"Moderado",IF(OR(AB36=6,AB36&lt;=11),"Mayor","Catastrófico"))</f>
        <v>Moderado</v>
      </c>
      <c r="AE36" s="349"/>
      <c r="AF36" s="353"/>
      <c r="AG36" s="47"/>
      <c r="AH36" s="268"/>
      <c r="AI36" s="283"/>
      <c r="AJ36" s="283"/>
      <c r="AK36" s="27" t="str">
        <f t="shared" si="42"/>
        <v/>
      </c>
      <c r="AL36" s="283"/>
      <c r="AM36" s="27" t="str">
        <f t="shared" si="43"/>
        <v/>
      </c>
      <c r="AN36" s="208"/>
      <c r="AO36" s="27" t="str">
        <f t="shared" si="44"/>
        <v/>
      </c>
      <c r="AP36" s="208"/>
      <c r="AQ36" s="27" t="str">
        <f t="shared" si="45"/>
        <v/>
      </c>
      <c r="AR36" s="208"/>
      <c r="AS36" s="27" t="str">
        <f t="shared" si="46"/>
        <v/>
      </c>
      <c r="AT36" s="208"/>
      <c r="AU36" s="27" t="str">
        <f t="shared" si="47"/>
        <v/>
      </c>
      <c r="AV36" s="208"/>
      <c r="AW36" s="27" t="str">
        <f t="shared" si="0"/>
        <v/>
      </c>
      <c r="AX36" s="48" t="str">
        <f t="shared" si="18"/>
        <v/>
      </c>
      <c r="AY36" s="48" t="str">
        <f t="shared" si="19"/>
        <v/>
      </c>
      <c r="AZ36" s="209" t="s">
        <v>118</v>
      </c>
      <c r="BA36" s="210" t="str">
        <f t="shared" si="20"/>
        <v>Fuerte</v>
      </c>
      <c r="BB36" s="21" t="str">
        <f>IFERROR(VLOOKUP((CONCATENATE(AY36,BA36)),[24]Listados!$U$3:$V$11,2,FALSE),"")</f>
        <v/>
      </c>
      <c r="BC36" s="48">
        <f t="shared" si="21"/>
        <v>100</v>
      </c>
      <c r="BD36" s="355"/>
      <c r="BE36" s="355"/>
      <c r="BF36" s="355"/>
      <c r="BG36" s="355"/>
      <c r="BH36" s="346"/>
      <c r="BI36" s="346"/>
      <c r="BJ36" s="346"/>
      <c r="BK36" s="346"/>
      <c r="BL36" s="376"/>
      <c r="BM36" s="376"/>
      <c r="BN36" s="376"/>
      <c r="BO36" s="376"/>
      <c r="BP36" s="376"/>
      <c r="BQ36" s="376"/>
      <c r="BR36" s="404"/>
      <c r="BS36" s="376"/>
      <c r="BT36" s="382"/>
      <c r="BU36" s="382"/>
      <c r="BV36" s="394"/>
      <c r="BW36" s="382"/>
    </row>
    <row r="37" spans="1:75" ht="38.25">
      <c r="A37" s="329"/>
      <c r="B37" s="444"/>
      <c r="C37" s="450"/>
      <c r="D37" s="435"/>
      <c r="E37" s="280" t="s">
        <v>864</v>
      </c>
      <c r="F37" s="281" t="s">
        <v>16</v>
      </c>
      <c r="G37" s="453"/>
      <c r="H37" s="346"/>
      <c r="I37" s="346"/>
      <c r="J37" s="346"/>
      <c r="K37" s="346"/>
      <c r="L37" s="346"/>
      <c r="M37" s="374"/>
      <c r="N37" s="374"/>
      <c r="O37" s="374"/>
      <c r="P37" s="374"/>
      <c r="Q37" s="374"/>
      <c r="R37" s="374"/>
      <c r="S37" s="374"/>
      <c r="T37" s="374"/>
      <c r="U37" s="374"/>
      <c r="V37" s="374"/>
      <c r="W37" s="374"/>
      <c r="X37" s="374"/>
      <c r="Y37" s="374"/>
      <c r="Z37" s="374"/>
      <c r="AA37" s="374"/>
      <c r="AB37" s="370"/>
      <c r="AC37" s="349"/>
      <c r="AD37" s="362"/>
      <c r="AE37" s="349"/>
      <c r="AF37" s="353"/>
      <c r="AG37" s="47"/>
      <c r="AH37" s="268"/>
      <c r="AI37" s="283"/>
      <c r="AJ37" s="283"/>
      <c r="AK37" s="27"/>
      <c r="AL37" s="283"/>
      <c r="AM37" s="27"/>
      <c r="AN37" s="208"/>
      <c r="AO37" s="27"/>
      <c r="AP37" s="208"/>
      <c r="AQ37" s="27"/>
      <c r="AR37" s="208"/>
      <c r="AS37" s="27"/>
      <c r="AT37" s="208"/>
      <c r="AU37" s="27"/>
      <c r="AV37" s="208"/>
      <c r="AW37" s="27"/>
      <c r="AX37" s="48"/>
      <c r="AY37" s="48"/>
      <c r="AZ37" s="209"/>
      <c r="BA37" s="210"/>
      <c r="BB37" s="21"/>
      <c r="BC37" s="48"/>
      <c r="BD37" s="355"/>
      <c r="BE37" s="355"/>
      <c r="BF37" s="355"/>
      <c r="BG37" s="356"/>
      <c r="BH37" s="346"/>
      <c r="BI37" s="346"/>
      <c r="BJ37" s="346"/>
      <c r="BK37" s="346"/>
      <c r="BL37" s="376"/>
      <c r="BM37" s="376"/>
      <c r="BN37" s="376"/>
      <c r="BO37" s="376"/>
      <c r="BP37" s="376"/>
      <c r="BQ37" s="376"/>
      <c r="BR37" s="404"/>
      <c r="BS37" s="376"/>
      <c r="BT37" s="382"/>
      <c r="BU37" s="382"/>
      <c r="BV37" s="394"/>
      <c r="BW37" s="382"/>
    </row>
    <row r="38" spans="1:75" ht="21.75" customHeight="1" thickBot="1">
      <c r="A38" s="330"/>
      <c r="B38" s="444"/>
      <c r="C38" s="450"/>
      <c r="D38" s="435"/>
      <c r="E38" s="280" t="s">
        <v>865</v>
      </c>
      <c r="F38" s="281" t="s">
        <v>30</v>
      </c>
      <c r="G38" s="453"/>
      <c r="H38" s="347"/>
      <c r="I38" s="347"/>
      <c r="J38" s="347"/>
      <c r="K38" s="347"/>
      <c r="L38" s="347"/>
      <c r="M38" s="374"/>
      <c r="N38" s="374"/>
      <c r="O38" s="374"/>
      <c r="P38" s="374"/>
      <c r="Q38" s="374"/>
      <c r="R38" s="374"/>
      <c r="S38" s="374"/>
      <c r="T38" s="374"/>
      <c r="U38" s="374"/>
      <c r="V38" s="374"/>
      <c r="W38" s="374"/>
      <c r="X38" s="374"/>
      <c r="Y38" s="374"/>
      <c r="Z38" s="374"/>
      <c r="AA38" s="374"/>
      <c r="AB38" s="370"/>
      <c r="AC38" s="350"/>
      <c r="AD38" s="362" t="str">
        <f>+IF(OR(AB38=1,AB38&lt;=5),"Moderado",IF(OR(AB38=6,AB38&lt;=11),"Mayor","Catastrófico"))</f>
        <v>Moderado</v>
      </c>
      <c r="AE38" s="350"/>
      <c r="AF38" s="353"/>
      <c r="AG38" s="101"/>
      <c r="AH38" s="268"/>
      <c r="AI38" s="188"/>
      <c r="AJ38" s="188"/>
      <c r="AK38" s="27"/>
      <c r="AL38" s="283"/>
      <c r="AM38" s="27"/>
      <c r="AN38" s="208"/>
      <c r="AO38" s="27"/>
      <c r="AP38" s="208"/>
      <c r="AQ38" s="27"/>
      <c r="AR38" s="208"/>
      <c r="AS38" s="27"/>
      <c r="AT38" s="208"/>
      <c r="AU38" s="27"/>
      <c r="AV38" s="208"/>
      <c r="AW38" s="27"/>
      <c r="AX38" s="48" t="str">
        <f t="shared" ref="AX38:AX42" si="48">IF((SUM(AK38,AM38,AO38,AQ38,AS38,AU38,AW38)=0),"",(SUM(AK38,AM38,AO38,AQ38,AS38,AU38,AW38)))</f>
        <v/>
      </c>
      <c r="AY38" s="48" t="str">
        <f t="shared" ref="AY38:AY42" si="49">IF(AX38&lt;=85,"Débil",IF(AX38&lt;=95,"Moderado",IF(AX38=100,"Fuerte","")))</f>
        <v/>
      </c>
      <c r="AZ38" s="209"/>
      <c r="BA38" s="210"/>
      <c r="BB38" s="21"/>
      <c r="BC38" s="48"/>
      <c r="BD38" s="356"/>
      <c r="BE38" s="356"/>
      <c r="BF38" s="356"/>
      <c r="BG38" s="145"/>
      <c r="BH38" s="347"/>
      <c r="BI38" s="347"/>
      <c r="BJ38" s="347"/>
      <c r="BK38" s="347"/>
      <c r="BL38" s="377"/>
      <c r="BM38" s="377"/>
      <c r="BN38" s="377"/>
      <c r="BO38" s="377"/>
      <c r="BP38" s="377"/>
      <c r="BQ38" s="377"/>
      <c r="BR38" s="405"/>
      <c r="BS38" s="377"/>
      <c r="BT38" s="383"/>
      <c r="BU38" s="383"/>
      <c r="BV38" s="395"/>
      <c r="BW38" s="383"/>
    </row>
    <row r="39" spans="1:75" ht="180" customHeight="1">
      <c r="A39" s="328">
        <v>11</v>
      </c>
      <c r="B39" s="447" t="s">
        <v>77</v>
      </c>
      <c r="C39" s="380" t="str">
        <f>IFERROR(VLOOKUP(B39,Listados!B$3:C$20,2,FALSE),"")</f>
        <v>Acceso a la Justicia</v>
      </c>
      <c r="D39" s="436" t="s">
        <v>866</v>
      </c>
      <c r="E39" s="237" t="s">
        <v>867</v>
      </c>
      <c r="F39" s="222" t="s">
        <v>16</v>
      </c>
      <c r="G39" s="233" t="s">
        <v>868</v>
      </c>
      <c r="H39" s="430" t="s">
        <v>312</v>
      </c>
      <c r="I39" s="430" t="s">
        <v>312</v>
      </c>
      <c r="J39" s="430" t="s">
        <v>312</v>
      </c>
      <c r="K39" s="430" t="s">
        <v>670</v>
      </c>
      <c r="L39" s="430" t="s">
        <v>312</v>
      </c>
      <c r="M39" s="430" t="s">
        <v>670</v>
      </c>
      <c r="N39" s="430" t="s">
        <v>312</v>
      </c>
      <c r="O39" s="430" t="s">
        <v>312</v>
      </c>
      <c r="P39" s="430" t="s">
        <v>670</v>
      </c>
      <c r="Q39" s="430" t="s">
        <v>312</v>
      </c>
      <c r="R39" s="430" t="s">
        <v>312</v>
      </c>
      <c r="S39" s="430" t="s">
        <v>312</v>
      </c>
      <c r="T39" s="430" t="s">
        <v>312</v>
      </c>
      <c r="U39" s="430" t="s">
        <v>670</v>
      </c>
      <c r="V39" s="430" t="s">
        <v>312</v>
      </c>
      <c r="W39" s="430" t="s">
        <v>670</v>
      </c>
      <c r="X39" s="430" t="s">
        <v>670</v>
      </c>
      <c r="Y39" s="430" t="s">
        <v>670</v>
      </c>
      <c r="Z39" s="412" t="s">
        <v>670</v>
      </c>
      <c r="AA39" s="348">
        <f>COUNTIF(H42:Z42, "SI")</f>
        <v>0</v>
      </c>
      <c r="AB39" s="412" t="s">
        <v>21</v>
      </c>
      <c r="AC39" s="348">
        <f>+VLOOKUP(AB39,Listados!$K$8:$L$12,2,0)</f>
        <v>1</v>
      </c>
      <c r="AD39" s="348" t="str">
        <f>+IF(OR(AA39=1,AA39&lt;=5),"Moderado",IF(OR(AA39=6,AA39&lt;=11),"Mayor","Catastrófico"))</f>
        <v>Moderado</v>
      </c>
      <c r="AE39" s="149"/>
      <c r="AF39" s="345" t="str">
        <f>IF(AND(AB39&lt;&gt;"",AD39&lt;&gt;""),VLOOKUP(AB39&amp;AD39,Listados!$M$3:$N$27,2,FALSE),"")</f>
        <v>Moderado</v>
      </c>
      <c r="AG39" s="255" t="s">
        <v>869</v>
      </c>
      <c r="AH39" s="393" t="s">
        <v>870</v>
      </c>
      <c r="AI39" s="283" t="s">
        <v>20</v>
      </c>
      <c r="AJ39" s="283" t="s">
        <v>116</v>
      </c>
      <c r="AK39" s="27">
        <f t="shared" ref="AK39:AK42" si="50">+IF(AJ39="si",15,"")</f>
        <v>15</v>
      </c>
      <c r="AL39" s="283" t="s">
        <v>116</v>
      </c>
      <c r="AM39" s="27">
        <f t="shared" ref="AM39:AM42" si="51">+IF(AL39="si",15,"")</f>
        <v>15</v>
      </c>
      <c r="AN39" s="208" t="s">
        <v>116</v>
      </c>
      <c r="AO39" s="27">
        <f t="shared" ref="AO39:AO42" si="52">+IF(AN39="si",15,"")</f>
        <v>15</v>
      </c>
      <c r="AP39" s="208" t="s">
        <v>20</v>
      </c>
      <c r="AQ39" s="27">
        <f t="shared" ref="AQ39:AQ42" si="53">+IF(AP39="Preventivo",15,IF(AP39="Detectivo",10,""))</f>
        <v>15</v>
      </c>
      <c r="AR39" s="208" t="s">
        <v>116</v>
      </c>
      <c r="AS39" s="27">
        <f t="shared" ref="AS39:AS42" si="54">+IF(AR39="si",15,"")</f>
        <v>15</v>
      </c>
      <c r="AT39" s="208" t="s">
        <v>116</v>
      </c>
      <c r="AU39" s="27">
        <f t="shared" ref="AU39:AU42" si="55">+IF(AT39="si",15,"")</f>
        <v>15</v>
      </c>
      <c r="AV39" s="208" t="s">
        <v>117</v>
      </c>
      <c r="AW39" s="27">
        <f t="shared" ref="AW39:AW42" si="56">+IF(AV39="Completa",10,IF(AV39="Incompleta",5,""))</f>
        <v>10</v>
      </c>
      <c r="AX39" s="48">
        <f t="shared" si="48"/>
        <v>100</v>
      </c>
      <c r="AY39" s="48" t="str">
        <f t="shared" si="49"/>
        <v>Fuerte</v>
      </c>
      <c r="AZ39" s="209" t="s">
        <v>118</v>
      </c>
      <c r="BA39" s="210" t="str">
        <f t="shared" ref="BA39:BA42" si="57">+IF(AZ39="siempre","Fuerte",IF(AZ39="Algunas veces","Moderado","Débil"))</f>
        <v>Fuerte</v>
      </c>
      <c r="BB39" s="21" t="str">
        <f>IFERROR(VLOOKUP((CONCATENATE(AY39,BA39)),[24]Listados!$U$3:$V$11,2,FALSE),"")</f>
        <v>Fuerte</v>
      </c>
      <c r="BC39" s="48">
        <f t="shared" ref="BC39:BC42" si="58">IF(ISBLANK(BB39),"",IF(BB39="Débil", 0, IF(BB39="Moderado",50,100)))</f>
        <v>100</v>
      </c>
      <c r="BD39" s="384">
        <f>AVERAGE(BC39:BC39)</f>
        <v>100</v>
      </c>
      <c r="BE39" s="384" t="str">
        <f>IF(BD39&lt;=50, "Débil", IF(BD39&lt;=99,"Moderado","Fuerte"))</f>
        <v>Fuerte</v>
      </c>
      <c r="BF39" s="384">
        <f>+IF(BE39="Fuerte",2,IF(BE39="Moderado",1,0))</f>
        <v>2</v>
      </c>
      <c r="BG39" s="384">
        <f>+AC39-BF39</f>
        <v>-1</v>
      </c>
      <c r="BH39" s="380" t="str">
        <f>+VLOOKUP(BG39,Listados!$J$18:$K$24,2,TRUE)</f>
        <v>Rara Vez</v>
      </c>
      <c r="BI39" s="380" t="str">
        <f>IF(ISBLANK(AD39),"",AD39)</f>
        <v>Moderado</v>
      </c>
      <c r="BJ39" s="380" t="str">
        <f>IF(AND(BH39&lt;&gt;"",BI39&lt;&gt;""),VLOOKUP(BH39&amp;BI39,Listados!$M$3:$N$27,2,FALSE),"")</f>
        <v>Moderado</v>
      </c>
      <c r="BK39" s="380" t="str">
        <f>+VLOOKUP(BJ39,Listados!$P$3:$Q$6,2,FALSE)</f>
        <v xml:space="preserve"> Reducir el riesgo</v>
      </c>
      <c r="BL39" s="381" t="s">
        <v>871</v>
      </c>
      <c r="BM39" s="375" t="s">
        <v>754</v>
      </c>
      <c r="BN39" s="387">
        <v>44927</v>
      </c>
      <c r="BO39" s="387">
        <v>45291</v>
      </c>
      <c r="BP39" s="375" t="s">
        <v>872</v>
      </c>
      <c r="BQ39" s="375" t="s">
        <v>873</v>
      </c>
      <c r="BR39" s="406" t="s">
        <v>874</v>
      </c>
      <c r="BS39" s="381" t="s">
        <v>875</v>
      </c>
      <c r="BT39" s="381" t="s">
        <v>875</v>
      </c>
      <c r="BU39" s="393" t="s">
        <v>876</v>
      </c>
      <c r="BV39" s="393" t="s">
        <v>833</v>
      </c>
      <c r="BW39" s="375" t="s">
        <v>877</v>
      </c>
    </row>
    <row r="40" spans="1:75" ht="105">
      <c r="A40" s="329"/>
      <c r="B40" s="448"/>
      <c r="C40" s="364"/>
      <c r="D40" s="438"/>
      <c r="E40" s="237" t="s">
        <v>878</v>
      </c>
      <c r="F40" s="222" t="s">
        <v>30</v>
      </c>
      <c r="G40" s="233" t="s">
        <v>879</v>
      </c>
      <c r="H40" s="431"/>
      <c r="I40" s="431"/>
      <c r="J40" s="431"/>
      <c r="K40" s="431"/>
      <c r="L40" s="431"/>
      <c r="M40" s="431"/>
      <c r="N40" s="431"/>
      <c r="O40" s="431"/>
      <c r="P40" s="431"/>
      <c r="Q40" s="431"/>
      <c r="R40" s="431"/>
      <c r="S40" s="431"/>
      <c r="T40" s="431"/>
      <c r="U40" s="431"/>
      <c r="V40" s="431"/>
      <c r="W40" s="431"/>
      <c r="X40" s="431"/>
      <c r="Y40" s="431"/>
      <c r="Z40" s="429"/>
      <c r="AA40" s="349"/>
      <c r="AB40" s="429"/>
      <c r="AC40" s="349"/>
      <c r="AD40" s="349"/>
      <c r="AE40" s="149"/>
      <c r="AF40" s="346"/>
      <c r="AG40" s="255" t="s">
        <v>880</v>
      </c>
      <c r="AH40" s="394"/>
      <c r="AI40" s="283" t="s">
        <v>20</v>
      </c>
      <c r="AJ40" s="283" t="s">
        <v>116</v>
      </c>
      <c r="AK40" s="27">
        <f t="shared" si="50"/>
        <v>15</v>
      </c>
      <c r="AL40" s="283" t="s">
        <v>116</v>
      </c>
      <c r="AM40" s="27">
        <f t="shared" si="51"/>
        <v>15</v>
      </c>
      <c r="AN40" s="208" t="s">
        <v>116</v>
      </c>
      <c r="AO40" s="27">
        <f t="shared" si="52"/>
        <v>15</v>
      </c>
      <c r="AP40" s="208" t="s">
        <v>20</v>
      </c>
      <c r="AQ40" s="27">
        <f t="shared" si="53"/>
        <v>15</v>
      </c>
      <c r="AR40" s="208" t="s">
        <v>116</v>
      </c>
      <c r="AS40" s="27">
        <f t="shared" si="54"/>
        <v>15</v>
      </c>
      <c r="AT40" s="208" t="s">
        <v>116</v>
      </c>
      <c r="AU40" s="27">
        <f t="shared" si="55"/>
        <v>15</v>
      </c>
      <c r="AV40" s="208" t="s">
        <v>117</v>
      </c>
      <c r="AW40" s="27">
        <f t="shared" si="56"/>
        <v>10</v>
      </c>
      <c r="AX40" s="48">
        <f t="shared" si="48"/>
        <v>100</v>
      </c>
      <c r="AY40" s="48" t="str">
        <f t="shared" si="49"/>
        <v>Fuerte</v>
      </c>
      <c r="AZ40" s="209" t="s">
        <v>118</v>
      </c>
      <c r="BA40" s="210" t="str">
        <f t="shared" si="57"/>
        <v>Fuerte</v>
      </c>
      <c r="BB40" s="21" t="str">
        <f>IFERROR(VLOOKUP((CONCATENATE(AY40,BA40)),[24]Listados!$U$3:$V$11,2,FALSE),"")</f>
        <v>Fuerte</v>
      </c>
      <c r="BC40" s="48">
        <f t="shared" si="58"/>
        <v>100</v>
      </c>
      <c r="BD40" s="385"/>
      <c r="BE40" s="385"/>
      <c r="BF40" s="385"/>
      <c r="BG40" s="385"/>
      <c r="BH40" s="364"/>
      <c r="BI40" s="364"/>
      <c r="BJ40" s="364"/>
      <c r="BK40" s="364"/>
      <c r="BL40" s="382"/>
      <c r="BM40" s="376"/>
      <c r="BN40" s="388"/>
      <c r="BO40" s="388"/>
      <c r="BP40" s="376"/>
      <c r="BQ40" s="376"/>
      <c r="BR40" s="407"/>
      <c r="BS40" s="382"/>
      <c r="BT40" s="382"/>
      <c r="BU40" s="394"/>
      <c r="BV40" s="394"/>
      <c r="BW40" s="376"/>
    </row>
    <row r="41" spans="1:75" ht="105">
      <c r="A41" s="329"/>
      <c r="B41" s="448"/>
      <c r="C41" s="364"/>
      <c r="D41" s="438"/>
      <c r="E41" s="237" t="s">
        <v>881</v>
      </c>
      <c r="F41" s="222" t="s">
        <v>16</v>
      </c>
      <c r="G41" s="233" t="s">
        <v>882</v>
      </c>
      <c r="H41" s="431"/>
      <c r="I41" s="431"/>
      <c r="J41" s="431"/>
      <c r="K41" s="431"/>
      <c r="L41" s="431"/>
      <c r="M41" s="431"/>
      <c r="N41" s="431"/>
      <c r="O41" s="431"/>
      <c r="P41" s="431"/>
      <c r="Q41" s="431"/>
      <c r="R41" s="431"/>
      <c r="S41" s="431"/>
      <c r="T41" s="431"/>
      <c r="U41" s="431"/>
      <c r="V41" s="431"/>
      <c r="W41" s="431"/>
      <c r="X41" s="431"/>
      <c r="Y41" s="431"/>
      <c r="Z41" s="429"/>
      <c r="AA41" s="349"/>
      <c r="AB41" s="429"/>
      <c r="AC41" s="349"/>
      <c r="AD41" s="349"/>
      <c r="AE41" s="149"/>
      <c r="AF41" s="346"/>
      <c r="AG41" s="255" t="s">
        <v>883</v>
      </c>
      <c r="AH41" s="395"/>
      <c r="AI41" s="283" t="s">
        <v>123</v>
      </c>
      <c r="AJ41" s="283" t="s">
        <v>116</v>
      </c>
      <c r="AK41" s="27"/>
      <c r="AL41" s="283" t="s">
        <v>116</v>
      </c>
      <c r="AM41" s="27"/>
      <c r="AN41" s="208" t="s">
        <v>116</v>
      </c>
      <c r="AO41" s="27"/>
      <c r="AP41" s="208" t="s">
        <v>123</v>
      </c>
      <c r="AQ41" s="27"/>
      <c r="AR41" s="208" t="s">
        <v>116</v>
      </c>
      <c r="AS41" s="27"/>
      <c r="AT41" s="208" t="s">
        <v>116</v>
      </c>
      <c r="AU41" s="27"/>
      <c r="AV41" s="208" t="s">
        <v>117</v>
      </c>
      <c r="AW41" s="27"/>
      <c r="AX41" s="48" t="str">
        <f t="shared" ref="AX41" si="59">IF((SUM(AK41,AM41,AO41,AQ41,AS41,AU41,AW41)=0),"",(SUM(AK41,AM41,AO41,AQ41,AS41,AU41,AW41)))</f>
        <v/>
      </c>
      <c r="AY41" s="48" t="str">
        <f t="shared" ref="AY41" si="60">IF(AX41&lt;=85,"Débil",IF(AX41&lt;=95,"Moderado",IF(AX41=100,"Fuerte","")))</f>
        <v/>
      </c>
      <c r="AZ41" s="209" t="s">
        <v>118</v>
      </c>
      <c r="BA41" s="210" t="str">
        <f t="shared" ref="BA41" si="61">+IF(AZ41="siempre","Fuerte",IF(AZ41="Algunas veces","Moderado","Débil"))</f>
        <v>Fuerte</v>
      </c>
      <c r="BB41" s="21" t="str">
        <f>IFERROR(VLOOKUP((CONCATENATE(AY41,BA41)),[24]Listados!$U$3:$V$11,2,FALSE),"")</f>
        <v/>
      </c>
      <c r="BC41" s="48">
        <f t="shared" ref="BC41" si="62">IF(ISBLANK(BB41),"",IF(BB41="Débil", 0, IF(BB41="Moderado",50,100)))</f>
        <v>100</v>
      </c>
      <c r="BD41" s="385"/>
      <c r="BE41" s="385"/>
      <c r="BF41" s="385"/>
      <c r="BG41" s="385"/>
      <c r="BH41" s="364"/>
      <c r="BI41" s="364"/>
      <c r="BJ41" s="364"/>
      <c r="BK41" s="364"/>
      <c r="BL41" s="382"/>
      <c r="BM41" s="376"/>
      <c r="BN41" s="388"/>
      <c r="BO41" s="388"/>
      <c r="BP41" s="376"/>
      <c r="BQ41" s="376"/>
      <c r="BR41" s="407"/>
      <c r="BS41" s="382"/>
      <c r="BT41" s="382"/>
      <c r="BU41" s="394"/>
      <c r="BV41" s="394"/>
      <c r="BW41" s="376"/>
    </row>
    <row r="42" spans="1:75" ht="105.75" thickBot="1">
      <c r="A42" s="330"/>
      <c r="B42" s="449"/>
      <c r="C42" s="378"/>
      <c r="D42" s="439"/>
      <c r="E42" s="237" t="s">
        <v>881</v>
      </c>
      <c r="F42" s="222" t="s">
        <v>16</v>
      </c>
      <c r="G42" s="233" t="s">
        <v>882</v>
      </c>
      <c r="H42" s="410"/>
      <c r="I42" s="410"/>
      <c r="J42" s="410"/>
      <c r="K42" s="410"/>
      <c r="L42" s="410"/>
      <c r="M42" s="410"/>
      <c r="N42" s="410"/>
      <c r="O42" s="410"/>
      <c r="P42" s="410"/>
      <c r="Q42" s="410"/>
      <c r="R42" s="410"/>
      <c r="S42" s="410"/>
      <c r="T42" s="410"/>
      <c r="U42" s="410"/>
      <c r="V42" s="410"/>
      <c r="W42" s="410"/>
      <c r="X42" s="410"/>
      <c r="Y42" s="410"/>
      <c r="Z42" s="369"/>
      <c r="AA42" s="350"/>
      <c r="AB42" s="369"/>
      <c r="AC42" s="350"/>
      <c r="AD42" s="350"/>
      <c r="AE42" s="172" t="e">
        <f>+VLOOKUP(AD39,Listados!K79:L83,2,0)</f>
        <v>#N/A</v>
      </c>
      <c r="AF42" s="347"/>
      <c r="AG42" s="255" t="s">
        <v>884</v>
      </c>
      <c r="AH42" s="237" t="s">
        <v>885</v>
      </c>
      <c r="AI42" s="283" t="s">
        <v>34</v>
      </c>
      <c r="AJ42" s="283" t="s">
        <v>116</v>
      </c>
      <c r="AK42" s="27">
        <f t="shared" si="50"/>
        <v>15</v>
      </c>
      <c r="AL42" s="283" t="s">
        <v>116</v>
      </c>
      <c r="AM42" s="27">
        <f t="shared" si="51"/>
        <v>15</v>
      </c>
      <c r="AN42" s="208" t="s">
        <v>116</v>
      </c>
      <c r="AO42" s="27">
        <f t="shared" si="52"/>
        <v>15</v>
      </c>
      <c r="AP42" s="208" t="s">
        <v>123</v>
      </c>
      <c r="AQ42" s="27">
        <f t="shared" si="53"/>
        <v>10</v>
      </c>
      <c r="AR42" s="208" t="s">
        <v>116</v>
      </c>
      <c r="AS42" s="27">
        <f t="shared" si="54"/>
        <v>15</v>
      </c>
      <c r="AT42" s="208" t="s">
        <v>116</v>
      </c>
      <c r="AU42" s="27">
        <f t="shared" si="55"/>
        <v>15</v>
      </c>
      <c r="AV42" s="208" t="s">
        <v>117</v>
      </c>
      <c r="AW42" s="27">
        <f t="shared" si="56"/>
        <v>10</v>
      </c>
      <c r="AX42" s="48">
        <f t="shared" si="48"/>
        <v>95</v>
      </c>
      <c r="AY42" s="48" t="str">
        <f t="shared" si="49"/>
        <v>Moderado</v>
      </c>
      <c r="AZ42" s="209" t="s">
        <v>118</v>
      </c>
      <c r="BA42" s="210" t="str">
        <f t="shared" si="57"/>
        <v>Fuerte</v>
      </c>
      <c r="BB42" s="21" t="str">
        <f>IFERROR(VLOOKUP((CONCATENATE(AY42,BA42)),[24]Listados!$U$3:$V$11,2,FALSE),"")</f>
        <v>Moderado</v>
      </c>
      <c r="BC42" s="48">
        <f t="shared" si="58"/>
        <v>50</v>
      </c>
      <c r="BD42" s="386"/>
      <c r="BE42" s="386"/>
      <c r="BF42" s="386"/>
      <c r="BG42" s="386"/>
      <c r="BH42" s="378"/>
      <c r="BI42" s="378"/>
      <c r="BJ42" s="378"/>
      <c r="BK42" s="378"/>
      <c r="BL42" s="383"/>
      <c r="BM42" s="377"/>
      <c r="BN42" s="389"/>
      <c r="BO42" s="389"/>
      <c r="BP42" s="377"/>
      <c r="BQ42" s="377"/>
      <c r="BR42" s="408"/>
      <c r="BS42" s="383"/>
      <c r="BT42" s="383"/>
      <c r="BU42" s="395"/>
      <c r="BV42" s="395"/>
      <c r="BW42" s="377"/>
    </row>
    <row r="43" spans="1:75" ht="125.25" customHeight="1">
      <c r="A43" s="328">
        <v>12</v>
      </c>
      <c r="B43" s="444" t="s">
        <v>101</v>
      </c>
      <c r="C43" s="379" t="str">
        <f>IFERROR(VLOOKUP(B43,Listados!B$3:C$20,2,FALSE),"")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43" s="435" t="s">
        <v>886</v>
      </c>
      <c r="E43" s="237" t="s">
        <v>885</v>
      </c>
      <c r="F43" s="208" t="s">
        <v>887</v>
      </c>
      <c r="G43" s="367" t="s">
        <v>888</v>
      </c>
      <c r="H43" s="374" t="s">
        <v>312</v>
      </c>
      <c r="I43" s="374" t="s">
        <v>312</v>
      </c>
      <c r="J43" s="374" t="s">
        <v>670</v>
      </c>
      <c r="K43" s="374" t="s">
        <v>670</v>
      </c>
      <c r="L43" s="374" t="s">
        <v>312</v>
      </c>
      <c r="M43" s="374" t="s">
        <v>120</v>
      </c>
      <c r="N43" s="374" t="s">
        <v>116</v>
      </c>
      <c r="O43" s="374" t="s">
        <v>670</v>
      </c>
      <c r="P43" s="374" t="s">
        <v>312</v>
      </c>
      <c r="Q43" s="374" t="s">
        <v>312</v>
      </c>
      <c r="R43" s="374" t="s">
        <v>312</v>
      </c>
      <c r="S43" s="374" t="s">
        <v>312</v>
      </c>
      <c r="T43" s="374" t="s">
        <v>116</v>
      </c>
      <c r="U43" s="374" t="s">
        <v>312</v>
      </c>
      <c r="V43" s="374" t="s">
        <v>312</v>
      </c>
      <c r="W43" s="410" t="s">
        <v>670</v>
      </c>
      <c r="X43" s="410" t="s">
        <v>670</v>
      </c>
      <c r="Y43" s="410" t="s">
        <v>670</v>
      </c>
      <c r="Z43" s="369" t="s">
        <v>670</v>
      </c>
      <c r="AA43" s="350">
        <f>COUNTIF(H43:Z45, "SI")</f>
        <v>11</v>
      </c>
      <c r="AB43" s="369" t="s">
        <v>889</v>
      </c>
      <c r="AC43" s="348">
        <f>+VLOOKUP(AB43,Listados!$K$8:$L$12,2,0)</f>
        <v>4</v>
      </c>
      <c r="AD43" s="350" t="str">
        <f>+IF(OR(AA43=1,AA43&lt;=5),"Moderado",IF(OR(AA43=6,AA43&lt;=11),"Mayor","Catastrófico"))</f>
        <v>Mayor</v>
      </c>
      <c r="AE43" s="348" t="e">
        <f>+VLOOKUP(AD43,Listados!K85:L89,2,0)</f>
        <v>#N/A</v>
      </c>
      <c r="AF43" s="347" t="str">
        <f>IF(AND(AB43&lt;&gt;"",AD43&lt;&gt;""),VLOOKUP(AB43&amp;AD43,Listados!$M$3:$N$27,2,FALSE),"")</f>
        <v>Extremo</v>
      </c>
      <c r="AG43" s="240" t="s">
        <v>890</v>
      </c>
      <c r="AH43" s="237" t="s">
        <v>891</v>
      </c>
      <c r="AI43" s="249" t="s">
        <v>20</v>
      </c>
      <c r="AJ43" s="245" t="s">
        <v>116</v>
      </c>
      <c r="AK43" s="142">
        <f t="shared" ref="AK43:AK47" si="63">+IF(AJ43="si",15,"")</f>
        <v>15</v>
      </c>
      <c r="AL43" s="245" t="s">
        <v>312</v>
      </c>
      <c r="AM43" s="142">
        <f t="shared" ref="AM43:AM47" si="64">+IF(AL43="si",15,"")</f>
        <v>15</v>
      </c>
      <c r="AN43" s="245" t="s">
        <v>312</v>
      </c>
      <c r="AO43" s="142">
        <f t="shared" ref="AO43:AO47" si="65">+IF(AN43="si",15,"")</f>
        <v>15</v>
      </c>
      <c r="AP43" s="208" t="s">
        <v>20</v>
      </c>
      <c r="AQ43" s="142" t="str">
        <f t="shared" ref="AQ43:AQ47" si="66">+IF(AP43="si",15,"")</f>
        <v/>
      </c>
      <c r="AR43" s="245" t="s">
        <v>312</v>
      </c>
      <c r="AS43" s="142">
        <f t="shared" ref="AS43:AS47" si="67">+IF(AR43="si",15,"")</f>
        <v>15</v>
      </c>
      <c r="AT43" s="245" t="s">
        <v>312</v>
      </c>
      <c r="AU43" s="142">
        <f t="shared" ref="AU43:AU47" si="68">+IF(AT43="si",15,"")</f>
        <v>15</v>
      </c>
      <c r="AV43" s="245" t="s">
        <v>117</v>
      </c>
      <c r="AW43" s="142">
        <f t="shared" ref="AW43:AW61" si="69">+IF(AV43="Completa",10,IF(AV43="Incompleta",5,""))</f>
        <v>10</v>
      </c>
      <c r="AX43" s="21">
        <f t="shared" ref="AX43:AX61" si="70">IF((SUM(AK43,AM43,AO43,AQ43,AS43,AU43,AW43)=0),"",(SUM(AK43,AM43,AO43,AQ43,AS43,AU43,AW43)))</f>
        <v>85</v>
      </c>
      <c r="AY43" s="21" t="str">
        <f t="shared" ref="AY43:AY61" si="71">IF(AX43&lt;=85,"Débil",IF(AX43&lt;=95,"Moderado",IF(AX43=100,"Fuerte","")))</f>
        <v>Débil</v>
      </c>
      <c r="AZ43" s="209" t="s">
        <v>118</v>
      </c>
      <c r="BA43" s="210" t="str">
        <f t="shared" ref="BA43:BA61" si="72">+IF(AZ43="siempre","Fuerte",IF(AZ43="Algunas veces","Moderado","Débil"))</f>
        <v>Fuerte</v>
      </c>
      <c r="BB43" s="21" t="str">
        <f>IFERROR(VLOOKUP((CONCATENATE(AY43,BA43)),Listados!$U$3:$V$11,2,FALSE),"")</f>
        <v>Débil</v>
      </c>
      <c r="BC43" s="21">
        <f t="shared" ref="BC43:BC61" si="73">IF(ISBLANK(BB43),"",IF(BB43="Débil", 0, IF(BB43="Moderado",50,100)))</f>
        <v>0</v>
      </c>
      <c r="BD43" s="384">
        <f>AVERAGE(BC43:BC45)</f>
        <v>0</v>
      </c>
      <c r="BE43" s="386" t="str">
        <f>IF(BD43&lt;=50, "Débil", IF(BD43&lt;=99,"Moderado","Fuerte"))</f>
        <v>Débil</v>
      </c>
      <c r="BF43" s="384">
        <f>+IF(BE43="Fuerte",2,IF(BE43="Moderado",1,0))</f>
        <v>0</v>
      </c>
      <c r="BG43" s="384">
        <f>+AC43-BF43</f>
        <v>4</v>
      </c>
      <c r="BH43" s="380" t="str">
        <f>+VLOOKUP(BG43,Listados!$J$18:$K$24,2,TRUE)</f>
        <v>Probable</v>
      </c>
      <c r="BI43" s="378" t="str">
        <f>IF(ISBLANK(AD43),"",AD43)</f>
        <v>Mayor</v>
      </c>
      <c r="BJ43" s="380" t="str">
        <f>IF(AND(BH43&lt;&gt;"",BI43&lt;&gt;""),VLOOKUP(BH43&amp;BI43,Listados!$M$3:$N$27,2,FALSE),"")</f>
        <v>Extremo</v>
      </c>
      <c r="BK43" s="427" t="str">
        <f>+VLOOKUP(BJ43,Listados!$P$3:$Q$6,2,FALSE)</f>
        <v>Evitar el riesgo</v>
      </c>
      <c r="BL43" s="390" t="s">
        <v>892</v>
      </c>
      <c r="BM43" s="375" t="s">
        <v>893</v>
      </c>
      <c r="BN43" s="387">
        <v>44927</v>
      </c>
      <c r="BO43" s="387">
        <v>45291</v>
      </c>
      <c r="BP43" s="375" t="s">
        <v>894</v>
      </c>
      <c r="BQ43" s="375" t="s">
        <v>895</v>
      </c>
      <c r="BR43" s="475" t="s">
        <v>896</v>
      </c>
      <c r="BS43" s="411" t="s">
        <v>897</v>
      </c>
      <c r="BT43" s="411" t="s">
        <v>898</v>
      </c>
      <c r="BU43" s="411" t="s">
        <v>899</v>
      </c>
      <c r="BV43" s="400" t="s">
        <v>786</v>
      </c>
      <c r="BW43" s="396" t="s">
        <v>900</v>
      </c>
    </row>
    <row r="44" spans="1:75" ht="125.25" customHeight="1">
      <c r="A44" s="329"/>
      <c r="B44" s="444"/>
      <c r="C44" s="379"/>
      <c r="D44" s="435"/>
      <c r="E44" s="237" t="s">
        <v>891</v>
      </c>
      <c r="F44" s="208" t="s">
        <v>887</v>
      </c>
      <c r="G44" s="367"/>
      <c r="H44" s="374"/>
      <c r="I44" s="374"/>
      <c r="J44" s="374"/>
      <c r="K44" s="374"/>
      <c r="L44" s="374"/>
      <c r="M44" s="374"/>
      <c r="N44" s="374"/>
      <c r="O44" s="374"/>
      <c r="P44" s="374"/>
      <c r="Q44" s="374"/>
      <c r="R44" s="374"/>
      <c r="S44" s="374"/>
      <c r="T44" s="374"/>
      <c r="U44" s="374"/>
      <c r="V44" s="374"/>
      <c r="W44" s="374"/>
      <c r="X44" s="374"/>
      <c r="Y44" s="374"/>
      <c r="Z44" s="370"/>
      <c r="AA44" s="362"/>
      <c r="AB44" s="370"/>
      <c r="AC44" s="349"/>
      <c r="AD44" s="362" t="str">
        <f>+IF(OR(AB44=1,AB44&lt;=5),"Moderado",IF(OR(AB44=6,AB44&lt;=11),"Mayor","Catastrófico"))</f>
        <v>Moderado</v>
      </c>
      <c r="AE44" s="349"/>
      <c r="AF44" s="353"/>
      <c r="AG44" s="240" t="s">
        <v>901</v>
      </c>
      <c r="AH44" s="237" t="s">
        <v>902</v>
      </c>
      <c r="AI44" s="249" t="s">
        <v>20</v>
      </c>
      <c r="AJ44" s="245" t="s">
        <v>116</v>
      </c>
      <c r="AK44" s="142">
        <f t="shared" si="63"/>
        <v>15</v>
      </c>
      <c r="AL44" s="245" t="s">
        <v>312</v>
      </c>
      <c r="AM44" s="142">
        <f t="shared" si="64"/>
        <v>15</v>
      </c>
      <c r="AN44" s="245" t="s">
        <v>312</v>
      </c>
      <c r="AO44" s="142">
        <f t="shared" si="65"/>
        <v>15</v>
      </c>
      <c r="AP44" s="208" t="s">
        <v>20</v>
      </c>
      <c r="AQ44" s="142" t="str">
        <f t="shared" si="66"/>
        <v/>
      </c>
      <c r="AR44" s="245" t="s">
        <v>312</v>
      </c>
      <c r="AS44" s="142">
        <f t="shared" si="67"/>
        <v>15</v>
      </c>
      <c r="AT44" s="245" t="s">
        <v>312</v>
      </c>
      <c r="AU44" s="142">
        <f t="shared" si="68"/>
        <v>15</v>
      </c>
      <c r="AV44" s="245" t="s">
        <v>117</v>
      </c>
      <c r="AW44" s="142">
        <f t="shared" si="69"/>
        <v>10</v>
      </c>
      <c r="AX44" s="21">
        <f t="shared" si="70"/>
        <v>85</v>
      </c>
      <c r="AY44" s="21" t="str">
        <f t="shared" si="71"/>
        <v>Débil</v>
      </c>
      <c r="AZ44" s="209" t="s">
        <v>118</v>
      </c>
      <c r="BA44" s="210" t="str">
        <f t="shared" si="72"/>
        <v>Fuerte</v>
      </c>
      <c r="BB44" s="21" t="str">
        <f>IFERROR(VLOOKUP((CONCATENATE(AY44,BA44)),Listados!$U$3:$V$11,2,FALSE),"")</f>
        <v>Débil</v>
      </c>
      <c r="BC44" s="21">
        <f t="shared" si="73"/>
        <v>0</v>
      </c>
      <c r="BD44" s="385"/>
      <c r="BE44" s="413"/>
      <c r="BF44" s="385"/>
      <c r="BG44" s="385"/>
      <c r="BH44" s="364"/>
      <c r="BI44" s="379"/>
      <c r="BJ44" s="364"/>
      <c r="BK44" s="428"/>
      <c r="BL44" s="391"/>
      <c r="BM44" s="376"/>
      <c r="BN44" s="388"/>
      <c r="BO44" s="388"/>
      <c r="BP44" s="376"/>
      <c r="BQ44" s="376"/>
      <c r="BR44" s="475"/>
      <c r="BS44" s="411"/>
      <c r="BT44" s="411"/>
      <c r="BU44" s="411"/>
      <c r="BV44" s="400"/>
      <c r="BW44" s="396"/>
    </row>
    <row r="45" spans="1:75" ht="125.25" customHeight="1" thickBot="1">
      <c r="A45" s="329"/>
      <c r="B45" s="444"/>
      <c r="C45" s="379"/>
      <c r="D45" s="435"/>
      <c r="E45" s="237" t="s">
        <v>902</v>
      </c>
      <c r="F45" s="208" t="s">
        <v>30</v>
      </c>
      <c r="G45" s="367"/>
      <c r="H45" s="374"/>
      <c r="I45" s="374"/>
      <c r="J45" s="374"/>
      <c r="K45" s="374"/>
      <c r="L45" s="374"/>
      <c r="M45" s="374"/>
      <c r="N45" s="374"/>
      <c r="O45" s="374"/>
      <c r="P45" s="374"/>
      <c r="Q45" s="374"/>
      <c r="R45" s="374"/>
      <c r="S45" s="374"/>
      <c r="T45" s="374"/>
      <c r="U45" s="374"/>
      <c r="V45" s="374"/>
      <c r="W45" s="374"/>
      <c r="X45" s="374"/>
      <c r="Y45" s="374"/>
      <c r="Z45" s="370"/>
      <c r="AA45" s="362"/>
      <c r="AB45" s="370"/>
      <c r="AC45" s="349"/>
      <c r="AD45" s="362" t="str">
        <f>+IF(OR(AB45=1,AB45&lt;=5),"Moderado",IF(OR(AB45=6,AB45&lt;=11),"Mayor","Catastrófico"))</f>
        <v>Moderado</v>
      </c>
      <c r="AE45" s="349"/>
      <c r="AF45" s="353"/>
      <c r="AG45" s="186" t="s">
        <v>903</v>
      </c>
      <c r="AH45" s="237" t="s">
        <v>885</v>
      </c>
      <c r="AI45" s="249" t="s">
        <v>20</v>
      </c>
      <c r="AJ45" s="245" t="s">
        <v>116</v>
      </c>
      <c r="AK45" s="142">
        <f t="shared" si="63"/>
        <v>15</v>
      </c>
      <c r="AL45" s="245" t="s">
        <v>312</v>
      </c>
      <c r="AM45" s="142">
        <f t="shared" si="64"/>
        <v>15</v>
      </c>
      <c r="AN45" s="245" t="s">
        <v>312</v>
      </c>
      <c r="AO45" s="142">
        <f t="shared" si="65"/>
        <v>15</v>
      </c>
      <c r="AP45" s="208" t="s">
        <v>20</v>
      </c>
      <c r="AQ45" s="142" t="str">
        <f t="shared" si="66"/>
        <v/>
      </c>
      <c r="AR45" s="245" t="s">
        <v>312</v>
      </c>
      <c r="AS45" s="142">
        <f t="shared" si="67"/>
        <v>15</v>
      </c>
      <c r="AT45" s="245" t="s">
        <v>312</v>
      </c>
      <c r="AU45" s="142">
        <f t="shared" si="68"/>
        <v>15</v>
      </c>
      <c r="AV45" s="245" t="s">
        <v>117</v>
      </c>
      <c r="AW45" s="142">
        <f t="shared" si="69"/>
        <v>10</v>
      </c>
      <c r="AX45" s="21">
        <f t="shared" si="70"/>
        <v>85</v>
      </c>
      <c r="AY45" s="21" t="str">
        <f t="shared" si="71"/>
        <v>Débil</v>
      </c>
      <c r="AZ45" s="209" t="s">
        <v>118</v>
      </c>
      <c r="BA45" s="210" t="str">
        <f t="shared" si="72"/>
        <v>Fuerte</v>
      </c>
      <c r="BB45" s="21" t="str">
        <f>IFERROR(VLOOKUP((CONCATENATE(AY45,BA45)),Listados!$U$3:$V$11,2,FALSE),"")</f>
        <v>Débil</v>
      </c>
      <c r="BC45" s="21">
        <f t="shared" si="73"/>
        <v>0</v>
      </c>
      <c r="BD45" s="385"/>
      <c r="BE45" s="413"/>
      <c r="BF45" s="385"/>
      <c r="BG45" s="385"/>
      <c r="BH45" s="364"/>
      <c r="BI45" s="379"/>
      <c r="BJ45" s="364"/>
      <c r="BK45" s="428"/>
      <c r="BL45" s="392"/>
      <c r="BM45" s="377"/>
      <c r="BN45" s="389"/>
      <c r="BO45" s="389"/>
      <c r="BP45" s="377"/>
      <c r="BQ45" s="377"/>
      <c r="BR45" s="475"/>
      <c r="BS45" s="411"/>
      <c r="BT45" s="411"/>
      <c r="BU45" s="411"/>
      <c r="BV45" s="400"/>
      <c r="BW45" s="396"/>
    </row>
    <row r="46" spans="1:75" ht="90.75" customHeight="1">
      <c r="A46" s="328">
        <v>13</v>
      </c>
      <c r="B46" s="444" t="s">
        <v>101</v>
      </c>
      <c r="C46" s="379" t="str">
        <f>IFERROR(VLOOKUP(B46,Listados!B$3:C$20,2,FALSE),"")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46" s="435" t="s">
        <v>904</v>
      </c>
      <c r="E46" s="260" t="s">
        <v>905</v>
      </c>
      <c r="F46" s="190" t="s">
        <v>30</v>
      </c>
      <c r="G46" s="367" t="s">
        <v>888</v>
      </c>
      <c r="H46" s="374" t="s">
        <v>116</v>
      </c>
      <c r="I46" s="374" t="s">
        <v>116</v>
      </c>
      <c r="J46" s="374" t="s">
        <v>670</v>
      </c>
      <c r="K46" s="374" t="s">
        <v>120</v>
      </c>
      <c r="L46" s="374" t="s">
        <v>116</v>
      </c>
      <c r="M46" s="374" t="s">
        <v>120</v>
      </c>
      <c r="N46" s="374" t="s">
        <v>116</v>
      </c>
      <c r="O46" s="374" t="s">
        <v>120</v>
      </c>
      <c r="P46" s="374" t="s">
        <v>116</v>
      </c>
      <c r="Q46" s="374" t="s">
        <v>116</v>
      </c>
      <c r="R46" s="374" t="s">
        <v>116</v>
      </c>
      <c r="S46" s="374" t="s">
        <v>116</v>
      </c>
      <c r="T46" s="374" t="s">
        <v>116</v>
      </c>
      <c r="U46" s="374" t="s">
        <v>116</v>
      </c>
      <c r="V46" s="374" t="s">
        <v>116</v>
      </c>
      <c r="W46" s="410" t="s">
        <v>120</v>
      </c>
      <c r="X46" s="410" t="s">
        <v>120</v>
      </c>
      <c r="Y46" s="410" t="s">
        <v>120</v>
      </c>
      <c r="Z46" s="369" t="s">
        <v>120</v>
      </c>
      <c r="AA46" s="350">
        <f>COUNTIF(H46:Z48, "SI")</f>
        <v>11</v>
      </c>
      <c r="AB46" s="369" t="s">
        <v>44</v>
      </c>
      <c r="AC46" s="348">
        <f>+VLOOKUP(AB46,Listados!$K$8:$L$12,2,0)</f>
        <v>3</v>
      </c>
      <c r="AD46" s="350" t="str">
        <f>+IF(OR(AA46=1,AA46&lt;=5),"Moderado",IF(OR(AA46=6,AA46&lt;=11),"Mayor","Catastrófico"))</f>
        <v>Mayor</v>
      </c>
      <c r="AE46" s="348" t="e">
        <f>+VLOOKUP(AD46,Listados!K91:L95,2,0)</f>
        <v>#N/A</v>
      </c>
      <c r="AF46" s="347" t="str">
        <f>IF(AND(AB46&lt;&gt;"",AD46&lt;&gt;""),VLOOKUP(AB46&amp;AD46,Listados!$M$3:$N$27,2,FALSE),"")</f>
        <v>Extremo</v>
      </c>
      <c r="AG46" s="280" t="s">
        <v>906</v>
      </c>
      <c r="AH46" s="237" t="s">
        <v>907</v>
      </c>
      <c r="AI46" s="249" t="s">
        <v>20</v>
      </c>
      <c r="AJ46" s="245" t="s">
        <v>116</v>
      </c>
      <c r="AK46" s="142">
        <f t="shared" si="63"/>
        <v>15</v>
      </c>
      <c r="AL46" s="245" t="s">
        <v>312</v>
      </c>
      <c r="AM46" s="142">
        <f t="shared" si="64"/>
        <v>15</v>
      </c>
      <c r="AN46" s="245" t="s">
        <v>312</v>
      </c>
      <c r="AO46" s="142">
        <f t="shared" si="65"/>
        <v>15</v>
      </c>
      <c r="AP46" s="208" t="s">
        <v>20</v>
      </c>
      <c r="AQ46" s="142" t="str">
        <f t="shared" si="66"/>
        <v/>
      </c>
      <c r="AR46" s="245" t="s">
        <v>312</v>
      </c>
      <c r="AS46" s="142">
        <f t="shared" si="67"/>
        <v>15</v>
      </c>
      <c r="AT46" s="245" t="s">
        <v>312</v>
      </c>
      <c r="AU46" s="142">
        <f t="shared" si="68"/>
        <v>15</v>
      </c>
      <c r="AV46" s="245" t="s">
        <v>117</v>
      </c>
      <c r="AW46" s="142">
        <f t="shared" si="69"/>
        <v>10</v>
      </c>
      <c r="AX46" s="21">
        <f t="shared" si="70"/>
        <v>85</v>
      </c>
      <c r="AY46" s="21" t="str">
        <f t="shared" si="71"/>
        <v>Débil</v>
      </c>
      <c r="AZ46" s="209" t="s">
        <v>118</v>
      </c>
      <c r="BA46" s="210" t="str">
        <f t="shared" si="72"/>
        <v>Fuerte</v>
      </c>
      <c r="BB46" s="21" t="str">
        <f>IFERROR(VLOOKUP((CONCATENATE(AY46,BA46)),Listados!$U$3:$V$11,2,FALSE),"")</f>
        <v>Débil</v>
      </c>
      <c r="BC46" s="21">
        <f t="shared" si="73"/>
        <v>0</v>
      </c>
      <c r="BD46" s="384">
        <f>AVERAGE(BC46:BC48)</f>
        <v>0</v>
      </c>
      <c r="BE46" s="386" t="str">
        <f>IF(BD46&lt;=50, "Débil", IF(BD46&lt;=99,"Moderado","Fuerte"))</f>
        <v>Débil</v>
      </c>
      <c r="BF46" s="384">
        <f>+IF(BE46="Fuerte",2,IF(BE46="Moderado",1,0))</f>
        <v>0</v>
      </c>
      <c r="BG46" s="384">
        <f>+AC46-BF46</f>
        <v>3</v>
      </c>
      <c r="BH46" s="380" t="str">
        <f>+VLOOKUP(BG46,Listados!$J$18:$K$24,2,TRUE)</f>
        <v>Posible</v>
      </c>
      <c r="BI46" s="378" t="str">
        <f>IF(ISBLANK(AD46),"",AD46)</f>
        <v>Mayor</v>
      </c>
      <c r="BJ46" s="380" t="str">
        <f>IF(AND(BH46&lt;&gt;"",BI46&lt;&gt;""),VLOOKUP(BH46&amp;BI46,Listados!$M$3:$N$27,2,FALSE),"")</f>
        <v>Extremo</v>
      </c>
      <c r="BK46" s="427" t="str">
        <f>+VLOOKUP(BJ46,Listados!$P$3:$Q$6,2,FALSE)</f>
        <v>Evitar el riesgo</v>
      </c>
      <c r="BL46" s="375" t="s">
        <v>908</v>
      </c>
      <c r="BM46" s="375" t="s">
        <v>909</v>
      </c>
      <c r="BN46" s="387">
        <v>44927</v>
      </c>
      <c r="BO46" s="387">
        <v>45291</v>
      </c>
      <c r="BP46" s="375" t="s">
        <v>894</v>
      </c>
      <c r="BQ46" s="375" t="s">
        <v>910</v>
      </c>
      <c r="BR46" s="475" t="s">
        <v>911</v>
      </c>
      <c r="BS46" s="411" t="s">
        <v>912</v>
      </c>
      <c r="BT46" s="398" t="s">
        <v>913</v>
      </c>
      <c r="BU46" s="400" t="s">
        <v>914</v>
      </c>
      <c r="BV46" s="400" t="s">
        <v>915</v>
      </c>
      <c r="BW46" s="396" t="s">
        <v>916</v>
      </c>
    </row>
    <row r="47" spans="1:75" ht="84" customHeight="1">
      <c r="A47" s="329"/>
      <c r="B47" s="444"/>
      <c r="C47" s="379"/>
      <c r="D47" s="435"/>
      <c r="E47" s="260" t="s">
        <v>907</v>
      </c>
      <c r="F47" s="222" t="s">
        <v>16</v>
      </c>
      <c r="G47" s="367"/>
      <c r="H47" s="374"/>
      <c r="I47" s="374"/>
      <c r="J47" s="374"/>
      <c r="K47" s="374"/>
      <c r="L47" s="374"/>
      <c r="M47" s="374"/>
      <c r="N47" s="374"/>
      <c r="O47" s="374"/>
      <c r="P47" s="374"/>
      <c r="Q47" s="374"/>
      <c r="R47" s="374"/>
      <c r="S47" s="374"/>
      <c r="T47" s="374"/>
      <c r="U47" s="374"/>
      <c r="V47" s="374"/>
      <c r="W47" s="374"/>
      <c r="X47" s="374"/>
      <c r="Y47" s="374"/>
      <c r="Z47" s="370"/>
      <c r="AA47" s="362"/>
      <c r="AB47" s="370"/>
      <c r="AC47" s="349"/>
      <c r="AD47" s="362" t="str">
        <f>+IF(OR(AB47=1,AB47&lt;=5),"Moderado",IF(OR(AB47=6,AB47&lt;=11),"Mayor","Catastrófico"))</f>
        <v>Moderado</v>
      </c>
      <c r="AE47" s="349"/>
      <c r="AF47" s="353"/>
      <c r="AG47" s="306" t="s">
        <v>917</v>
      </c>
      <c r="AH47" s="237" t="s">
        <v>905</v>
      </c>
      <c r="AI47" s="249" t="s">
        <v>123</v>
      </c>
      <c r="AJ47" s="245" t="s">
        <v>116</v>
      </c>
      <c r="AK47" s="142">
        <f t="shared" si="63"/>
        <v>15</v>
      </c>
      <c r="AL47" s="245" t="s">
        <v>312</v>
      </c>
      <c r="AM47" s="142">
        <f t="shared" si="64"/>
        <v>15</v>
      </c>
      <c r="AN47" s="245" t="s">
        <v>312</v>
      </c>
      <c r="AO47" s="142">
        <f t="shared" si="65"/>
        <v>15</v>
      </c>
      <c r="AP47" s="208" t="s">
        <v>20</v>
      </c>
      <c r="AQ47" s="142" t="str">
        <f t="shared" si="66"/>
        <v/>
      </c>
      <c r="AR47" s="245" t="s">
        <v>312</v>
      </c>
      <c r="AS47" s="142">
        <f t="shared" si="67"/>
        <v>15</v>
      </c>
      <c r="AT47" s="245" t="s">
        <v>312</v>
      </c>
      <c r="AU47" s="142">
        <f t="shared" si="68"/>
        <v>15</v>
      </c>
      <c r="AV47" s="245" t="s">
        <v>117</v>
      </c>
      <c r="AW47" s="142">
        <f t="shared" si="69"/>
        <v>10</v>
      </c>
      <c r="AX47" s="21">
        <f t="shared" si="70"/>
        <v>85</v>
      </c>
      <c r="AY47" s="21" t="str">
        <f t="shared" si="71"/>
        <v>Débil</v>
      </c>
      <c r="AZ47" s="209" t="s">
        <v>118</v>
      </c>
      <c r="BA47" s="210" t="str">
        <f t="shared" si="72"/>
        <v>Fuerte</v>
      </c>
      <c r="BB47" s="21" t="str">
        <f>IFERROR(VLOOKUP((CONCATENATE(AY47,BA47)),Listados!$U$3:$V$11,2,FALSE),"")</f>
        <v>Débil</v>
      </c>
      <c r="BC47" s="21">
        <f t="shared" si="73"/>
        <v>0</v>
      </c>
      <c r="BD47" s="385"/>
      <c r="BE47" s="413"/>
      <c r="BF47" s="385"/>
      <c r="BG47" s="385"/>
      <c r="BH47" s="364"/>
      <c r="BI47" s="379"/>
      <c r="BJ47" s="364"/>
      <c r="BK47" s="428"/>
      <c r="BL47" s="376"/>
      <c r="BM47" s="376"/>
      <c r="BN47" s="388"/>
      <c r="BO47" s="388"/>
      <c r="BP47" s="376"/>
      <c r="BQ47" s="376"/>
      <c r="BR47" s="475"/>
      <c r="BS47" s="411"/>
      <c r="BT47" s="399"/>
      <c r="BU47" s="400"/>
      <c r="BV47" s="400"/>
      <c r="BW47" s="396"/>
    </row>
    <row r="48" spans="1:75" ht="74.099999999999994" customHeight="1" thickBot="1">
      <c r="A48" s="329"/>
      <c r="B48" s="444"/>
      <c r="C48" s="379"/>
      <c r="D48" s="435"/>
      <c r="E48" s="260"/>
      <c r="F48" s="56"/>
      <c r="G48" s="367"/>
      <c r="H48" s="374"/>
      <c r="I48" s="374"/>
      <c r="J48" s="374"/>
      <c r="K48" s="374"/>
      <c r="L48" s="374"/>
      <c r="M48" s="374"/>
      <c r="N48" s="374"/>
      <c r="O48" s="374"/>
      <c r="P48" s="374"/>
      <c r="Q48" s="374"/>
      <c r="R48" s="374"/>
      <c r="S48" s="374"/>
      <c r="T48" s="374"/>
      <c r="U48" s="374"/>
      <c r="V48" s="374"/>
      <c r="W48" s="374"/>
      <c r="X48" s="374"/>
      <c r="Y48" s="374"/>
      <c r="Z48" s="370"/>
      <c r="AA48" s="362"/>
      <c r="AB48" s="370"/>
      <c r="AC48" s="349"/>
      <c r="AD48" s="362" t="str">
        <f>+IF(OR(AB48=1,AB48&lt;=5),"Moderado",IF(OR(AB48=6,AB48&lt;=11),"Mayor","Catastrófico"))</f>
        <v>Moderado</v>
      </c>
      <c r="AE48" s="349"/>
      <c r="AF48" s="353"/>
      <c r="AG48" s="241"/>
      <c r="AH48" s="258"/>
      <c r="AI48" s="249"/>
      <c r="AJ48" s="245"/>
      <c r="AK48" s="142"/>
      <c r="AL48" s="245"/>
      <c r="AM48" s="142"/>
      <c r="AN48" s="245"/>
      <c r="AO48" s="142"/>
      <c r="AP48" s="208"/>
      <c r="AQ48" s="142"/>
      <c r="AR48" s="245"/>
      <c r="AS48" s="142"/>
      <c r="AT48" s="245"/>
      <c r="AU48" s="142"/>
      <c r="AV48" s="245"/>
      <c r="AW48" s="142"/>
      <c r="AX48" s="21"/>
      <c r="AY48" s="21"/>
      <c r="AZ48" s="209"/>
      <c r="BA48" s="210"/>
      <c r="BB48" s="21"/>
      <c r="BC48" s="21"/>
      <c r="BD48" s="385"/>
      <c r="BE48" s="413"/>
      <c r="BF48" s="385"/>
      <c r="BG48" s="385"/>
      <c r="BH48" s="364"/>
      <c r="BI48" s="379"/>
      <c r="BJ48" s="364"/>
      <c r="BK48" s="428"/>
      <c r="BL48" s="377"/>
      <c r="BM48" s="377"/>
      <c r="BN48" s="389"/>
      <c r="BO48" s="389"/>
      <c r="BP48" s="377"/>
      <c r="BQ48" s="377"/>
      <c r="BR48" s="475"/>
      <c r="BS48" s="411"/>
      <c r="BT48" s="399"/>
      <c r="BU48" s="400"/>
      <c r="BV48" s="400"/>
      <c r="BW48" s="396"/>
    </row>
    <row r="49" spans="1:75" ht="153" customHeight="1">
      <c r="A49" s="328">
        <v>14</v>
      </c>
      <c r="B49" s="444" t="s">
        <v>101</v>
      </c>
      <c r="C49" s="379" t="str">
        <f>IFERROR(VLOOKUP(B49,Listados!B$3:C$20,2,FALSE),"")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49" s="437" t="s">
        <v>918</v>
      </c>
      <c r="E49" s="237" t="s">
        <v>919</v>
      </c>
      <c r="F49" s="267" t="s">
        <v>16</v>
      </c>
      <c r="G49" s="367" t="s">
        <v>920</v>
      </c>
      <c r="H49" s="374" t="s">
        <v>116</v>
      </c>
      <c r="I49" s="374" t="s">
        <v>116</v>
      </c>
      <c r="J49" s="374" t="s">
        <v>120</v>
      </c>
      <c r="K49" s="374" t="s">
        <v>120</v>
      </c>
      <c r="L49" s="374" t="s">
        <v>120</v>
      </c>
      <c r="M49" s="374" t="s">
        <v>120</v>
      </c>
      <c r="N49" s="374" t="s">
        <v>120</v>
      </c>
      <c r="O49" s="374" t="s">
        <v>120</v>
      </c>
      <c r="P49" s="374" t="s">
        <v>120</v>
      </c>
      <c r="Q49" s="374" t="s">
        <v>116</v>
      </c>
      <c r="R49" s="374" t="s">
        <v>120</v>
      </c>
      <c r="S49" s="374" t="s">
        <v>116</v>
      </c>
      <c r="T49" s="374" t="s">
        <v>120</v>
      </c>
      <c r="U49" s="374" t="s">
        <v>116</v>
      </c>
      <c r="V49" s="374" t="s">
        <v>120</v>
      </c>
      <c r="W49" s="410" t="s">
        <v>120</v>
      </c>
      <c r="X49" s="410" t="s">
        <v>120</v>
      </c>
      <c r="Y49" s="410" t="s">
        <v>120</v>
      </c>
      <c r="Z49" s="369" t="s">
        <v>120</v>
      </c>
      <c r="AA49" s="350">
        <f>COUNTIF(H49:Z50, "SI")</f>
        <v>5</v>
      </c>
      <c r="AB49" s="369" t="s">
        <v>21</v>
      </c>
      <c r="AC49" s="348">
        <f>+VLOOKUP(AB49,Listados!$K$8:$L$12,2,0)</f>
        <v>1</v>
      </c>
      <c r="AD49" s="350" t="str">
        <f>+IF(OR(AA49=1,AA49&lt;=5),"Moderado",IF(OR(AA49=6,AA49&lt;=11),"Mayor","Catastrófico"))</f>
        <v>Moderado</v>
      </c>
      <c r="AE49" s="348" t="e">
        <f>+VLOOKUP(AD49,Listados!K97:L101,2,0)</f>
        <v>#N/A</v>
      </c>
      <c r="AF49" s="347" t="str">
        <f>IF(AND(AB49&lt;&gt;"",AD49&lt;&gt;""),VLOOKUP(AB49&amp;AD49,Listados!$M$3:$N$27,2,FALSE),"")</f>
        <v>Moderado</v>
      </c>
      <c r="AG49" s="155" t="s">
        <v>921</v>
      </c>
      <c r="AH49" s="258" t="s">
        <v>922</v>
      </c>
      <c r="AI49" s="249" t="s">
        <v>20</v>
      </c>
      <c r="AJ49" s="249" t="s">
        <v>116</v>
      </c>
      <c r="AK49" s="142">
        <f t="shared" ref="AK49:AK64" si="74">+IF(AJ49="si",15,"")</f>
        <v>15</v>
      </c>
      <c r="AL49" s="249" t="s">
        <v>116</v>
      </c>
      <c r="AM49" s="142">
        <f t="shared" ref="AM49:AM64" si="75">+IF(AL49="si",15,"")</f>
        <v>15</v>
      </c>
      <c r="AN49" s="234" t="s">
        <v>116</v>
      </c>
      <c r="AO49" s="142">
        <f t="shared" ref="AO49:AO64" si="76">+IF(AN49="si",15,"")</f>
        <v>15</v>
      </c>
      <c r="AP49" s="208" t="s">
        <v>20</v>
      </c>
      <c r="AQ49" s="142">
        <f t="shared" ref="AQ49:AQ64" si="77">+IF(AP49="Preventivo",15,IF(AP49="Detectivo",10,""))</f>
        <v>15</v>
      </c>
      <c r="AR49" s="234" t="s">
        <v>116</v>
      </c>
      <c r="AS49" s="142">
        <f t="shared" ref="AS49:AS64" si="78">+IF(AR49="si",15,"")</f>
        <v>15</v>
      </c>
      <c r="AT49" s="234" t="s">
        <v>116</v>
      </c>
      <c r="AU49" s="142">
        <f t="shared" ref="AU49:AU64" si="79">+IF(AT49="si",15,"")</f>
        <v>15</v>
      </c>
      <c r="AV49" s="234" t="s">
        <v>117</v>
      </c>
      <c r="AW49" s="142">
        <f t="shared" si="69"/>
        <v>10</v>
      </c>
      <c r="AX49" s="21">
        <f t="shared" si="70"/>
        <v>100</v>
      </c>
      <c r="AY49" s="21" t="str">
        <f t="shared" si="71"/>
        <v>Fuerte</v>
      </c>
      <c r="AZ49" s="209" t="s">
        <v>118</v>
      </c>
      <c r="BA49" s="210" t="str">
        <f t="shared" si="72"/>
        <v>Fuerte</v>
      </c>
      <c r="BB49" s="21" t="str">
        <f>IFERROR(VLOOKUP((CONCATENATE(AY49,BA49)),Listados!$U$3:$V$11,2,FALSE),"")</f>
        <v>Fuerte</v>
      </c>
      <c r="BC49" s="21">
        <f t="shared" si="73"/>
        <v>100</v>
      </c>
      <c r="BD49" s="384">
        <f>AVERAGE(BC49:BC50)</f>
        <v>100</v>
      </c>
      <c r="BE49" s="384" t="str">
        <f>IF(BD49&lt;=50, "Débil", IF(BD49&lt;=99,"Moderado","Fuerte"))</f>
        <v>Fuerte</v>
      </c>
      <c r="BF49" s="384">
        <f>+IF(BE49="Fuerte",2,IF(BE49="Moderado",1,0))</f>
        <v>2</v>
      </c>
      <c r="BG49" s="384">
        <f>+AC49-BF49</f>
        <v>-1</v>
      </c>
      <c r="BH49" s="380" t="str">
        <f>+VLOOKUP(BG49,Listados!$J$18:$K$24,2,TRUE)</f>
        <v>Rara Vez</v>
      </c>
      <c r="BI49" s="380" t="str">
        <f>IF(ISBLANK(AD49),"",AD49)</f>
        <v>Moderado</v>
      </c>
      <c r="BJ49" s="380" t="str">
        <f>IF(AND(BH49&lt;&gt;"",BI49&lt;&gt;""),VLOOKUP(BH49&amp;BI49,Listados!$M$3:$N$27,2,FALSE),"")</f>
        <v>Moderado</v>
      </c>
      <c r="BK49" s="380" t="str">
        <f>+VLOOKUP(BJ49,Listados!$P$3:$Q$6,2,FALSE)</f>
        <v xml:space="preserve"> Reducir el riesgo</v>
      </c>
      <c r="BL49" s="497" t="s">
        <v>923</v>
      </c>
      <c r="BM49" s="375" t="s">
        <v>909</v>
      </c>
      <c r="BN49" s="387">
        <v>45292</v>
      </c>
      <c r="BO49" s="387">
        <v>45657</v>
      </c>
      <c r="BP49" s="375" t="s">
        <v>924</v>
      </c>
      <c r="BQ49" s="375" t="s">
        <v>925</v>
      </c>
      <c r="BR49" s="406" t="s">
        <v>926</v>
      </c>
      <c r="BS49" s="401" t="s">
        <v>927</v>
      </c>
      <c r="BT49" s="400" t="s">
        <v>928</v>
      </c>
      <c r="BU49" s="400" t="s">
        <v>929</v>
      </c>
      <c r="BV49" s="498" t="s">
        <v>930</v>
      </c>
      <c r="BW49" s="396" t="s">
        <v>931</v>
      </c>
    </row>
    <row r="50" spans="1:75" ht="117" customHeight="1" thickBot="1">
      <c r="A50" s="329"/>
      <c r="B50" s="444"/>
      <c r="C50" s="379"/>
      <c r="D50" s="435"/>
      <c r="E50" s="187" t="s">
        <v>922</v>
      </c>
      <c r="F50" s="184" t="s">
        <v>30</v>
      </c>
      <c r="G50" s="367"/>
      <c r="H50" s="374"/>
      <c r="I50" s="374"/>
      <c r="J50" s="374"/>
      <c r="K50" s="374"/>
      <c r="L50" s="374"/>
      <c r="M50" s="374"/>
      <c r="N50" s="374"/>
      <c r="O50" s="374"/>
      <c r="P50" s="374"/>
      <c r="Q50" s="374"/>
      <c r="R50" s="374"/>
      <c r="S50" s="374"/>
      <c r="T50" s="374"/>
      <c r="U50" s="374"/>
      <c r="V50" s="374"/>
      <c r="W50" s="374"/>
      <c r="X50" s="374"/>
      <c r="Y50" s="374"/>
      <c r="Z50" s="370"/>
      <c r="AA50" s="362"/>
      <c r="AB50" s="370"/>
      <c r="AC50" s="349"/>
      <c r="AD50" s="362" t="str">
        <f>+IF(OR(AB50=1,AB50&lt;=5),"Moderado",IF(OR(AB50=6,AB50&lt;=11),"Mayor","Catastrófico"))</f>
        <v>Moderado</v>
      </c>
      <c r="AE50" s="349"/>
      <c r="AF50" s="353"/>
      <c r="AG50" s="155" t="s">
        <v>932</v>
      </c>
      <c r="AH50" s="258" t="s">
        <v>922</v>
      </c>
      <c r="AI50" s="249" t="s">
        <v>123</v>
      </c>
      <c r="AJ50" s="249" t="s">
        <v>116</v>
      </c>
      <c r="AK50" s="142">
        <f t="shared" si="74"/>
        <v>15</v>
      </c>
      <c r="AL50" s="249" t="s">
        <v>116</v>
      </c>
      <c r="AM50" s="142">
        <f t="shared" si="75"/>
        <v>15</v>
      </c>
      <c r="AN50" s="234" t="s">
        <v>116</v>
      </c>
      <c r="AO50" s="142">
        <f t="shared" si="76"/>
        <v>15</v>
      </c>
      <c r="AP50" s="234" t="s">
        <v>20</v>
      </c>
      <c r="AQ50" s="142">
        <f t="shared" si="77"/>
        <v>15</v>
      </c>
      <c r="AR50" s="234" t="s">
        <v>116</v>
      </c>
      <c r="AS50" s="142">
        <f t="shared" si="78"/>
        <v>15</v>
      </c>
      <c r="AT50" s="234" t="s">
        <v>116</v>
      </c>
      <c r="AU50" s="142">
        <f t="shared" si="79"/>
        <v>15</v>
      </c>
      <c r="AV50" s="234" t="s">
        <v>117</v>
      </c>
      <c r="AW50" s="142">
        <f t="shared" si="69"/>
        <v>10</v>
      </c>
      <c r="AX50" s="21">
        <f t="shared" si="70"/>
        <v>100</v>
      </c>
      <c r="AY50" s="21" t="str">
        <f t="shared" si="71"/>
        <v>Fuerte</v>
      </c>
      <c r="AZ50" s="209" t="s">
        <v>118</v>
      </c>
      <c r="BA50" s="210" t="str">
        <f t="shared" si="72"/>
        <v>Fuerte</v>
      </c>
      <c r="BB50" s="21" t="str">
        <f>IFERROR(VLOOKUP((CONCATENATE(AY50,BA50)),Listados!$U$3:$V$11,2,FALSE),"")</f>
        <v>Fuerte</v>
      </c>
      <c r="BC50" s="21">
        <f t="shared" si="73"/>
        <v>100</v>
      </c>
      <c r="BD50" s="386"/>
      <c r="BE50" s="386"/>
      <c r="BF50" s="386"/>
      <c r="BG50" s="386"/>
      <c r="BH50" s="378"/>
      <c r="BI50" s="378"/>
      <c r="BJ50" s="378"/>
      <c r="BK50" s="378"/>
      <c r="BL50" s="402"/>
      <c r="BM50" s="377"/>
      <c r="BN50" s="377"/>
      <c r="BO50" s="377"/>
      <c r="BP50" s="377"/>
      <c r="BQ50" s="377"/>
      <c r="BR50" s="476"/>
      <c r="BS50" s="402"/>
      <c r="BT50" s="400"/>
      <c r="BU50" s="400"/>
      <c r="BV50" s="498"/>
      <c r="BW50" s="396"/>
    </row>
    <row r="51" spans="1:75" ht="150">
      <c r="A51" s="328">
        <v>15</v>
      </c>
      <c r="B51" s="444" t="s">
        <v>86</v>
      </c>
      <c r="C51" s="379" t="str">
        <f>IFERROR(VLOOKUP(B51,Listados!B$3:C$20,2,FALSE),"")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51" s="445" t="s">
        <v>933</v>
      </c>
      <c r="E51" s="237" t="s">
        <v>934</v>
      </c>
      <c r="F51" s="222" t="s">
        <v>16</v>
      </c>
      <c r="G51" s="440" t="s">
        <v>685</v>
      </c>
      <c r="H51" s="410" t="s">
        <v>116</v>
      </c>
      <c r="I51" s="410" t="s">
        <v>116</v>
      </c>
      <c r="J51" s="410" t="s">
        <v>120</v>
      </c>
      <c r="K51" s="410" t="s">
        <v>120</v>
      </c>
      <c r="L51" s="410" t="s">
        <v>120</v>
      </c>
      <c r="M51" s="410" t="s">
        <v>120</v>
      </c>
      <c r="N51" s="410" t="s">
        <v>120</v>
      </c>
      <c r="O51" s="410" t="s">
        <v>120</v>
      </c>
      <c r="P51" s="410" t="s">
        <v>120</v>
      </c>
      <c r="Q51" s="410" t="s">
        <v>116</v>
      </c>
      <c r="R51" s="410" t="s">
        <v>120</v>
      </c>
      <c r="S51" s="410" t="s">
        <v>116</v>
      </c>
      <c r="T51" s="410" t="s">
        <v>120</v>
      </c>
      <c r="U51" s="410" t="s">
        <v>116</v>
      </c>
      <c r="V51" s="410" t="s">
        <v>120</v>
      </c>
      <c r="W51" s="410" t="s">
        <v>120</v>
      </c>
      <c r="X51" s="410" t="s">
        <v>120</v>
      </c>
      <c r="Y51" s="410" t="s">
        <v>120</v>
      </c>
      <c r="Z51" s="369" t="s">
        <v>120</v>
      </c>
      <c r="AA51" s="350">
        <f>COUNTIF(H51:Z58, "SI")</f>
        <v>5</v>
      </c>
      <c r="AB51" s="369" t="s">
        <v>21</v>
      </c>
      <c r="AC51" s="348">
        <f>+VLOOKUP(AB51,[25]Listados!$K$8:$L$12,2,0)</f>
        <v>1</v>
      </c>
      <c r="AD51" s="350" t="str">
        <f>+IF(OR(AA51=1,AA51&lt;=5),"Moderado",IF(OR(AA51=6,AA51&lt;=11),"Mayor","Catastrófico"))</f>
        <v>Moderado</v>
      </c>
      <c r="AE51" s="348" t="e">
        <f>+VLOOKUP(AD51,[25]Listados!K60:L64,2,0)</f>
        <v>#N/A</v>
      </c>
      <c r="AF51" s="347" t="str">
        <f>IF(AND(AB51&lt;&gt;"",AD51&lt;&gt;""),VLOOKUP(AB51&amp;AD51,[25]Listados!$M$3:$N$27,2,FALSE),"")</f>
        <v>Moderado</v>
      </c>
      <c r="AG51" s="59" t="s">
        <v>935</v>
      </c>
      <c r="AH51" s="237" t="s">
        <v>934</v>
      </c>
      <c r="AI51" s="283" t="s">
        <v>123</v>
      </c>
      <c r="AJ51" s="283" t="s">
        <v>116</v>
      </c>
      <c r="AK51" s="27">
        <f t="shared" si="74"/>
        <v>15</v>
      </c>
      <c r="AL51" s="283" t="s">
        <v>116</v>
      </c>
      <c r="AM51" s="27">
        <f t="shared" si="75"/>
        <v>15</v>
      </c>
      <c r="AN51" s="208" t="s">
        <v>116</v>
      </c>
      <c r="AO51" s="27">
        <f t="shared" si="76"/>
        <v>15</v>
      </c>
      <c r="AP51" s="208" t="s">
        <v>20</v>
      </c>
      <c r="AQ51" s="27">
        <f t="shared" si="77"/>
        <v>15</v>
      </c>
      <c r="AR51" s="208" t="s">
        <v>116</v>
      </c>
      <c r="AS51" s="27">
        <f t="shared" si="78"/>
        <v>15</v>
      </c>
      <c r="AT51" s="208" t="s">
        <v>116</v>
      </c>
      <c r="AU51" s="27">
        <f t="shared" si="79"/>
        <v>15</v>
      </c>
      <c r="AV51" s="208" t="s">
        <v>117</v>
      </c>
      <c r="AW51" s="27">
        <f t="shared" si="69"/>
        <v>10</v>
      </c>
      <c r="AX51" s="48">
        <f t="shared" si="70"/>
        <v>100</v>
      </c>
      <c r="AY51" s="48" t="str">
        <f t="shared" si="71"/>
        <v>Fuerte</v>
      </c>
      <c r="AZ51" s="209" t="s">
        <v>118</v>
      </c>
      <c r="BA51" s="210" t="str">
        <f t="shared" si="72"/>
        <v>Fuerte</v>
      </c>
      <c r="BB51" s="21" t="str">
        <f>IFERROR(VLOOKUP((CONCATENATE(AY51,BA51)),[25]Listados!$U$3:$V$11,2,FALSE),"")</f>
        <v>Fuerte</v>
      </c>
      <c r="BC51" s="48">
        <f t="shared" si="73"/>
        <v>100</v>
      </c>
      <c r="BD51" s="354">
        <f>AVERAGE(BC51:BC58)</f>
        <v>100</v>
      </c>
      <c r="BE51" s="356" t="str">
        <f>IF(BD51&lt;=50, "Débil", IF(BD51&lt;=99,"Moderado","Fuerte"))</f>
        <v>Fuerte</v>
      </c>
      <c r="BF51" s="354">
        <f>+IF(BE51="Fuerte",2,IF(BE51="Moderado",1,0))</f>
        <v>2</v>
      </c>
      <c r="BG51" s="354">
        <f>+AC51-BF51</f>
        <v>-1</v>
      </c>
      <c r="BH51" s="345" t="str">
        <f>+VLOOKUP(BG51,[25]Listados!$J$18:$K$24,2,TRUE)</f>
        <v>Rara Vez</v>
      </c>
      <c r="BI51" s="347" t="str">
        <f>IF(ISBLANK(AD51),"",AD51)</f>
        <v>Moderado</v>
      </c>
      <c r="BJ51" s="345" t="str">
        <f>IF(AND(BH51&lt;&gt;"",BI51&lt;&gt;""),VLOOKUP(BH51&amp;BI51,[25]Listados!$M$3:$N$27,2,FALSE),"")</f>
        <v>Moderado</v>
      </c>
      <c r="BK51" s="345" t="str">
        <f>+VLOOKUP(BJ51,[25]Listados!$P$3:$Q$6,2,FALSE)</f>
        <v xml:space="preserve"> Reducir el riesgo</v>
      </c>
      <c r="BL51" s="164" t="s">
        <v>936</v>
      </c>
      <c r="BM51" s="165" t="s">
        <v>673</v>
      </c>
      <c r="BN51" s="166">
        <v>44927</v>
      </c>
      <c r="BO51" s="166">
        <v>45291</v>
      </c>
      <c r="BP51" s="165" t="s">
        <v>937</v>
      </c>
      <c r="BQ51" s="157" t="s">
        <v>938</v>
      </c>
      <c r="BR51" s="289" t="s">
        <v>939</v>
      </c>
      <c r="BS51" s="262" t="s">
        <v>940</v>
      </c>
      <c r="BT51" s="167" t="s">
        <v>941</v>
      </c>
      <c r="BU51" s="500" t="s">
        <v>942</v>
      </c>
      <c r="BV51" s="400" t="s">
        <v>943</v>
      </c>
      <c r="BW51" s="396" t="s">
        <v>944</v>
      </c>
    </row>
    <row r="52" spans="1:75" ht="135">
      <c r="A52" s="329"/>
      <c r="B52" s="444"/>
      <c r="C52" s="379"/>
      <c r="D52" s="446"/>
      <c r="E52" s="237" t="s">
        <v>919</v>
      </c>
      <c r="F52" s="222" t="s">
        <v>30</v>
      </c>
      <c r="G52" s="441"/>
      <c r="H52" s="374"/>
      <c r="I52" s="374"/>
      <c r="J52" s="374"/>
      <c r="K52" s="374"/>
      <c r="L52" s="374"/>
      <c r="M52" s="374"/>
      <c r="N52" s="374"/>
      <c r="O52" s="374"/>
      <c r="P52" s="374"/>
      <c r="Q52" s="374"/>
      <c r="R52" s="374"/>
      <c r="S52" s="374"/>
      <c r="T52" s="374"/>
      <c r="U52" s="374"/>
      <c r="V52" s="374"/>
      <c r="W52" s="374"/>
      <c r="X52" s="374"/>
      <c r="Y52" s="374"/>
      <c r="Z52" s="370"/>
      <c r="AA52" s="362"/>
      <c r="AB52" s="370"/>
      <c r="AC52" s="349"/>
      <c r="AD52" s="362" t="str">
        <f>+IF(OR(AB52=1,AB52&lt;=5),"Moderado",IF(OR(AB52=6,AB52&lt;=11),"Mayor","Catastrófico"))</f>
        <v>Moderado</v>
      </c>
      <c r="AE52" s="349"/>
      <c r="AF52" s="353"/>
      <c r="AG52" s="47" t="s">
        <v>945</v>
      </c>
      <c r="AH52" s="237" t="s">
        <v>919</v>
      </c>
      <c r="AI52" s="283" t="s">
        <v>123</v>
      </c>
      <c r="AJ52" s="283" t="s">
        <v>116</v>
      </c>
      <c r="AK52" s="27">
        <f t="shared" si="74"/>
        <v>15</v>
      </c>
      <c r="AL52" s="283" t="s">
        <v>116</v>
      </c>
      <c r="AM52" s="27">
        <f t="shared" si="75"/>
        <v>15</v>
      </c>
      <c r="AN52" s="208" t="s">
        <v>116</v>
      </c>
      <c r="AO52" s="27">
        <f t="shared" si="76"/>
        <v>15</v>
      </c>
      <c r="AP52" s="208" t="s">
        <v>20</v>
      </c>
      <c r="AQ52" s="27">
        <f t="shared" si="77"/>
        <v>15</v>
      </c>
      <c r="AR52" s="208" t="s">
        <v>116</v>
      </c>
      <c r="AS52" s="27">
        <f t="shared" si="78"/>
        <v>15</v>
      </c>
      <c r="AT52" s="208" t="s">
        <v>116</v>
      </c>
      <c r="AU52" s="27">
        <f t="shared" si="79"/>
        <v>15</v>
      </c>
      <c r="AV52" s="208" t="s">
        <v>117</v>
      </c>
      <c r="AW52" s="27">
        <f t="shared" si="69"/>
        <v>10</v>
      </c>
      <c r="AX52" s="48">
        <f t="shared" si="70"/>
        <v>100</v>
      </c>
      <c r="AY52" s="48" t="str">
        <f t="shared" si="71"/>
        <v>Fuerte</v>
      </c>
      <c r="AZ52" s="209" t="s">
        <v>118</v>
      </c>
      <c r="BA52" s="210" t="str">
        <f t="shared" si="72"/>
        <v>Fuerte</v>
      </c>
      <c r="BB52" s="21" t="str">
        <f>IFERROR(VLOOKUP((CONCATENATE(AY52,BA52)),[25]Listados!$U$3:$V$11,2,FALSE),"")</f>
        <v>Fuerte</v>
      </c>
      <c r="BC52" s="48">
        <f t="shared" si="73"/>
        <v>100</v>
      </c>
      <c r="BD52" s="355"/>
      <c r="BE52" s="357"/>
      <c r="BF52" s="355"/>
      <c r="BG52" s="355"/>
      <c r="BH52" s="346"/>
      <c r="BI52" s="353"/>
      <c r="BJ52" s="346"/>
      <c r="BK52" s="346"/>
      <c r="BL52" s="288" t="s">
        <v>946</v>
      </c>
      <c r="BM52" s="161" t="s">
        <v>673</v>
      </c>
      <c r="BN52" s="275">
        <v>44927</v>
      </c>
      <c r="BO52" s="275">
        <v>45291</v>
      </c>
      <c r="BP52" s="274" t="s">
        <v>947</v>
      </c>
      <c r="BQ52" s="262" t="s">
        <v>948</v>
      </c>
      <c r="BR52" s="289" t="s">
        <v>949</v>
      </c>
      <c r="BS52" s="290" t="s">
        <v>950</v>
      </c>
      <c r="BT52" s="255" t="s">
        <v>951</v>
      </c>
      <c r="BU52" s="500"/>
      <c r="BV52" s="400"/>
      <c r="BW52" s="396"/>
    </row>
    <row r="53" spans="1:75" ht="100.5" customHeight="1">
      <c r="A53" s="329"/>
      <c r="B53" s="444"/>
      <c r="C53" s="379"/>
      <c r="D53" s="446"/>
      <c r="E53" s="237" t="s">
        <v>952</v>
      </c>
      <c r="F53" s="222" t="s">
        <v>30</v>
      </c>
      <c r="G53" s="441"/>
      <c r="H53" s="374"/>
      <c r="I53" s="374"/>
      <c r="J53" s="374"/>
      <c r="K53" s="374"/>
      <c r="L53" s="374"/>
      <c r="M53" s="374"/>
      <c r="N53" s="374"/>
      <c r="O53" s="374"/>
      <c r="P53" s="374"/>
      <c r="Q53" s="374"/>
      <c r="R53" s="374"/>
      <c r="S53" s="374"/>
      <c r="T53" s="374"/>
      <c r="U53" s="374"/>
      <c r="V53" s="374"/>
      <c r="W53" s="374"/>
      <c r="X53" s="374"/>
      <c r="Y53" s="374"/>
      <c r="Z53" s="370"/>
      <c r="AA53" s="362"/>
      <c r="AB53" s="370"/>
      <c r="AC53" s="349"/>
      <c r="AD53" s="362" t="str">
        <f>+IF(OR(AB53=1,AB53&lt;=5),"Moderado",IF(OR(AB53=6,AB53&lt;=11),"Mayor","Catastrófico"))</f>
        <v>Moderado</v>
      </c>
      <c r="AE53" s="349"/>
      <c r="AF53" s="353"/>
      <c r="AG53" s="155" t="s">
        <v>953</v>
      </c>
      <c r="AH53" s="237" t="s">
        <v>954</v>
      </c>
      <c r="AI53" s="283" t="s">
        <v>123</v>
      </c>
      <c r="AJ53" s="283" t="s">
        <v>116</v>
      </c>
      <c r="AK53" s="27">
        <f t="shared" si="74"/>
        <v>15</v>
      </c>
      <c r="AL53" s="283" t="s">
        <v>116</v>
      </c>
      <c r="AM53" s="27">
        <f t="shared" si="75"/>
        <v>15</v>
      </c>
      <c r="AN53" s="208" t="s">
        <v>116</v>
      </c>
      <c r="AO53" s="27">
        <f t="shared" si="76"/>
        <v>15</v>
      </c>
      <c r="AP53" s="208" t="s">
        <v>20</v>
      </c>
      <c r="AQ53" s="27">
        <f t="shared" si="77"/>
        <v>15</v>
      </c>
      <c r="AR53" s="208" t="s">
        <v>116</v>
      </c>
      <c r="AS53" s="27">
        <f t="shared" si="78"/>
        <v>15</v>
      </c>
      <c r="AT53" s="208" t="s">
        <v>116</v>
      </c>
      <c r="AU53" s="27">
        <f t="shared" si="79"/>
        <v>15</v>
      </c>
      <c r="AV53" s="208" t="s">
        <v>117</v>
      </c>
      <c r="AW53" s="27">
        <f t="shared" si="69"/>
        <v>10</v>
      </c>
      <c r="AX53" s="48">
        <f t="shared" si="70"/>
        <v>100</v>
      </c>
      <c r="AY53" s="48" t="str">
        <f t="shared" si="71"/>
        <v>Fuerte</v>
      </c>
      <c r="AZ53" s="209" t="s">
        <v>118</v>
      </c>
      <c r="BA53" s="210" t="str">
        <f t="shared" si="72"/>
        <v>Fuerte</v>
      </c>
      <c r="BB53" s="21" t="str">
        <f>IFERROR(VLOOKUP((CONCATENATE(AY53,BA53)),[25]Listados!$U$3:$V$11,2,FALSE),"")</f>
        <v>Fuerte</v>
      </c>
      <c r="BC53" s="48">
        <f t="shared" si="73"/>
        <v>100</v>
      </c>
      <c r="BD53" s="355"/>
      <c r="BE53" s="357"/>
      <c r="BF53" s="355"/>
      <c r="BG53" s="355"/>
      <c r="BH53" s="346"/>
      <c r="BI53" s="353"/>
      <c r="BJ53" s="346"/>
      <c r="BK53" s="346"/>
      <c r="BL53" s="288"/>
      <c r="BM53" s="274"/>
      <c r="BN53" s="275"/>
      <c r="BO53" s="275"/>
      <c r="BP53" s="274"/>
      <c r="BQ53" s="262" t="s">
        <v>955</v>
      </c>
      <c r="BR53" s="289" t="s">
        <v>956</v>
      </c>
      <c r="BS53" s="290" t="s">
        <v>957</v>
      </c>
      <c r="BT53" s="255" t="s">
        <v>958</v>
      </c>
      <c r="BU53" s="500"/>
      <c r="BV53" s="400"/>
      <c r="BW53" s="396"/>
    </row>
    <row r="54" spans="1:75" ht="150">
      <c r="A54" s="329"/>
      <c r="B54" s="444"/>
      <c r="C54" s="379"/>
      <c r="D54" s="446"/>
      <c r="E54" s="237" t="s">
        <v>954</v>
      </c>
      <c r="F54" s="222" t="s">
        <v>16</v>
      </c>
      <c r="G54" s="441"/>
      <c r="H54" s="374"/>
      <c r="I54" s="374"/>
      <c r="J54" s="374"/>
      <c r="K54" s="374"/>
      <c r="L54" s="374"/>
      <c r="M54" s="374"/>
      <c r="N54" s="374"/>
      <c r="O54" s="374"/>
      <c r="P54" s="374"/>
      <c r="Q54" s="374"/>
      <c r="R54" s="374"/>
      <c r="S54" s="374"/>
      <c r="T54" s="374"/>
      <c r="U54" s="374"/>
      <c r="V54" s="374"/>
      <c r="W54" s="374"/>
      <c r="X54" s="374"/>
      <c r="Y54" s="374"/>
      <c r="Z54" s="370"/>
      <c r="AA54" s="362"/>
      <c r="AB54" s="370"/>
      <c r="AC54" s="349"/>
      <c r="AD54" s="362" t="str">
        <f>+IF(OR(AB54=1,AB54&lt;=5),"Moderado",IF(OR(AB54=6,AB54&lt;=11),"Mayor","Catastrófico"))</f>
        <v>Moderado</v>
      </c>
      <c r="AE54" s="349"/>
      <c r="AF54" s="353"/>
      <c r="AG54" s="155" t="s">
        <v>959</v>
      </c>
      <c r="AH54" s="237" t="s">
        <v>960</v>
      </c>
      <c r="AI54" s="283" t="s">
        <v>20</v>
      </c>
      <c r="AJ54" s="283" t="s">
        <v>116</v>
      </c>
      <c r="AK54" s="27">
        <f t="shared" si="74"/>
        <v>15</v>
      </c>
      <c r="AL54" s="283" t="s">
        <v>116</v>
      </c>
      <c r="AM54" s="27">
        <f t="shared" si="75"/>
        <v>15</v>
      </c>
      <c r="AN54" s="208" t="s">
        <v>116</v>
      </c>
      <c r="AO54" s="27">
        <f t="shared" si="76"/>
        <v>15</v>
      </c>
      <c r="AP54" s="208" t="s">
        <v>20</v>
      </c>
      <c r="AQ54" s="27">
        <f t="shared" si="77"/>
        <v>15</v>
      </c>
      <c r="AR54" s="208" t="s">
        <v>116</v>
      </c>
      <c r="AS54" s="27">
        <f t="shared" si="78"/>
        <v>15</v>
      </c>
      <c r="AT54" s="208" t="s">
        <v>116</v>
      </c>
      <c r="AU54" s="27">
        <f t="shared" si="79"/>
        <v>15</v>
      </c>
      <c r="AV54" s="208" t="s">
        <v>117</v>
      </c>
      <c r="AW54" s="27">
        <f t="shared" si="69"/>
        <v>10</v>
      </c>
      <c r="AX54" s="48">
        <f t="shared" si="70"/>
        <v>100</v>
      </c>
      <c r="AY54" s="48" t="str">
        <f t="shared" si="71"/>
        <v>Fuerte</v>
      </c>
      <c r="AZ54" s="209" t="s">
        <v>118</v>
      </c>
      <c r="BA54" s="210" t="str">
        <f t="shared" si="72"/>
        <v>Fuerte</v>
      </c>
      <c r="BB54" s="21" t="str">
        <f>IFERROR(VLOOKUP((CONCATENATE(AY54,BA54)),[25]Listados!$U$3:$V$11,2,FALSE),"")</f>
        <v>Fuerte</v>
      </c>
      <c r="BC54" s="48">
        <f t="shared" si="73"/>
        <v>100</v>
      </c>
      <c r="BD54" s="355"/>
      <c r="BE54" s="357"/>
      <c r="BF54" s="355"/>
      <c r="BG54" s="355"/>
      <c r="BH54" s="346"/>
      <c r="BI54" s="353"/>
      <c r="BJ54" s="346"/>
      <c r="BK54" s="346"/>
      <c r="BL54" s="288"/>
      <c r="BM54" s="274"/>
      <c r="BN54" s="275"/>
      <c r="BO54" s="275"/>
      <c r="BP54" s="274"/>
      <c r="BQ54" s="262" t="s">
        <v>961</v>
      </c>
      <c r="BR54" s="289" t="s">
        <v>962</v>
      </c>
      <c r="BS54" s="290" t="s">
        <v>963</v>
      </c>
      <c r="BT54" s="255" t="s">
        <v>964</v>
      </c>
      <c r="BU54" s="500"/>
      <c r="BV54" s="400"/>
      <c r="BW54" s="396"/>
    </row>
    <row r="55" spans="1:75" ht="120">
      <c r="A55" s="329"/>
      <c r="B55" s="444"/>
      <c r="C55" s="379"/>
      <c r="D55" s="446"/>
      <c r="E55" s="237" t="s">
        <v>965</v>
      </c>
      <c r="F55" s="222" t="s">
        <v>16</v>
      </c>
      <c r="G55" s="441"/>
      <c r="H55" s="374"/>
      <c r="I55" s="374"/>
      <c r="J55" s="374"/>
      <c r="K55" s="374"/>
      <c r="L55" s="374"/>
      <c r="M55" s="374"/>
      <c r="N55" s="374"/>
      <c r="O55" s="374"/>
      <c r="P55" s="374"/>
      <c r="Q55" s="374"/>
      <c r="R55" s="374"/>
      <c r="S55" s="374"/>
      <c r="T55" s="374"/>
      <c r="U55" s="374"/>
      <c r="V55" s="374"/>
      <c r="W55" s="374"/>
      <c r="X55" s="374"/>
      <c r="Y55" s="374"/>
      <c r="Z55" s="370"/>
      <c r="AA55" s="362"/>
      <c r="AB55" s="370"/>
      <c r="AC55" s="349"/>
      <c r="AD55" s="362" t="str">
        <f>+IF(OR(AB55=1,AB55&lt;=5),"Moderado",IF(OR(AB55=6,AB55&lt;=11),"Mayor","Catastrófico"))</f>
        <v>Moderado</v>
      </c>
      <c r="AE55" s="349"/>
      <c r="AF55" s="353"/>
      <c r="AG55" s="47" t="s">
        <v>966</v>
      </c>
      <c r="AH55" s="237" t="s">
        <v>967</v>
      </c>
      <c r="AI55" s="283" t="s">
        <v>20</v>
      </c>
      <c r="AJ55" s="283" t="s">
        <v>116</v>
      </c>
      <c r="AK55" s="27">
        <f t="shared" si="74"/>
        <v>15</v>
      </c>
      <c r="AL55" s="283" t="s">
        <v>116</v>
      </c>
      <c r="AM55" s="27">
        <f t="shared" si="75"/>
        <v>15</v>
      </c>
      <c r="AN55" s="208" t="s">
        <v>116</v>
      </c>
      <c r="AO55" s="27">
        <f t="shared" si="76"/>
        <v>15</v>
      </c>
      <c r="AP55" s="208" t="s">
        <v>20</v>
      </c>
      <c r="AQ55" s="27">
        <f t="shared" si="77"/>
        <v>15</v>
      </c>
      <c r="AR55" s="208" t="s">
        <v>116</v>
      </c>
      <c r="AS55" s="27">
        <f t="shared" si="78"/>
        <v>15</v>
      </c>
      <c r="AT55" s="208" t="s">
        <v>116</v>
      </c>
      <c r="AU55" s="27">
        <f t="shared" si="79"/>
        <v>15</v>
      </c>
      <c r="AV55" s="208" t="s">
        <v>117</v>
      </c>
      <c r="AW55" s="27">
        <f t="shared" si="69"/>
        <v>10</v>
      </c>
      <c r="AX55" s="48">
        <f t="shared" si="70"/>
        <v>100</v>
      </c>
      <c r="AY55" s="48" t="str">
        <f t="shared" si="71"/>
        <v>Fuerte</v>
      </c>
      <c r="AZ55" s="209" t="s">
        <v>118</v>
      </c>
      <c r="BA55" s="210" t="str">
        <f t="shared" si="72"/>
        <v>Fuerte</v>
      </c>
      <c r="BB55" s="21" t="str">
        <f>IFERROR(VLOOKUP((CONCATENATE(AY55,BA55)),[25]Listados!$U$3:$V$11,2,FALSE),"")</f>
        <v>Fuerte</v>
      </c>
      <c r="BC55" s="48">
        <f t="shared" si="73"/>
        <v>100</v>
      </c>
      <c r="BD55" s="355"/>
      <c r="BE55" s="357"/>
      <c r="BF55" s="355"/>
      <c r="BG55" s="355"/>
      <c r="BH55" s="346"/>
      <c r="BI55" s="353"/>
      <c r="BJ55" s="346"/>
      <c r="BK55" s="346"/>
      <c r="BL55" s="288"/>
      <c r="BM55" s="274"/>
      <c r="BN55" s="275"/>
      <c r="BO55" s="275"/>
      <c r="BP55" s="274"/>
      <c r="BQ55" s="262" t="s">
        <v>968</v>
      </c>
      <c r="BR55" s="289" t="s">
        <v>969</v>
      </c>
      <c r="BS55" s="258" t="s">
        <v>970</v>
      </c>
      <c r="BT55" s="255" t="s">
        <v>971</v>
      </c>
      <c r="BU55" s="500"/>
      <c r="BV55" s="400"/>
      <c r="BW55" s="396"/>
    </row>
    <row r="56" spans="1:75" ht="150.75" thickBot="1">
      <c r="A56" s="329"/>
      <c r="B56" s="444"/>
      <c r="C56" s="379"/>
      <c r="D56" s="446"/>
      <c r="E56" s="237" t="s">
        <v>960</v>
      </c>
      <c r="F56" s="222" t="s">
        <v>16</v>
      </c>
      <c r="G56" s="441"/>
      <c r="H56" s="374"/>
      <c r="I56" s="374"/>
      <c r="J56" s="374"/>
      <c r="K56" s="374"/>
      <c r="L56" s="374"/>
      <c r="M56" s="374"/>
      <c r="N56" s="374"/>
      <c r="O56" s="374"/>
      <c r="P56" s="374"/>
      <c r="Q56" s="374"/>
      <c r="R56" s="374"/>
      <c r="S56" s="374"/>
      <c r="T56" s="374"/>
      <c r="U56" s="374"/>
      <c r="V56" s="374"/>
      <c r="W56" s="374"/>
      <c r="X56" s="374"/>
      <c r="Y56" s="374"/>
      <c r="Z56" s="370"/>
      <c r="AA56" s="362"/>
      <c r="AB56" s="370"/>
      <c r="AC56" s="349"/>
      <c r="AD56" s="362"/>
      <c r="AE56" s="349"/>
      <c r="AF56" s="353"/>
      <c r="AG56" s="156" t="s">
        <v>972</v>
      </c>
      <c r="AH56" s="237" t="s">
        <v>973</v>
      </c>
      <c r="AI56" s="283" t="s">
        <v>20</v>
      </c>
      <c r="AJ56" s="283" t="s">
        <v>116</v>
      </c>
      <c r="AK56" s="27">
        <f t="shared" si="74"/>
        <v>15</v>
      </c>
      <c r="AL56" s="283" t="s">
        <v>116</v>
      </c>
      <c r="AM56" s="27">
        <f t="shared" si="75"/>
        <v>15</v>
      </c>
      <c r="AN56" s="208" t="s">
        <v>116</v>
      </c>
      <c r="AO56" s="27">
        <f t="shared" si="76"/>
        <v>15</v>
      </c>
      <c r="AP56" s="208" t="s">
        <v>20</v>
      </c>
      <c r="AQ56" s="27">
        <f t="shared" si="77"/>
        <v>15</v>
      </c>
      <c r="AR56" s="208" t="s">
        <v>116</v>
      </c>
      <c r="AS56" s="27">
        <f t="shared" si="78"/>
        <v>15</v>
      </c>
      <c r="AT56" s="208" t="s">
        <v>116</v>
      </c>
      <c r="AU56" s="27">
        <f t="shared" si="79"/>
        <v>15</v>
      </c>
      <c r="AV56" s="208" t="s">
        <v>117</v>
      </c>
      <c r="AW56" s="27">
        <f t="shared" si="69"/>
        <v>10</v>
      </c>
      <c r="AX56" s="48">
        <f t="shared" si="70"/>
        <v>100</v>
      </c>
      <c r="AY56" s="48" t="str">
        <f t="shared" si="71"/>
        <v>Fuerte</v>
      </c>
      <c r="AZ56" s="209" t="s">
        <v>118</v>
      </c>
      <c r="BA56" s="210" t="str">
        <f t="shared" si="72"/>
        <v>Fuerte</v>
      </c>
      <c r="BB56" s="21" t="str">
        <f>IFERROR(VLOOKUP((CONCATENATE(AY56,BA56)),[25]Listados!$U$3:$V$11,2,FALSE),"")</f>
        <v>Fuerte</v>
      </c>
      <c r="BC56" s="48">
        <f t="shared" si="73"/>
        <v>100</v>
      </c>
      <c r="BD56" s="355"/>
      <c r="BE56" s="357"/>
      <c r="BF56" s="355"/>
      <c r="BG56" s="355"/>
      <c r="BH56" s="346"/>
      <c r="BI56" s="353"/>
      <c r="BJ56" s="346"/>
      <c r="BK56" s="346"/>
      <c r="BL56" s="288"/>
      <c r="BM56" s="274"/>
      <c r="BN56" s="275"/>
      <c r="BO56" s="275"/>
      <c r="BP56" s="274"/>
      <c r="BQ56" s="262" t="s">
        <v>974</v>
      </c>
      <c r="BR56" s="289" t="s">
        <v>975</v>
      </c>
      <c r="BS56" s="262" t="s">
        <v>976</v>
      </c>
      <c r="BT56" s="255" t="s">
        <v>977</v>
      </c>
      <c r="BU56" s="500"/>
      <c r="BV56" s="400"/>
      <c r="BW56" s="396"/>
    </row>
    <row r="57" spans="1:75" ht="105">
      <c r="A57" s="329"/>
      <c r="B57" s="444"/>
      <c r="C57" s="379"/>
      <c r="D57" s="446"/>
      <c r="E57" s="237" t="s">
        <v>967</v>
      </c>
      <c r="F57" s="222" t="s">
        <v>16</v>
      </c>
      <c r="G57" s="441"/>
      <c r="H57" s="374"/>
      <c r="I57" s="374"/>
      <c r="J57" s="374"/>
      <c r="K57" s="374"/>
      <c r="L57" s="374"/>
      <c r="M57" s="374"/>
      <c r="N57" s="374"/>
      <c r="O57" s="374"/>
      <c r="P57" s="374"/>
      <c r="Q57" s="374"/>
      <c r="R57" s="374"/>
      <c r="S57" s="374"/>
      <c r="T57" s="374"/>
      <c r="U57" s="374"/>
      <c r="V57" s="374"/>
      <c r="W57" s="374"/>
      <c r="X57" s="374"/>
      <c r="Y57" s="374"/>
      <c r="Z57" s="370"/>
      <c r="AA57" s="362"/>
      <c r="AB57" s="370"/>
      <c r="AC57" s="349"/>
      <c r="AD57" s="362"/>
      <c r="AE57" s="349"/>
      <c r="AF57" s="353"/>
      <c r="AG57" s="47"/>
      <c r="AH57" s="237"/>
      <c r="AI57" s="283"/>
      <c r="AJ57" s="283"/>
      <c r="AK57" s="27"/>
      <c r="AL57" s="283"/>
      <c r="AM57" s="27"/>
      <c r="AN57" s="208"/>
      <c r="AO57" s="27"/>
      <c r="AP57" s="208"/>
      <c r="AQ57" s="27"/>
      <c r="AR57" s="208"/>
      <c r="AS57" s="27"/>
      <c r="AT57" s="208"/>
      <c r="AU57" s="27"/>
      <c r="AV57" s="208"/>
      <c r="AW57" s="27" t="str">
        <f t="shared" si="69"/>
        <v/>
      </c>
      <c r="AX57" s="48" t="str">
        <f t="shared" si="70"/>
        <v/>
      </c>
      <c r="AY57" s="48" t="str">
        <f t="shared" si="71"/>
        <v/>
      </c>
      <c r="AZ57" s="209"/>
      <c r="BA57" s="210" t="str">
        <f t="shared" si="72"/>
        <v>Débil</v>
      </c>
      <c r="BB57" s="21" t="str">
        <f>IFERROR(VLOOKUP((CONCATENATE(AY57,BA57)),[25]Listados!$U$3:$V$11,2,FALSE),"")</f>
        <v/>
      </c>
      <c r="BC57" s="48">
        <f t="shared" si="73"/>
        <v>100</v>
      </c>
      <c r="BD57" s="355"/>
      <c r="BE57" s="357"/>
      <c r="BF57" s="355"/>
      <c r="BG57" s="355"/>
      <c r="BH57" s="346"/>
      <c r="BI57" s="353"/>
      <c r="BJ57" s="346"/>
      <c r="BK57" s="346"/>
      <c r="BL57" s="262"/>
      <c r="BM57" s="262"/>
      <c r="BN57" s="251"/>
      <c r="BO57" s="251"/>
      <c r="BP57" s="262"/>
      <c r="BQ57" s="262"/>
      <c r="BR57" s="289" t="s">
        <v>978</v>
      </c>
      <c r="BS57" s="290" t="s">
        <v>979</v>
      </c>
      <c r="BT57" s="258"/>
      <c r="BU57" s="500"/>
      <c r="BV57" s="400"/>
      <c r="BW57" s="396"/>
    </row>
    <row r="58" spans="1:75" ht="105.75" thickBot="1">
      <c r="A58" s="329"/>
      <c r="B58" s="444"/>
      <c r="C58" s="379"/>
      <c r="D58" s="446"/>
      <c r="E58" s="237" t="s">
        <v>973</v>
      </c>
      <c r="F58" s="222" t="s">
        <v>16</v>
      </c>
      <c r="G58" s="441"/>
      <c r="H58" s="374"/>
      <c r="I58" s="374"/>
      <c r="J58" s="374"/>
      <c r="K58" s="374"/>
      <c r="L58" s="374"/>
      <c r="M58" s="374"/>
      <c r="N58" s="374"/>
      <c r="O58" s="374"/>
      <c r="P58" s="374"/>
      <c r="Q58" s="374"/>
      <c r="R58" s="374"/>
      <c r="S58" s="374"/>
      <c r="T58" s="374"/>
      <c r="U58" s="374"/>
      <c r="V58" s="374"/>
      <c r="W58" s="374"/>
      <c r="X58" s="374"/>
      <c r="Y58" s="374"/>
      <c r="Z58" s="370"/>
      <c r="AA58" s="362"/>
      <c r="AB58" s="370"/>
      <c r="AC58" s="350"/>
      <c r="AD58" s="362" t="str">
        <f>+IF(OR(AB58=1,AB58&lt;=5),"Moderado",IF(OR(AB58=6,AB58&lt;=11),"Mayor","Catastrófico"))</f>
        <v>Moderado</v>
      </c>
      <c r="AE58" s="350"/>
      <c r="AF58" s="353"/>
      <c r="AG58" s="156"/>
      <c r="AH58" s="237"/>
      <c r="AI58" s="283"/>
      <c r="AJ58" s="283"/>
      <c r="AK58" s="27"/>
      <c r="AL58" s="283"/>
      <c r="AM58" s="27"/>
      <c r="AN58" s="208"/>
      <c r="AO58" s="27"/>
      <c r="AP58" s="208"/>
      <c r="AQ58" s="27"/>
      <c r="AR58" s="208"/>
      <c r="AS58" s="27"/>
      <c r="AT58" s="208"/>
      <c r="AU58" s="27"/>
      <c r="AV58" s="208"/>
      <c r="AW58" s="27" t="str">
        <f t="shared" si="69"/>
        <v/>
      </c>
      <c r="AX58" s="48" t="str">
        <f t="shared" si="70"/>
        <v/>
      </c>
      <c r="AY58" s="48" t="str">
        <f t="shared" si="71"/>
        <v/>
      </c>
      <c r="AZ58" s="209"/>
      <c r="BA58" s="210" t="str">
        <f t="shared" si="72"/>
        <v>Débil</v>
      </c>
      <c r="BB58" s="21" t="str">
        <f>IFERROR(VLOOKUP((CONCATENATE(AY58,BA58)),[25]Listados!$U$3:$V$11,2,FALSE),"")</f>
        <v/>
      </c>
      <c r="BC58" s="48">
        <f t="shared" si="73"/>
        <v>100</v>
      </c>
      <c r="BD58" s="356"/>
      <c r="BE58" s="357"/>
      <c r="BF58" s="356"/>
      <c r="BG58" s="356"/>
      <c r="BH58" s="347"/>
      <c r="BI58" s="353"/>
      <c r="BJ58" s="347"/>
      <c r="BK58" s="347"/>
      <c r="BL58" s="191"/>
      <c r="BM58" s="191"/>
      <c r="BN58" s="192"/>
      <c r="BO58" s="192"/>
      <c r="BP58" s="191"/>
      <c r="BQ58" s="191"/>
      <c r="BR58" s="289" t="s">
        <v>980</v>
      </c>
      <c r="BS58" s="290" t="s">
        <v>981</v>
      </c>
      <c r="BT58" s="148"/>
      <c r="BU58" s="500"/>
      <c r="BV58" s="400"/>
      <c r="BW58" s="396"/>
    </row>
    <row r="59" spans="1:75" ht="85.5" customHeight="1">
      <c r="A59" s="328">
        <v>16</v>
      </c>
      <c r="B59" s="444" t="s">
        <v>101</v>
      </c>
      <c r="C59" s="379" t="str">
        <f>IFERROR(VLOOKUP(B59,Listados!B$3:C$20,2,FALSE),"")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59" s="435" t="s">
        <v>982</v>
      </c>
      <c r="E59" s="237" t="s">
        <v>983</v>
      </c>
      <c r="F59" s="432" t="s">
        <v>16</v>
      </c>
      <c r="G59" s="367" t="s">
        <v>984</v>
      </c>
      <c r="H59" s="374" t="s">
        <v>116</v>
      </c>
      <c r="I59" s="374" t="s">
        <v>120</v>
      </c>
      <c r="J59" s="374" t="s">
        <v>120</v>
      </c>
      <c r="K59" s="374" t="s">
        <v>120</v>
      </c>
      <c r="L59" s="374" t="s">
        <v>116</v>
      </c>
      <c r="M59" s="374" t="s">
        <v>116</v>
      </c>
      <c r="N59" s="374" t="s">
        <v>120</v>
      </c>
      <c r="O59" s="374" t="s">
        <v>120</v>
      </c>
      <c r="P59" s="374" t="s">
        <v>120</v>
      </c>
      <c r="Q59" s="374" t="s">
        <v>116</v>
      </c>
      <c r="R59" s="374" t="s">
        <v>116</v>
      </c>
      <c r="S59" s="374" t="s">
        <v>116</v>
      </c>
      <c r="T59" s="374" t="s">
        <v>116</v>
      </c>
      <c r="U59" s="374" t="s">
        <v>116</v>
      </c>
      <c r="V59" s="374" t="s">
        <v>120</v>
      </c>
      <c r="W59" s="410" t="s">
        <v>120</v>
      </c>
      <c r="X59" s="410" t="s">
        <v>120</v>
      </c>
      <c r="Y59" s="410" t="s">
        <v>120</v>
      </c>
      <c r="Z59" s="369" t="s">
        <v>120</v>
      </c>
      <c r="AA59" s="350">
        <f>COUNTIF(H59:Z61, "SI")</f>
        <v>8</v>
      </c>
      <c r="AB59" s="369" t="s">
        <v>44</v>
      </c>
      <c r="AC59" s="348">
        <f>+VLOOKUP(AB59,Listados!$K$8:$L$12,2,0)</f>
        <v>3</v>
      </c>
      <c r="AD59" s="350" t="str">
        <f>+IF(OR(AA59=1,AA59&lt;=5),"Moderado",IF(OR(AA59=6,AA59&lt;=11),"Mayor","Catastrófico"))</f>
        <v>Mayor</v>
      </c>
      <c r="AE59" s="348" t="e">
        <f>+VLOOKUP(AD59,Listados!K115:L119,2,0)</f>
        <v>#N/A</v>
      </c>
      <c r="AF59" s="347" t="str">
        <f>IF(AND(AB59&lt;&gt;"",AD59&lt;&gt;""),VLOOKUP(AB59&amp;AD59,Listados!$M$3:$N$27,2,FALSE),"")</f>
        <v>Extremo</v>
      </c>
      <c r="AG59" s="47" t="s">
        <v>985</v>
      </c>
      <c r="AH59" s="262"/>
      <c r="AI59" s="249" t="s">
        <v>123</v>
      </c>
      <c r="AJ59" s="249" t="s">
        <v>116</v>
      </c>
      <c r="AK59" s="142"/>
      <c r="AL59" s="249" t="s">
        <v>116</v>
      </c>
      <c r="AM59" s="142"/>
      <c r="AN59" s="234" t="s">
        <v>116</v>
      </c>
      <c r="AO59" s="142"/>
      <c r="AP59" s="234" t="s">
        <v>123</v>
      </c>
      <c r="AQ59" s="142"/>
      <c r="AR59" s="234" t="s">
        <v>116</v>
      </c>
      <c r="AS59" s="142"/>
      <c r="AT59" s="234" t="s">
        <v>116</v>
      </c>
      <c r="AU59" s="142"/>
      <c r="AV59" s="234" t="s">
        <v>117</v>
      </c>
      <c r="AW59" s="142">
        <f t="shared" si="69"/>
        <v>10</v>
      </c>
      <c r="AX59" s="21">
        <f t="shared" si="70"/>
        <v>10</v>
      </c>
      <c r="AY59" s="21" t="str">
        <f t="shared" si="71"/>
        <v>Débil</v>
      </c>
      <c r="AZ59" s="209" t="s">
        <v>118</v>
      </c>
      <c r="BA59" s="210" t="str">
        <f t="shared" si="72"/>
        <v>Fuerte</v>
      </c>
      <c r="BB59" s="210" t="str">
        <f>IFERROR(VLOOKUP((CONCATENATE(AY59,BA59)),Listados!$U$3:$V$11,2,FALSE),"")</f>
        <v>Débil</v>
      </c>
      <c r="BC59" s="210">
        <f t="shared" si="73"/>
        <v>0</v>
      </c>
      <c r="BD59" s="413">
        <f>AVERAGE(BC59:BC61)</f>
        <v>66.666666666666671</v>
      </c>
      <c r="BE59" s="413" t="str">
        <f>IF(BD59&lt;=50, "Débil", IF(BD59&lt;=99,"Moderado","Fuerte"))</f>
        <v>Moderado</v>
      </c>
      <c r="BF59" s="413">
        <f>+IF(BE59="Fuerte",2,IF(BE59="Moderado",1,0))</f>
        <v>1</v>
      </c>
      <c r="BG59" s="413">
        <f>+AC59-BF59</f>
        <v>2</v>
      </c>
      <c r="BH59" s="379" t="str">
        <f>+VLOOKUP(BG59,Listados!$J$18:$K$24,2,TRUE)</f>
        <v>Improbable</v>
      </c>
      <c r="BI59" s="379" t="str">
        <f>IF(ISBLANK(AD59),"",AD59)</f>
        <v>Mayor</v>
      </c>
      <c r="BJ59" s="379" t="str">
        <f>IF(AND(BH59&lt;&gt;"",BI59&lt;&gt;""),VLOOKUP(BH59&amp;BI59,Listados!$M$3:$N$27,2,FALSE),"")</f>
        <v>Alto</v>
      </c>
      <c r="BK59" s="379" t="str">
        <f>+VLOOKUP(BJ59,Listados!$P$3:$Q$6,2,FALSE)</f>
        <v>Reducir el riesgo</v>
      </c>
      <c r="BL59" s="396" t="s">
        <v>986</v>
      </c>
      <c r="BM59" s="396" t="s">
        <v>987</v>
      </c>
      <c r="BN59" s="397">
        <v>44927</v>
      </c>
      <c r="BO59" s="397">
        <v>45291</v>
      </c>
      <c r="BP59" s="396" t="s">
        <v>988</v>
      </c>
      <c r="BQ59" s="396" t="s">
        <v>989</v>
      </c>
      <c r="BR59" s="475" t="s">
        <v>990</v>
      </c>
      <c r="BS59" s="411" t="s">
        <v>991</v>
      </c>
      <c r="BT59" s="411" t="s">
        <v>992</v>
      </c>
      <c r="BU59" s="499" t="s">
        <v>993</v>
      </c>
      <c r="BV59" s="499" t="s">
        <v>994</v>
      </c>
      <c r="BW59" s="396" t="s">
        <v>995</v>
      </c>
    </row>
    <row r="60" spans="1:75" ht="87.95" customHeight="1">
      <c r="A60" s="329"/>
      <c r="B60" s="444"/>
      <c r="C60" s="379"/>
      <c r="D60" s="435"/>
      <c r="E60" s="237" t="s">
        <v>996</v>
      </c>
      <c r="F60" s="433"/>
      <c r="G60" s="367"/>
      <c r="H60" s="374"/>
      <c r="I60" s="374"/>
      <c r="J60" s="374"/>
      <c r="K60" s="374"/>
      <c r="L60" s="374"/>
      <c r="M60" s="374"/>
      <c r="N60" s="374"/>
      <c r="O60" s="374"/>
      <c r="P60" s="374"/>
      <c r="Q60" s="374"/>
      <c r="R60" s="374"/>
      <c r="S60" s="374"/>
      <c r="T60" s="374"/>
      <c r="U60" s="374"/>
      <c r="V60" s="374"/>
      <c r="W60" s="374"/>
      <c r="X60" s="374"/>
      <c r="Y60" s="374"/>
      <c r="Z60" s="370"/>
      <c r="AA60" s="362"/>
      <c r="AB60" s="370"/>
      <c r="AC60" s="349"/>
      <c r="AD60" s="362" t="str">
        <f>+IF(OR(AB60=1,AB60&lt;=5),"Moderado",IF(OR(AB60=6,AB60&lt;=11),"Mayor","Catastrófico"))</f>
        <v>Moderado</v>
      </c>
      <c r="AE60" s="349"/>
      <c r="AF60" s="353"/>
      <c r="AG60" s="47" t="s">
        <v>997</v>
      </c>
      <c r="AH60" s="191"/>
      <c r="AI60" s="249" t="s">
        <v>20</v>
      </c>
      <c r="AJ60" s="249" t="s">
        <v>116</v>
      </c>
      <c r="AK60" s="142">
        <f t="shared" ref="AK60:AK61" si="80">+IF(AJ60="si",15,"")</f>
        <v>15</v>
      </c>
      <c r="AL60" s="249" t="s">
        <v>312</v>
      </c>
      <c r="AM60" s="142">
        <f t="shared" ref="AM60:AM61" si="81">+IF(AL60="si",15,"")</f>
        <v>15</v>
      </c>
      <c r="AN60" s="234" t="s">
        <v>312</v>
      </c>
      <c r="AO60" s="142">
        <f t="shared" ref="AO60:AO61" si="82">+IF(AN60="si",15,"")</f>
        <v>15</v>
      </c>
      <c r="AP60" s="234" t="s">
        <v>20</v>
      </c>
      <c r="AQ60" s="142">
        <f t="shared" ref="AQ60:AQ61" si="83">+IF(AP60="Preventivo",15,IF(AP60="Detectivo",10,""))</f>
        <v>15</v>
      </c>
      <c r="AR60" s="234" t="s">
        <v>312</v>
      </c>
      <c r="AS60" s="142">
        <f t="shared" ref="AS60:AS61" si="84">+IF(AR60="si",15,"")</f>
        <v>15</v>
      </c>
      <c r="AT60" s="234" t="s">
        <v>312</v>
      </c>
      <c r="AU60" s="142">
        <f t="shared" ref="AU60:AU61" si="85">+IF(AT60="si",15,"")</f>
        <v>15</v>
      </c>
      <c r="AV60" s="234" t="s">
        <v>117</v>
      </c>
      <c r="AW60" s="142">
        <f t="shared" si="69"/>
        <v>10</v>
      </c>
      <c r="AX60" s="21">
        <f t="shared" si="70"/>
        <v>100</v>
      </c>
      <c r="AY60" s="21" t="str">
        <f t="shared" si="71"/>
        <v>Fuerte</v>
      </c>
      <c r="AZ60" s="209" t="s">
        <v>118</v>
      </c>
      <c r="BA60" s="210" t="str">
        <f t="shared" si="72"/>
        <v>Fuerte</v>
      </c>
      <c r="BB60" s="210" t="str">
        <f>IFERROR(VLOOKUP((CONCATENATE(AY60,BA60)),Listados!$U$3:$V$11,2,FALSE),"")</f>
        <v>Fuerte</v>
      </c>
      <c r="BC60" s="210">
        <f t="shared" si="73"/>
        <v>100</v>
      </c>
      <c r="BD60" s="413"/>
      <c r="BE60" s="413"/>
      <c r="BF60" s="413"/>
      <c r="BG60" s="413"/>
      <c r="BH60" s="379"/>
      <c r="BI60" s="379"/>
      <c r="BJ60" s="379"/>
      <c r="BK60" s="379"/>
      <c r="BL60" s="396"/>
      <c r="BM60" s="396"/>
      <c r="BN60" s="397"/>
      <c r="BO60" s="396"/>
      <c r="BP60" s="396"/>
      <c r="BQ60" s="396"/>
      <c r="BR60" s="475"/>
      <c r="BS60" s="411"/>
      <c r="BT60" s="411"/>
      <c r="BU60" s="499"/>
      <c r="BV60" s="499"/>
      <c r="BW60" s="396"/>
    </row>
    <row r="61" spans="1:75" ht="63.75">
      <c r="A61" s="329"/>
      <c r="B61" s="447"/>
      <c r="C61" s="380"/>
      <c r="D61" s="436"/>
      <c r="E61" s="187" t="s">
        <v>998</v>
      </c>
      <c r="F61" s="433"/>
      <c r="G61" s="489"/>
      <c r="H61" s="430"/>
      <c r="I61" s="430"/>
      <c r="J61" s="430"/>
      <c r="K61" s="430"/>
      <c r="L61" s="430"/>
      <c r="M61" s="430"/>
      <c r="N61" s="430"/>
      <c r="O61" s="430"/>
      <c r="P61" s="430"/>
      <c r="Q61" s="430"/>
      <c r="R61" s="430"/>
      <c r="S61" s="430"/>
      <c r="T61" s="430"/>
      <c r="U61" s="430"/>
      <c r="V61" s="430"/>
      <c r="W61" s="430"/>
      <c r="X61" s="430"/>
      <c r="Y61" s="430"/>
      <c r="Z61" s="412"/>
      <c r="AA61" s="348"/>
      <c r="AB61" s="412"/>
      <c r="AC61" s="349"/>
      <c r="AD61" s="348" t="str">
        <f>+IF(OR(AB61=1,AB61&lt;=5),"Moderado",IF(OR(AB61=6,AB61&lt;=11),"Mayor","Catastrófico"))</f>
        <v>Moderado</v>
      </c>
      <c r="AE61" s="349"/>
      <c r="AF61" s="345"/>
      <c r="AG61" s="101" t="s">
        <v>999</v>
      </c>
      <c r="AH61" s="258"/>
      <c r="AI61" s="193" t="s">
        <v>20</v>
      </c>
      <c r="AJ61" s="193" t="s">
        <v>116</v>
      </c>
      <c r="AK61" s="142">
        <f t="shared" si="80"/>
        <v>15</v>
      </c>
      <c r="AL61" s="193" t="s">
        <v>116</v>
      </c>
      <c r="AM61" s="142">
        <f t="shared" si="81"/>
        <v>15</v>
      </c>
      <c r="AN61" s="182" t="s">
        <v>116</v>
      </c>
      <c r="AO61" s="142">
        <f t="shared" si="82"/>
        <v>15</v>
      </c>
      <c r="AP61" s="182" t="s">
        <v>20</v>
      </c>
      <c r="AQ61" s="142">
        <f t="shared" si="83"/>
        <v>15</v>
      </c>
      <c r="AR61" s="182" t="s">
        <v>116</v>
      </c>
      <c r="AS61" s="142">
        <f t="shared" si="84"/>
        <v>15</v>
      </c>
      <c r="AT61" s="182" t="s">
        <v>116</v>
      </c>
      <c r="AU61" s="142">
        <f t="shared" si="85"/>
        <v>15</v>
      </c>
      <c r="AV61" s="182" t="s">
        <v>117</v>
      </c>
      <c r="AW61" s="142">
        <f t="shared" si="69"/>
        <v>10</v>
      </c>
      <c r="AX61" s="146">
        <f t="shared" si="70"/>
        <v>100</v>
      </c>
      <c r="AY61" s="146" t="str">
        <f t="shared" si="71"/>
        <v>Fuerte</v>
      </c>
      <c r="AZ61" s="180" t="s">
        <v>118</v>
      </c>
      <c r="BA61" s="179" t="str">
        <f t="shared" si="72"/>
        <v>Fuerte</v>
      </c>
      <c r="BB61" s="179" t="str">
        <f>IFERROR(VLOOKUP((CONCATENATE(AY61,BA61)),Listados!$U$3:$V$11,2,FALSE),"")</f>
        <v>Fuerte</v>
      </c>
      <c r="BC61" s="179">
        <f t="shared" si="73"/>
        <v>100</v>
      </c>
      <c r="BD61" s="384"/>
      <c r="BE61" s="384"/>
      <c r="BF61" s="384"/>
      <c r="BG61" s="384"/>
      <c r="BH61" s="380"/>
      <c r="BI61" s="380"/>
      <c r="BJ61" s="380"/>
      <c r="BK61" s="380"/>
      <c r="BL61" s="396"/>
      <c r="BM61" s="396"/>
      <c r="BN61" s="397"/>
      <c r="BO61" s="396"/>
      <c r="BP61" s="396"/>
      <c r="BQ61" s="396"/>
      <c r="BR61" s="406"/>
      <c r="BS61" s="393"/>
      <c r="BT61" s="393"/>
      <c r="BU61" s="492"/>
      <c r="BV61" s="492"/>
      <c r="BW61" s="375"/>
    </row>
    <row r="62" spans="1:75" ht="120" customHeight="1">
      <c r="A62" s="488">
        <v>17</v>
      </c>
      <c r="B62" s="374" t="s">
        <v>68</v>
      </c>
      <c r="C62" s="379" t="str">
        <f>IFERROR(VLOOKUP(B62,Listados!B$3:C$20,2,FALSE),"")</f>
        <v>Gestión contra la Criminalidad y la Reincidencia</v>
      </c>
      <c r="D62" s="435" t="s">
        <v>1000</v>
      </c>
      <c r="E62" s="237" t="s">
        <v>1001</v>
      </c>
      <c r="F62" s="222" t="s">
        <v>16</v>
      </c>
      <c r="G62" s="367" t="s">
        <v>984</v>
      </c>
      <c r="H62" s="374" t="s">
        <v>1002</v>
      </c>
      <c r="I62" s="374" t="s">
        <v>1002</v>
      </c>
      <c r="J62" s="374" t="s">
        <v>1002</v>
      </c>
      <c r="K62" s="374" t="s">
        <v>1002</v>
      </c>
      <c r="L62" s="374" t="s">
        <v>1002</v>
      </c>
      <c r="M62" s="374" t="s">
        <v>1002</v>
      </c>
      <c r="N62" s="374" t="s">
        <v>1002</v>
      </c>
      <c r="O62" s="374" t="s">
        <v>1002</v>
      </c>
      <c r="P62" s="374" t="s">
        <v>1002</v>
      </c>
      <c r="Q62" s="374" t="s">
        <v>1002</v>
      </c>
      <c r="R62" s="374" t="s">
        <v>1002</v>
      </c>
      <c r="S62" s="374" t="s">
        <v>1002</v>
      </c>
      <c r="T62" s="374" t="s">
        <v>1002</v>
      </c>
      <c r="U62" s="374" t="s">
        <v>1002</v>
      </c>
      <c r="V62" s="374" t="s">
        <v>1002</v>
      </c>
      <c r="W62" s="374" t="s">
        <v>1003</v>
      </c>
      <c r="X62" s="374" t="s">
        <v>1002</v>
      </c>
      <c r="Y62" s="374" t="s">
        <v>1002</v>
      </c>
      <c r="Z62" s="370" t="s">
        <v>1003</v>
      </c>
      <c r="AA62" s="362">
        <f>COUNTIF(H62:Z64, "SI")</f>
        <v>17</v>
      </c>
      <c r="AB62" s="370" t="s">
        <v>44</v>
      </c>
      <c r="AC62" s="362">
        <f>+VLOOKUP(AB62,Listados!$K$8:$L$12,2,0)</f>
        <v>3</v>
      </c>
      <c r="AD62" s="362" t="str">
        <f>+IF(OR(AA62=1,AA62&lt;=5),"Moderado",IF(OR(AA62=6,AA62&lt;=11),"Mayor","Catastrófico"))</f>
        <v>Catastrófico</v>
      </c>
      <c r="AE62" s="362" t="e">
        <f>+VLOOKUP(AD62,Listados!K124:L128,2,0)</f>
        <v>#N/A</v>
      </c>
      <c r="AF62" s="353" t="str">
        <f>IF(AND(AB62&lt;&gt;"",AD62&lt;&gt;""),VLOOKUP(AB62&amp;AD62,Listados!$M$3:$N$27,2,FALSE),"")</f>
        <v>Extremo</v>
      </c>
      <c r="AG62" s="280" t="s">
        <v>1004</v>
      </c>
      <c r="AH62" s="159" t="s">
        <v>1005</v>
      </c>
      <c r="AI62" s="283" t="s">
        <v>20</v>
      </c>
      <c r="AJ62" s="283" t="s">
        <v>1002</v>
      </c>
      <c r="AK62" s="211">
        <f t="shared" si="74"/>
        <v>15</v>
      </c>
      <c r="AL62" s="283" t="s">
        <v>1002</v>
      </c>
      <c r="AM62" s="211">
        <f t="shared" si="75"/>
        <v>15</v>
      </c>
      <c r="AN62" s="208" t="s">
        <v>1002</v>
      </c>
      <c r="AO62" s="211">
        <f t="shared" si="76"/>
        <v>15</v>
      </c>
      <c r="AP62" s="208" t="s">
        <v>20</v>
      </c>
      <c r="AQ62" s="211">
        <f t="shared" si="77"/>
        <v>15</v>
      </c>
      <c r="AR62" s="208" t="s">
        <v>116</v>
      </c>
      <c r="AS62" s="211">
        <f t="shared" si="78"/>
        <v>15</v>
      </c>
      <c r="AT62" s="208" t="s">
        <v>116</v>
      </c>
      <c r="AU62" s="211">
        <f t="shared" si="79"/>
        <v>15</v>
      </c>
      <c r="AV62" s="208" t="s">
        <v>117</v>
      </c>
      <c r="AW62" s="245">
        <f t="shared" ref="AW62:AW64" si="86">+IF(AV62="Completa",10,IF(AV62="Incompleta",5,""))</f>
        <v>10</v>
      </c>
      <c r="AX62" s="210">
        <f t="shared" ref="AX62:AX64" si="87">IF((SUM(AK62,AM62,AO62,AQ62,AS62,AU62,AW62)=0),"",(SUM(AK62,AM62,AO62,AQ62,AS62,AU62,AW62)))</f>
        <v>100</v>
      </c>
      <c r="AY62" s="210" t="str">
        <f t="shared" ref="AY62:AY64" si="88">IF(AX62&lt;=85,"Débil",IF(AX62&lt;=95,"Moderado",IF(AX62=100,"Fuerte","")))</f>
        <v>Fuerte</v>
      </c>
      <c r="AZ62" s="209" t="s">
        <v>118</v>
      </c>
      <c r="BA62" s="210" t="str">
        <f t="shared" ref="BA62:BA64" si="89">+IF(AZ62="siempre","Fuerte",IF(AZ62="Algunas veces","Moderado","Débil"))</f>
        <v>Fuerte</v>
      </c>
      <c r="BB62" s="210" t="str">
        <f>IFERROR(VLOOKUP((CONCATENATE(AY62,BA62)),Listados!$U$3:$V$11,2,FALSE),"")</f>
        <v>Fuerte</v>
      </c>
      <c r="BC62" s="210">
        <f t="shared" ref="BC62:BC64" si="90">IF(ISBLANK(BB62),"",IF(BB62="Débil", 0, IF(BB62="Moderado",50,100)))</f>
        <v>100</v>
      </c>
      <c r="BD62" s="413">
        <f>AVERAGE(BC62:BC64)</f>
        <v>83.333333333333329</v>
      </c>
      <c r="BE62" s="413" t="str">
        <f>IF(BD62&lt;=50, "Débil", IF(BD62&lt;=99,"Moderado","Fuerte"))</f>
        <v>Moderado</v>
      </c>
      <c r="BF62" s="413">
        <f>+IF(BE62="Fuerte",2,IF(BE62="Moderado",1,0))</f>
        <v>1</v>
      </c>
      <c r="BG62" s="413">
        <f>+AC62-BF62</f>
        <v>2</v>
      </c>
      <c r="BH62" s="379" t="str">
        <f>+VLOOKUP(BG62,Listados!$J$18:$K$24,2,TRUE)</f>
        <v>Improbable</v>
      </c>
      <c r="BI62" s="379" t="str">
        <f>IF(ISBLANK(AD62),"",AD62)</f>
        <v>Catastrófico</v>
      </c>
      <c r="BJ62" s="379" t="str">
        <f>IF(AND(BH62&lt;&gt;"",BI62&lt;&gt;""),VLOOKUP(BH62&amp;BI62,Listados!$M$3:$N$27,2,FALSE),"")</f>
        <v>Extremo</v>
      </c>
      <c r="BK62" s="379" t="str">
        <f>+VLOOKUP(BJ62,Listados!$P$3:$Q$6,2,FALSE)</f>
        <v>Evitar el riesgo</v>
      </c>
      <c r="BL62" s="262" t="s">
        <v>1006</v>
      </c>
      <c r="BM62" s="262" t="s">
        <v>987</v>
      </c>
      <c r="BN62" s="251">
        <v>44927</v>
      </c>
      <c r="BO62" s="251">
        <v>45291</v>
      </c>
      <c r="BP62" s="262" t="s">
        <v>755</v>
      </c>
      <c r="BQ62" s="274" t="s">
        <v>1007</v>
      </c>
      <c r="BR62" s="269" t="s">
        <v>1008</v>
      </c>
      <c r="BS62" s="291" t="s">
        <v>1009</v>
      </c>
      <c r="BT62" s="292" t="s">
        <v>1010</v>
      </c>
      <c r="BU62" s="400" t="s">
        <v>1011</v>
      </c>
      <c r="BV62" s="400" t="s">
        <v>1012</v>
      </c>
      <c r="BW62" s="396" t="s">
        <v>1013</v>
      </c>
    </row>
    <row r="63" spans="1:75" ht="242.25">
      <c r="A63" s="488"/>
      <c r="B63" s="374"/>
      <c r="C63" s="379"/>
      <c r="D63" s="435"/>
      <c r="E63" s="237" t="s">
        <v>1014</v>
      </c>
      <c r="F63" s="222" t="s">
        <v>16</v>
      </c>
      <c r="G63" s="367"/>
      <c r="H63" s="374"/>
      <c r="I63" s="374"/>
      <c r="J63" s="374"/>
      <c r="K63" s="374"/>
      <c r="L63" s="374"/>
      <c r="M63" s="374"/>
      <c r="N63" s="374"/>
      <c r="O63" s="374"/>
      <c r="P63" s="374"/>
      <c r="Q63" s="374"/>
      <c r="R63" s="374"/>
      <c r="S63" s="374"/>
      <c r="T63" s="374"/>
      <c r="U63" s="374"/>
      <c r="V63" s="374"/>
      <c r="W63" s="374"/>
      <c r="X63" s="374"/>
      <c r="Y63" s="374"/>
      <c r="Z63" s="370"/>
      <c r="AA63" s="362"/>
      <c r="AB63" s="370"/>
      <c r="AC63" s="362"/>
      <c r="AD63" s="362"/>
      <c r="AE63" s="362"/>
      <c r="AF63" s="353"/>
      <c r="AG63" s="281" t="s">
        <v>1015</v>
      </c>
      <c r="AH63" s="486" t="s">
        <v>1014</v>
      </c>
      <c r="AI63" s="283" t="s">
        <v>20</v>
      </c>
      <c r="AJ63" s="283" t="s">
        <v>116</v>
      </c>
      <c r="AK63" s="211">
        <f t="shared" si="74"/>
        <v>15</v>
      </c>
      <c r="AL63" s="283" t="s">
        <v>1002</v>
      </c>
      <c r="AM63" s="211">
        <f t="shared" si="75"/>
        <v>15</v>
      </c>
      <c r="AN63" s="208" t="s">
        <v>1002</v>
      </c>
      <c r="AO63" s="211">
        <f t="shared" si="76"/>
        <v>15</v>
      </c>
      <c r="AP63" s="208" t="s">
        <v>20</v>
      </c>
      <c r="AQ63" s="211">
        <f t="shared" si="77"/>
        <v>15</v>
      </c>
      <c r="AR63" s="208" t="s">
        <v>1002</v>
      </c>
      <c r="AS63" s="211">
        <f t="shared" si="78"/>
        <v>15</v>
      </c>
      <c r="AT63" s="208" t="s">
        <v>1002</v>
      </c>
      <c r="AU63" s="211">
        <f t="shared" si="79"/>
        <v>15</v>
      </c>
      <c r="AV63" s="208" t="s">
        <v>117</v>
      </c>
      <c r="AW63" s="245">
        <f t="shared" si="86"/>
        <v>10</v>
      </c>
      <c r="AX63" s="210">
        <f t="shared" si="87"/>
        <v>100</v>
      </c>
      <c r="AY63" s="210" t="str">
        <f t="shared" si="88"/>
        <v>Fuerte</v>
      </c>
      <c r="AZ63" s="209" t="s">
        <v>118</v>
      </c>
      <c r="BA63" s="210" t="str">
        <f t="shared" si="89"/>
        <v>Fuerte</v>
      </c>
      <c r="BB63" s="210" t="str">
        <f>IFERROR(VLOOKUP((CONCATENATE(AY63,BA63)),Listados!$U$3:$V$11,2,FALSE),"")</f>
        <v>Fuerte</v>
      </c>
      <c r="BC63" s="210">
        <f t="shared" si="90"/>
        <v>100</v>
      </c>
      <c r="BD63" s="413"/>
      <c r="BE63" s="413"/>
      <c r="BF63" s="413"/>
      <c r="BG63" s="413"/>
      <c r="BH63" s="379"/>
      <c r="BI63" s="379"/>
      <c r="BJ63" s="379"/>
      <c r="BK63" s="379"/>
      <c r="BL63" s="160" t="s">
        <v>1016</v>
      </c>
      <c r="BM63" s="482" t="s">
        <v>1017</v>
      </c>
      <c r="BN63" s="484">
        <v>44927</v>
      </c>
      <c r="BO63" s="484">
        <v>45291</v>
      </c>
      <c r="BP63" s="262" t="s">
        <v>755</v>
      </c>
      <c r="BQ63" s="262" t="s">
        <v>1018</v>
      </c>
      <c r="BR63" s="269" t="s">
        <v>1019</v>
      </c>
      <c r="BS63" s="291" t="s">
        <v>1020</v>
      </c>
      <c r="BT63" s="291" t="s">
        <v>1021</v>
      </c>
      <c r="BU63" s="400"/>
      <c r="BV63" s="400"/>
      <c r="BW63" s="396"/>
    </row>
    <row r="64" spans="1:75" ht="171" customHeight="1">
      <c r="A64" s="488"/>
      <c r="B64" s="374"/>
      <c r="C64" s="379"/>
      <c r="D64" s="435"/>
      <c r="E64" s="237"/>
      <c r="F64" s="222"/>
      <c r="G64" s="367"/>
      <c r="H64" s="374"/>
      <c r="I64" s="374"/>
      <c r="J64" s="374"/>
      <c r="K64" s="374"/>
      <c r="L64" s="374"/>
      <c r="M64" s="374"/>
      <c r="N64" s="374"/>
      <c r="O64" s="374"/>
      <c r="P64" s="374"/>
      <c r="Q64" s="374"/>
      <c r="R64" s="374"/>
      <c r="S64" s="374"/>
      <c r="T64" s="374"/>
      <c r="U64" s="374"/>
      <c r="V64" s="374"/>
      <c r="W64" s="374"/>
      <c r="X64" s="374"/>
      <c r="Y64" s="374"/>
      <c r="Z64" s="370"/>
      <c r="AA64" s="362"/>
      <c r="AB64" s="370"/>
      <c r="AC64" s="362"/>
      <c r="AD64" s="362"/>
      <c r="AE64" s="362"/>
      <c r="AF64" s="353"/>
      <c r="AG64" s="280" t="s">
        <v>1022</v>
      </c>
      <c r="AH64" s="487"/>
      <c r="AI64" s="283" t="s">
        <v>123</v>
      </c>
      <c r="AJ64" s="283" t="s">
        <v>1002</v>
      </c>
      <c r="AK64" s="211">
        <f t="shared" si="74"/>
        <v>15</v>
      </c>
      <c r="AL64" s="283" t="s">
        <v>1002</v>
      </c>
      <c r="AM64" s="211">
        <f t="shared" si="75"/>
        <v>15</v>
      </c>
      <c r="AN64" s="208" t="s">
        <v>1002</v>
      </c>
      <c r="AO64" s="211">
        <f t="shared" si="76"/>
        <v>15</v>
      </c>
      <c r="AP64" s="208" t="s">
        <v>123</v>
      </c>
      <c r="AQ64" s="211">
        <f t="shared" si="77"/>
        <v>10</v>
      </c>
      <c r="AR64" s="208" t="s">
        <v>1002</v>
      </c>
      <c r="AS64" s="211">
        <f t="shared" si="78"/>
        <v>15</v>
      </c>
      <c r="AT64" s="208" t="s">
        <v>1002</v>
      </c>
      <c r="AU64" s="211">
        <f t="shared" si="79"/>
        <v>15</v>
      </c>
      <c r="AV64" s="208" t="s">
        <v>117</v>
      </c>
      <c r="AW64" s="245">
        <f t="shared" si="86"/>
        <v>10</v>
      </c>
      <c r="AX64" s="210">
        <f t="shared" si="87"/>
        <v>95</v>
      </c>
      <c r="AY64" s="210" t="str">
        <f t="shared" si="88"/>
        <v>Moderado</v>
      </c>
      <c r="AZ64" s="209" t="s">
        <v>118</v>
      </c>
      <c r="BA64" s="210" t="str">
        <f t="shared" si="89"/>
        <v>Fuerte</v>
      </c>
      <c r="BB64" s="210" t="str">
        <f>IFERROR(VLOOKUP((CONCATENATE(AY64,BA64)),Listados!$U$3:$V$11,2,FALSE),"")</f>
        <v>Moderado</v>
      </c>
      <c r="BC64" s="210">
        <f t="shared" si="90"/>
        <v>50</v>
      </c>
      <c r="BD64" s="413"/>
      <c r="BE64" s="413"/>
      <c r="BF64" s="413"/>
      <c r="BG64" s="413"/>
      <c r="BH64" s="379"/>
      <c r="BI64" s="379"/>
      <c r="BJ64" s="379"/>
      <c r="BK64" s="379"/>
      <c r="BL64" s="262" t="s">
        <v>1023</v>
      </c>
      <c r="BM64" s="483"/>
      <c r="BN64" s="485"/>
      <c r="BO64" s="485"/>
      <c r="BP64" s="262" t="s">
        <v>755</v>
      </c>
      <c r="BQ64" s="262" t="s">
        <v>1024</v>
      </c>
      <c r="BR64" s="269" t="s">
        <v>1025</v>
      </c>
      <c r="BS64" s="291" t="s">
        <v>1026</v>
      </c>
      <c r="BT64" s="292" t="s">
        <v>1027</v>
      </c>
      <c r="BU64" s="400"/>
      <c r="BV64" s="400"/>
      <c r="BW64" s="396"/>
    </row>
    <row r="65" spans="64:69">
      <c r="BL65" s="143"/>
      <c r="BM65" s="143"/>
      <c r="BN65" s="143"/>
      <c r="BO65" s="143"/>
      <c r="BP65" s="143"/>
      <c r="BQ65" s="143"/>
    </row>
    <row r="66" spans="64:69">
      <c r="BL66" s="143"/>
      <c r="BM66" s="143"/>
      <c r="BN66" s="143"/>
      <c r="BO66" s="143"/>
      <c r="BP66" s="143"/>
      <c r="BQ66" s="143"/>
    </row>
    <row r="67" spans="64:69">
      <c r="BL67" s="143"/>
      <c r="BM67" s="143"/>
      <c r="BN67" s="143"/>
      <c r="BO67" s="143"/>
      <c r="BP67" s="143"/>
      <c r="BQ67" s="143"/>
    </row>
    <row r="68" spans="64:69">
      <c r="BL68" s="143"/>
      <c r="BM68" s="143"/>
      <c r="BN68" s="143"/>
      <c r="BO68" s="143"/>
      <c r="BP68" s="143"/>
      <c r="BQ68" s="143"/>
    </row>
    <row r="69" spans="64:69">
      <c r="BL69" s="143"/>
      <c r="BM69" s="143"/>
      <c r="BN69" s="143"/>
      <c r="BO69" s="143"/>
      <c r="BP69" s="143"/>
      <c r="BQ69" s="143"/>
    </row>
    <row r="70" spans="64:69">
      <c r="BL70" s="143"/>
      <c r="BM70" s="143"/>
      <c r="BN70" s="143"/>
      <c r="BO70" s="143"/>
      <c r="BP70" s="143"/>
      <c r="BQ70" s="143"/>
    </row>
    <row r="71" spans="64:69">
      <c r="BL71" s="143"/>
      <c r="BM71" s="143"/>
      <c r="BN71" s="143"/>
      <c r="BO71" s="143"/>
      <c r="BP71" s="143"/>
      <c r="BQ71" s="143"/>
    </row>
    <row r="72" spans="64:69">
      <c r="BL72" s="143"/>
      <c r="BM72" s="143"/>
      <c r="BN72" s="143"/>
      <c r="BO72" s="143"/>
      <c r="BP72" s="143"/>
      <c r="BQ72" s="143"/>
    </row>
    <row r="73" spans="64:69">
      <c r="BL73" s="143"/>
      <c r="BM73" s="143"/>
      <c r="BN73" s="143"/>
      <c r="BO73" s="143"/>
      <c r="BP73" s="143"/>
      <c r="BQ73" s="143"/>
    </row>
    <row r="74" spans="64:69">
      <c r="BL74" s="143"/>
      <c r="BM74" s="143"/>
      <c r="BN74" s="143"/>
      <c r="BO74" s="143"/>
      <c r="BP74" s="143"/>
      <c r="BQ74" s="143"/>
    </row>
    <row r="75" spans="64:69">
      <c r="BL75" s="143"/>
      <c r="BM75" s="143"/>
      <c r="BN75" s="143"/>
      <c r="BO75" s="143"/>
      <c r="BP75" s="143"/>
      <c r="BQ75" s="143"/>
    </row>
    <row r="76" spans="64:69">
      <c r="BL76" s="143"/>
      <c r="BM76" s="143"/>
      <c r="BN76" s="143"/>
      <c r="BO76" s="143"/>
      <c r="BP76" s="143"/>
      <c r="BQ76" s="143"/>
    </row>
    <row r="77" spans="64:69">
      <c r="BL77" s="143"/>
      <c r="BM77" s="143"/>
      <c r="BN77" s="143"/>
      <c r="BO77" s="143"/>
      <c r="BP77" s="143"/>
      <c r="BQ77" s="143"/>
    </row>
    <row r="78" spans="64:69">
      <c r="BL78" s="143"/>
      <c r="BM78" s="143"/>
      <c r="BN78" s="143"/>
      <c r="BO78" s="143"/>
      <c r="BP78" s="143"/>
      <c r="BQ78" s="143"/>
    </row>
    <row r="79" spans="64:69">
      <c r="BL79" s="143"/>
      <c r="BM79" s="143"/>
      <c r="BN79" s="143"/>
      <c r="BO79" s="143"/>
      <c r="BP79" s="143"/>
      <c r="BQ79" s="143"/>
    </row>
    <row r="80" spans="64:69">
      <c r="BL80" s="143"/>
      <c r="BM80" s="143"/>
      <c r="BN80" s="143"/>
      <c r="BO80" s="143"/>
      <c r="BP80" s="143"/>
      <c r="BQ80" s="143"/>
    </row>
    <row r="81" spans="64:69">
      <c r="BL81" s="143"/>
      <c r="BM81" s="143"/>
      <c r="BN81" s="143"/>
      <c r="BO81" s="143"/>
      <c r="BP81" s="143"/>
      <c r="BQ81" s="143"/>
    </row>
    <row r="82" spans="64:69">
      <c r="BL82" s="143"/>
      <c r="BM82" s="143"/>
      <c r="BN82" s="143"/>
      <c r="BO82" s="143"/>
      <c r="BP82" s="143"/>
      <c r="BQ82" s="143"/>
    </row>
    <row r="83" spans="64:69">
      <c r="BL83" s="143"/>
      <c r="BM83" s="143"/>
      <c r="BN83" s="143"/>
      <c r="BO83" s="143"/>
      <c r="BP83" s="143"/>
      <c r="BQ83" s="143"/>
    </row>
    <row r="84" spans="64:69">
      <c r="BL84" s="143"/>
      <c r="BM84" s="143"/>
      <c r="BN84" s="143"/>
      <c r="BO84" s="143"/>
      <c r="BP84" s="143"/>
      <c r="BQ84" s="143"/>
    </row>
    <row r="85" spans="64:69">
      <c r="BL85" s="143"/>
      <c r="BM85" s="143"/>
      <c r="BN85" s="143"/>
      <c r="BO85" s="143"/>
      <c r="BP85" s="143"/>
      <c r="BQ85" s="143"/>
    </row>
    <row r="86" spans="64:69">
      <c r="BL86" s="143"/>
      <c r="BM86" s="143"/>
      <c r="BN86" s="143"/>
      <c r="BO86" s="143"/>
      <c r="BP86" s="143"/>
      <c r="BQ86" s="143"/>
    </row>
    <row r="87" spans="64:69">
      <c r="BL87" s="143"/>
      <c r="BM87" s="143"/>
      <c r="BN87" s="143"/>
      <c r="BO87" s="143"/>
      <c r="BP87" s="143"/>
      <c r="BQ87" s="143"/>
    </row>
    <row r="88" spans="64:69">
      <c r="BL88" s="143"/>
      <c r="BM88" s="143"/>
      <c r="BN88" s="143"/>
      <c r="BO88" s="143"/>
      <c r="BP88" s="143"/>
      <c r="BQ88" s="143"/>
    </row>
    <row r="89" spans="64:69">
      <c r="BL89" s="143"/>
      <c r="BM89" s="143"/>
      <c r="BN89" s="143"/>
      <c r="BO89" s="143"/>
      <c r="BP89" s="143"/>
      <c r="BQ89" s="143"/>
    </row>
    <row r="90" spans="64:69">
      <c r="BL90" s="143"/>
      <c r="BM90" s="143"/>
      <c r="BN90" s="143"/>
      <c r="BO90" s="143"/>
      <c r="BP90" s="143"/>
      <c r="BQ90" s="143"/>
    </row>
    <row r="91" spans="64:69">
      <c r="BL91" s="143"/>
      <c r="BM91" s="143"/>
      <c r="BN91" s="143"/>
      <c r="BO91" s="143"/>
      <c r="BP91" s="143"/>
      <c r="BQ91" s="143"/>
    </row>
    <row r="92" spans="64:69">
      <c r="BL92" s="143"/>
      <c r="BM92" s="143"/>
      <c r="BN92" s="143"/>
      <c r="BO92" s="143"/>
      <c r="BP92" s="143"/>
      <c r="BQ92" s="143"/>
    </row>
    <row r="93" spans="64:69">
      <c r="BL93" s="143"/>
      <c r="BM93" s="143"/>
      <c r="BN93" s="143"/>
      <c r="BO93" s="143"/>
      <c r="BP93" s="143"/>
      <c r="BQ93" s="143"/>
    </row>
    <row r="94" spans="64:69">
      <c r="BL94" s="143"/>
      <c r="BM94" s="143"/>
      <c r="BN94" s="143"/>
      <c r="BO94" s="143"/>
      <c r="BP94" s="143"/>
      <c r="BQ94" s="143"/>
    </row>
    <row r="95" spans="64:69">
      <c r="BL95" s="143"/>
      <c r="BM95" s="143"/>
      <c r="BN95" s="143"/>
      <c r="BO95" s="143"/>
      <c r="BP95" s="143"/>
      <c r="BQ95" s="143"/>
    </row>
    <row r="96" spans="64:69">
      <c r="BL96" s="143"/>
      <c r="BM96" s="143"/>
      <c r="BN96" s="143"/>
      <c r="BO96" s="143"/>
      <c r="BP96" s="143"/>
      <c r="BQ96" s="143"/>
    </row>
    <row r="97" spans="64:69">
      <c r="BL97" s="143"/>
      <c r="BM97" s="143"/>
      <c r="BN97" s="143"/>
      <c r="BO97" s="143"/>
      <c r="BP97" s="143"/>
      <c r="BQ97" s="143"/>
    </row>
    <row r="98" spans="64:69">
      <c r="BL98" s="143"/>
      <c r="BM98" s="143"/>
      <c r="BN98" s="143"/>
      <c r="BO98" s="143"/>
      <c r="BP98" s="143"/>
      <c r="BQ98" s="143"/>
    </row>
    <row r="99" spans="64:69">
      <c r="BL99" s="143"/>
      <c r="BM99" s="143"/>
      <c r="BN99" s="143"/>
      <c r="BO99" s="143"/>
      <c r="BP99" s="143"/>
      <c r="BQ99" s="143"/>
    </row>
    <row r="100" spans="64:69">
      <c r="BL100" s="143"/>
      <c r="BM100" s="143"/>
      <c r="BN100" s="143"/>
      <c r="BO100" s="143"/>
      <c r="BP100" s="143"/>
      <c r="BQ100" s="143"/>
    </row>
    <row r="101" spans="64:69">
      <c r="BL101" s="143"/>
      <c r="BM101" s="143"/>
      <c r="BN101" s="143"/>
      <c r="BO101" s="143"/>
      <c r="BP101" s="143"/>
      <c r="BQ101" s="143"/>
    </row>
    <row r="102" spans="64:69">
      <c r="BL102" s="143"/>
      <c r="BM102" s="143"/>
      <c r="BN102" s="143"/>
      <c r="BO102" s="143"/>
      <c r="BP102" s="143"/>
      <c r="BQ102" s="143"/>
    </row>
    <row r="103" spans="64:69">
      <c r="BL103" s="143"/>
      <c r="BM103" s="143"/>
      <c r="BN103" s="143"/>
      <c r="BO103" s="143"/>
      <c r="BP103" s="143"/>
      <c r="BQ103" s="143"/>
    </row>
    <row r="104" spans="64:69">
      <c r="BL104" s="143"/>
      <c r="BM104" s="143"/>
      <c r="BN104" s="143"/>
      <c r="BO104" s="143"/>
      <c r="BP104" s="143"/>
      <c r="BQ104" s="143"/>
    </row>
    <row r="105" spans="64:69">
      <c r="BL105" s="143"/>
      <c r="BM105" s="143"/>
      <c r="BN105" s="143"/>
      <c r="BO105" s="143"/>
      <c r="BP105" s="143"/>
      <c r="BQ105" s="143"/>
    </row>
    <row r="106" spans="64:69">
      <c r="BL106" s="143"/>
      <c r="BM106" s="143"/>
      <c r="BN106" s="143"/>
      <c r="BO106" s="143"/>
      <c r="BP106" s="143"/>
      <c r="BQ106" s="143"/>
    </row>
    <row r="107" spans="64:69">
      <c r="BL107" s="143"/>
      <c r="BM107" s="143"/>
      <c r="BN107" s="143"/>
      <c r="BO107" s="143"/>
      <c r="BP107" s="143"/>
      <c r="BQ107" s="143"/>
    </row>
    <row r="108" spans="64:69">
      <c r="BL108" s="143"/>
      <c r="BM108" s="143"/>
      <c r="BN108" s="143"/>
      <c r="BO108" s="143"/>
      <c r="BP108" s="143"/>
      <c r="BQ108" s="143"/>
    </row>
    <row r="109" spans="64:69">
      <c r="BL109" s="143"/>
      <c r="BM109" s="143"/>
      <c r="BN109" s="143"/>
      <c r="BO109" s="143"/>
      <c r="BP109" s="143"/>
      <c r="BQ109" s="143"/>
    </row>
    <row r="110" spans="64:69">
      <c r="BL110" s="143"/>
      <c r="BM110" s="143"/>
      <c r="BN110" s="143"/>
      <c r="BO110" s="143"/>
      <c r="BP110" s="143"/>
      <c r="BQ110" s="143"/>
    </row>
    <row r="111" spans="64:69">
      <c r="BL111" s="143"/>
      <c r="BM111" s="143"/>
      <c r="BN111" s="144"/>
      <c r="BO111" s="144"/>
      <c r="BP111" s="143"/>
      <c r="BQ111" s="143"/>
    </row>
    <row r="112" spans="64:69">
      <c r="BL112" s="143"/>
      <c r="BM112" s="143"/>
      <c r="BN112" s="144"/>
      <c r="BO112" s="144"/>
      <c r="BP112" s="143"/>
      <c r="BQ112" s="143"/>
    </row>
    <row r="113" spans="64:69">
      <c r="BL113" s="143"/>
      <c r="BM113" s="143"/>
      <c r="BN113" s="143"/>
      <c r="BO113" s="143"/>
      <c r="BP113" s="143"/>
      <c r="BQ113" s="143"/>
    </row>
    <row r="114" spans="64:69">
      <c r="BL114" s="143"/>
      <c r="BM114" s="143"/>
      <c r="BN114" s="143"/>
      <c r="BO114" s="143"/>
      <c r="BP114" s="143"/>
      <c r="BQ114" s="143"/>
    </row>
    <row r="115" spans="64:69">
      <c r="BL115" s="143"/>
      <c r="BM115" s="143"/>
      <c r="BN115" s="143"/>
      <c r="BO115" s="143"/>
      <c r="BP115" s="143"/>
      <c r="BQ115" s="143"/>
    </row>
    <row r="116" spans="64:69">
      <c r="BL116" s="143"/>
      <c r="BM116" s="143"/>
      <c r="BN116" s="143"/>
      <c r="BO116" s="143"/>
      <c r="BP116" s="143"/>
      <c r="BQ116" s="143"/>
    </row>
    <row r="117" spans="64:69">
      <c r="BL117" s="143"/>
      <c r="BM117" s="143"/>
      <c r="BN117" s="143"/>
      <c r="BO117" s="143"/>
      <c r="BP117" s="143"/>
      <c r="BQ117" s="143"/>
    </row>
    <row r="118" spans="64:69">
      <c r="BL118" s="143"/>
      <c r="BM118" s="143"/>
      <c r="BN118" s="143"/>
      <c r="BO118" s="143"/>
      <c r="BP118" s="143"/>
      <c r="BQ118" s="143"/>
    </row>
    <row r="119" spans="64:69">
      <c r="BL119" s="143"/>
      <c r="BM119" s="143"/>
      <c r="BN119" s="143"/>
      <c r="BO119" s="143"/>
      <c r="BP119" s="143"/>
      <c r="BQ119" s="143"/>
    </row>
    <row r="120" spans="64:69">
      <c r="BL120" s="143"/>
      <c r="BM120" s="143"/>
      <c r="BN120" s="143"/>
      <c r="BO120" s="143"/>
      <c r="BP120" s="143"/>
      <c r="BQ120" s="143"/>
    </row>
    <row r="121" spans="64:69">
      <c r="BL121" s="143"/>
      <c r="BM121" s="143"/>
      <c r="BN121" s="143"/>
      <c r="BO121" s="143"/>
      <c r="BP121" s="143"/>
      <c r="BQ121" s="143"/>
    </row>
    <row r="122" spans="64:69">
      <c r="BL122" s="143"/>
      <c r="BM122" s="143"/>
      <c r="BN122" s="143"/>
      <c r="BO122" s="143"/>
      <c r="BP122" s="143"/>
      <c r="BQ122" s="143"/>
    </row>
    <row r="123" spans="64:69">
      <c r="BL123" s="143"/>
      <c r="BM123" s="143"/>
      <c r="BN123" s="143"/>
      <c r="BO123" s="143"/>
      <c r="BP123" s="143"/>
      <c r="BQ123" s="143"/>
    </row>
    <row r="124" spans="64:69">
      <c r="BL124" s="143"/>
      <c r="BM124" s="143"/>
      <c r="BN124" s="143"/>
      <c r="BO124" s="143"/>
      <c r="BP124" s="143"/>
      <c r="BQ124" s="143"/>
    </row>
    <row r="125" spans="64:69">
      <c r="BL125" s="143"/>
      <c r="BM125" s="143"/>
      <c r="BN125" s="143"/>
      <c r="BO125" s="143"/>
      <c r="BP125" s="143"/>
      <c r="BQ125" s="143"/>
    </row>
    <row r="126" spans="64:69">
      <c r="BL126" s="143"/>
      <c r="BM126" s="143"/>
      <c r="BN126" s="143"/>
      <c r="BO126" s="143"/>
      <c r="BP126" s="143"/>
      <c r="BQ126" s="143"/>
    </row>
  </sheetData>
  <sheetProtection selectLockedCells="1"/>
  <autoFilter ref="A1:BW61">
    <filterColumn colId="0" showButton="0"/>
    <filterColumn colId="1" showButton="0"/>
    <filterColumn colId="2"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autoFilter>
  <mergeCells count="853">
    <mergeCell ref="BW59:BW61"/>
    <mergeCell ref="BV51:BV58"/>
    <mergeCell ref="BW51:BW58"/>
    <mergeCell ref="BJ51:BJ58"/>
    <mergeCell ref="BJ59:BJ61"/>
    <mergeCell ref="BV59:BV61"/>
    <mergeCell ref="BS59:BS61"/>
    <mergeCell ref="BT59:BT61"/>
    <mergeCell ref="BU59:BU61"/>
    <mergeCell ref="BU51:BU58"/>
    <mergeCell ref="BW43:BW45"/>
    <mergeCell ref="BW46:BW48"/>
    <mergeCell ref="BW49:BW50"/>
    <mergeCell ref="BF49:BF50"/>
    <mergeCell ref="BG46:BG48"/>
    <mergeCell ref="BL49:BL50"/>
    <mergeCell ref="BM49:BM50"/>
    <mergeCell ref="BN49:BN50"/>
    <mergeCell ref="BO49:BO50"/>
    <mergeCell ref="BP49:BP50"/>
    <mergeCell ref="BJ46:BJ48"/>
    <mergeCell ref="BJ49:BJ50"/>
    <mergeCell ref="BT43:BT45"/>
    <mergeCell ref="BU43:BU45"/>
    <mergeCell ref="BV43:BV45"/>
    <mergeCell ref="BS46:BS48"/>
    <mergeCell ref="BM43:BM45"/>
    <mergeCell ref="BV49:BV50"/>
    <mergeCell ref="BN43:BN45"/>
    <mergeCell ref="BS43:BS45"/>
    <mergeCell ref="BH49:BH50"/>
    <mergeCell ref="BW16:BW18"/>
    <mergeCell ref="BR12:BR13"/>
    <mergeCell ref="BS12:BS13"/>
    <mergeCell ref="BT39:BT42"/>
    <mergeCell ref="BF51:BF58"/>
    <mergeCell ref="BF59:BF61"/>
    <mergeCell ref="BP46:BP48"/>
    <mergeCell ref="BO46:BO48"/>
    <mergeCell ref="BI49:BI50"/>
    <mergeCell ref="BI51:BI58"/>
    <mergeCell ref="BK49:BK50"/>
    <mergeCell ref="BM59:BM61"/>
    <mergeCell ref="BQ49:BQ50"/>
    <mergeCell ref="BQ46:BQ48"/>
    <mergeCell ref="BG51:BG58"/>
    <mergeCell ref="BL59:BL61"/>
    <mergeCell ref="BF46:BF48"/>
    <mergeCell ref="BM46:BM48"/>
    <mergeCell ref="BL46:BL48"/>
    <mergeCell ref="BK51:BK58"/>
    <mergeCell ref="BG59:BG61"/>
    <mergeCell ref="BH51:BH58"/>
    <mergeCell ref="BH59:BH61"/>
    <mergeCell ref="BI59:BI61"/>
    <mergeCell ref="W39:W42"/>
    <mergeCell ref="V39:V42"/>
    <mergeCell ref="X39:X42"/>
    <mergeCell ref="Y39:Y42"/>
    <mergeCell ref="Z39:Z42"/>
    <mergeCell ref="AA39:AA42"/>
    <mergeCell ref="T32:T38"/>
    <mergeCell ref="BW12:BW13"/>
    <mergeCell ref="BV12:BV13"/>
    <mergeCell ref="BQ14:BQ15"/>
    <mergeCell ref="BP14:BP15"/>
    <mergeCell ref="BO14:BO15"/>
    <mergeCell ref="BN14:BN15"/>
    <mergeCell ref="BM14:BM15"/>
    <mergeCell ref="BL14:BL15"/>
    <mergeCell ref="BQ16:BQ18"/>
    <mergeCell ref="BP16:BP18"/>
    <mergeCell ref="BO16:BO18"/>
    <mergeCell ref="BN16:BN18"/>
    <mergeCell ref="BM16:BM18"/>
    <mergeCell ref="BL16:BL18"/>
    <mergeCell ref="BS16:BS18"/>
    <mergeCell ref="BT16:BT18"/>
    <mergeCell ref="BU16:BU18"/>
    <mergeCell ref="W32:W38"/>
    <mergeCell ref="X32:X38"/>
    <mergeCell ref="Y32:Y38"/>
    <mergeCell ref="Z32:Z38"/>
    <mergeCell ref="AA32:AA38"/>
    <mergeCell ref="AB32:AB38"/>
    <mergeCell ref="A62:A64"/>
    <mergeCell ref="B62:B64"/>
    <mergeCell ref="C62:C64"/>
    <mergeCell ref="AA62:AA64"/>
    <mergeCell ref="AB62:AB64"/>
    <mergeCell ref="H43:H45"/>
    <mergeCell ref="A51:A58"/>
    <mergeCell ref="A59:A61"/>
    <mergeCell ref="B59:B61"/>
    <mergeCell ref="C59:C61"/>
    <mergeCell ref="D59:D61"/>
    <mergeCell ref="G59:G61"/>
    <mergeCell ref="H59:H61"/>
    <mergeCell ref="I59:I61"/>
    <mergeCell ref="F59:F61"/>
    <mergeCell ref="S43:S45"/>
    <mergeCell ref="Y43:Y45"/>
    <mergeCell ref="Z43:Z45"/>
    <mergeCell ref="AC62:AC64"/>
    <mergeCell ref="BI62:BI64"/>
    <mergeCell ref="BH62:BH64"/>
    <mergeCell ref="BD62:BD64"/>
    <mergeCell ref="BE62:BE64"/>
    <mergeCell ref="BF62:BF64"/>
    <mergeCell ref="BG62:BG64"/>
    <mergeCell ref="X62:X64"/>
    <mergeCell ref="Y62:Y64"/>
    <mergeCell ref="Z62:Z64"/>
    <mergeCell ref="AD62:AD64"/>
    <mergeCell ref="AE62:AE64"/>
    <mergeCell ref="AH63:AH64"/>
    <mergeCell ref="AF62:AF64"/>
    <mergeCell ref="BM63:BM64"/>
    <mergeCell ref="BN63:BN64"/>
    <mergeCell ref="BO63:BO64"/>
    <mergeCell ref="BU62:BU64"/>
    <mergeCell ref="BV62:BV64"/>
    <mergeCell ref="BW62:BW64"/>
    <mergeCell ref="D62:D64"/>
    <mergeCell ref="G62:G64"/>
    <mergeCell ref="H62:H64"/>
    <mergeCell ref="I62:I64"/>
    <mergeCell ref="J62:J64"/>
    <mergeCell ref="K62:K64"/>
    <mergeCell ref="L62:L64"/>
    <mergeCell ref="M62:M64"/>
    <mergeCell ref="N62:N64"/>
    <mergeCell ref="O62:O64"/>
    <mergeCell ref="P62:P64"/>
    <mergeCell ref="Q62:Q64"/>
    <mergeCell ref="R62:R64"/>
    <mergeCell ref="S62:S64"/>
    <mergeCell ref="T62:T64"/>
    <mergeCell ref="U62:U64"/>
    <mergeCell ref="V62:V64"/>
    <mergeCell ref="W62:W64"/>
    <mergeCell ref="BK62:BK64"/>
    <mergeCell ref="BJ62:BJ64"/>
    <mergeCell ref="BU4:BW5"/>
    <mergeCell ref="BK59:BK61"/>
    <mergeCell ref="BR14:BR15"/>
    <mergeCell ref="BR16:BR18"/>
    <mergeCell ref="BK12:BK13"/>
    <mergeCell ref="BK14:BK15"/>
    <mergeCell ref="BK16:BK18"/>
    <mergeCell ref="BK19:BK22"/>
    <mergeCell ref="BK23:BK26"/>
    <mergeCell ref="BK27:BK29"/>
    <mergeCell ref="BK30:BK31"/>
    <mergeCell ref="BK43:BK45"/>
    <mergeCell ref="BK46:BK48"/>
    <mergeCell ref="BR59:BR61"/>
    <mergeCell ref="BR49:BR50"/>
    <mergeCell ref="BR46:BR48"/>
    <mergeCell ref="BR43:BR45"/>
    <mergeCell ref="BR30:BR31"/>
    <mergeCell ref="BR7:BR9"/>
    <mergeCell ref="BS7:BS9"/>
    <mergeCell ref="BT7:BT9"/>
    <mergeCell ref="BW7:BW9"/>
    <mergeCell ref="BV7:BV9"/>
    <mergeCell ref="BL4:BQ5"/>
    <mergeCell ref="BJ10:BJ11"/>
    <mergeCell ref="BJ12:BJ13"/>
    <mergeCell ref="BJ14:BJ15"/>
    <mergeCell ref="BJ16:BJ18"/>
    <mergeCell ref="BJ19:BJ22"/>
    <mergeCell ref="BJ23:BJ26"/>
    <mergeCell ref="BJ27:BJ29"/>
    <mergeCell ref="BR4:BT5"/>
    <mergeCell ref="BU7:BU9"/>
    <mergeCell ref="BQ7:BQ9"/>
    <mergeCell ref="BP7:BP9"/>
    <mergeCell ref="BO7:BO9"/>
    <mergeCell ref="BN7:BN9"/>
    <mergeCell ref="BM7:BM9"/>
    <mergeCell ref="BL7:BL9"/>
    <mergeCell ref="BN23:BN24"/>
    <mergeCell ref="BM23:BM24"/>
    <mergeCell ref="BV16:BV18"/>
    <mergeCell ref="BG16:BG18"/>
    <mergeCell ref="BG43:BG45"/>
    <mergeCell ref="BG10:BG11"/>
    <mergeCell ref="BI10:BI11"/>
    <mergeCell ref="BG49:BG50"/>
    <mergeCell ref="BJ30:BJ31"/>
    <mergeCell ref="BJ43:BJ45"/>
    <mergeCell ref="BJ32:BJ38"/>
    <mergeCell ref="BI12:BI13"/>
    <mergeCell ref="BI14:BI15"/>
    <mergeCell ref="BI16:BI18"/>
    <mergeCell ref="BI19:BI22"/>
    <mergeCell ref="BI23:BI26"/>
    <mergeCell ref="BI27:BI29"/>
    <mergeCell ref="BI30:BI31"/>
    <mergeCell ref="BI43:BI45"/>
    <mergeCell ref="BH10:BH11"/>
    <mergeCell ref="BH12:BH13"/>
    <mergeCell ref="BH14:BH15"/>
    <mergeCell ref="BH16:BH18"/>
    <mergeCell ref="BH19:BH22"/>
    <mergeCell ref="BH23:BH26"/>
    <mergeCell ref="BF30:BF31"/>
    <mergeCell ref="BE30:BE31"/>
    <mergeCell ref="BF32:BF38"/>
    <mergeCell ref="BE32:BE38"/>
    <mergeCell ref="BG32:BG37"/>
    <mergeCell ref="BD32:BD38"/>
    <mergeCell ref="BD43:BD45"/>
    <mergeCell ref="BD30:BD31"/>
    <mergeCell ref="BE27:BE29"/>
    <mergeCell ref="BD27:BD29"/>
    <mergeCell ref="BF43:BF45"/>
    <mergeCell ref="BD46:BD48"/>
    <mergeCell ref="AF46:AF48"/>
    <mergeCell ref="AF59:AF61"/>
    <mergeCell ref="BD49:BD50"/>
    <mergeCell ref="BD51:BD58"/>
    <mergeCell ref="BD59:BD61"/>
    <mergeCell ref="AE43:AE45"/>
    <mergeCell ref="BE39:BE42"/>
    <mergeCell ref="BD39:BD42"/>
    <mergeCell ref="BE59:BE61"/>
    <mergeCell ref="BE43:BE45"/>
    <mergeCell ref="BE46:BE48"/>
    <mergeCell ref="BE49:BE50"/>
    <mergeCell ref="BE51:BE58"/>
    <mergeCell ref="AF43:AF45"/>
    <mergeCell ref="AH39:AH41"/>
    <mergeCell ref="AF39:AF42"/>
    <mergeCell ref="AC7:AC9"/>
    <mergeCell ref="BD7:BD9"/>
    <mergeCell ref="BE7:BE9"/>
    <mergeCell ref="BH7:BH9"/>
    <mergeCell ref="BI7:BI9"/>
    <mergeCell ref="BJ7:BJ9"/>
    <mergeCell ref="BK7:BK9"/>
    <mergeCell ref="Z7:Z9"/>
    <mergeCell ref="AA7:AA9"/>
    <mergeCell ref="AB7:AB9"/>
    <mergeCell ref="AE7:AE9"/>
    <mergeCell ref="BG7:BG9"/>
    <mergeCell ref="AD7:AD9"/>
    <mergeCell ref="AF7:AF9"/>
    <mergeCell ref="BC7:BC9"/>
    <mergeCell ref="BB7:BB9"/>
    <mergeCell ref="BF7:BF9"/>
    <mergeCell ref="BA7:BA9"/>
    <mergeCell ref="AZ7:AZ9"/>
    <mergeCell ref="AY7:AY9"/>
    <mergeCell ref="AX7:AX9"/>
    <mergeCell ref="A4:G5"/>
    <mergeCell ref="H4:AF4"/>
    <mergeCell ref="AG4:BJ4"/>
    <mergeCell ref="BK4:BK5"/>
    <mergeCell ref="H5:AA5"/>
    <mergeCell ref="AB5:AF5"/>
    <mergeCell ref="BH5:BJ5"/>
    <mergeCell ref="A1:D3"/>
    <mergeCell ref="E1:BK2"/>
    <mergeCell ref="E3:F3"/>
    <mergeCell ref="H3:K3"/>
    <mergeCell ref="L3:N3"/>
    <mergeCell ref="O3:R3"/>
    <mergeCell ref="S3:BK3"/>
    <mergeCell ref="AG5:AI5"/>
    <mergeCell ref="AJ5:AY5"/>
    <mergeCell ref="AZ5:BA5"/>
    <mergeCell ref="BB5:BC5"/>
    <mergeCell ref="BD5:BE5"/>
    <mergeCell ref="H7:H9"/>
    <mergeCell ref="I7:I9"/>
    <mergeCell ref="J7:J9"/>
    <mergeCell ref="K7:K9"/>
    <mergeCell ref="L7:L9"/>
    <mergeCell ref="M7:M9"/>
    <mergeCell ref="S12:S13"/>
    <mergeCell ref="A7:A9"/>
    <mergeCell ref="B7:B9"/>
    <mergeCell ref="C7:C9"/>
    <mergeCell ref="D7:D9"/>
    <mergeCell ref="G7:G9"/>
    <mergeCell ref="P10:P11"/>
    <mergeCell ref="J10:J11"/>
    <mergeCell ref="A10:A11"/>
    <mergeCell ref="A12:A13"/>
    <mergeCell ref="B10:B11"/>
    <mergeCell ref="C10:C11"/>
    <mergeCell ref="C12:C13"/>
    <mergeCell ref="B12:B13"/>
    <mergeCell ref="G10:G11"/>
    <mergeCell ref="G12:G13"/>
    <mergeCell ref="K10:K11"/>
    <mergeCell ref="L10:L11"/>
    <mergeCell ref="U7:U9"/>
    <mergeCell ref="V7:V9"/>
    <mergeCell ref="W7:W9"/>
    <mergeCell ref="X7:X9"/>
    <mergeCell ref="Y7:Y9"/>
    <mergeCell ref="N7:N9"/>
    <mergeCell ref="O7:O9"/>
    <mergeCell ref="P7:P9"/>
    <mergeCell ref="Q7:Q9"/>
    <mergeCell ref="R7:R9"/>
    <mergeCell ref="S7:S9"/>
    <mergeCell ref="T7:T9"/>
    <mergeCell ref="AC23:AC26"/>
    <mergeCell ref="AA23:AA26"/>
    <mergeCell ref="AB23:AB26"/>
    <mergeCell ref="U23:U26"/>
    <mergeCell ref="V23:V26"/>
    <mergeCell ref="W23:W26"/>
    <mergeCell ref="X23:X26"/>
    <mergeCell ref="Z30:Z31"/>
    <mergeCell ref="AC27:AC29"/>
    <mergeCell ref="Z23:Z26"/>
    <mergeCell ref="AB27:AB29"/>
    <mergeCell ref="W27:W29"/>
    <mergeCell ref="Z27:Z29"/>
    <mergeCell ref="AA27:AA29"/>
    <mergeCell ref="X27:X29"/>
    <mergeCell ref="Y27:Y29"/>
    <mergeCell ref="W30:W31"/>
    <mergeCell ref="X30:X31"/>
    <mergeCell ref="Y30:Y31"/>
    <mergeCell ref="R23:R26"/>
    <mergeCell ref="N23:N26"/>
    <mergeCell ref="L27:L29"/>
    <mergeCell ref="M27:M29"/>
    <mergeCell ref="Y23:Y26"/>
    <mergeCell ref="L23:L26"/>
    <mergeCell ref="M23:M26"/>
    <mergeCell ref="L30:L31"/>
    <mergeCell ref="M30:M31"/>
    <mergeCell ref="N30:N31"/>
    <mergeCell ref="R27:R29"/>
    <mergeCell ref="S27:S29"/>
    <mergeCell ref="T27:T29"/>
    <mergeCell ref="Q23:Q26"/>
    <mergeCell ref="U27:U29"/>
    <mergeCell ref="V27:V29"/>
    <mergeCell ref="Q30:Q31"/>
    <mergeCell ref="T30:T31"/>
    <mergeCell ref="U30:U31"/>
    <mergeCell ref="V30:V31"/>
    <mergeCell ref="C30:C31"/>
    <mergeCell ref="N27:N29"/>
    <mergeCell ref="O27:O29"/>
    <mergeCell ref="I46:I48"/>
    <mergeCell ref="J46:J48"/>
    <mergeCell ref="K46:K48"/>
    <mergeCell ref="L46:L48"/>
    <mergeCell ref="M46:M48"/>
    <mergeCell ref="N46:N48"/>
    <mergeCell ref="O46:O48"/>
    <mergeCell ref="C32:C38"/>
    <mergeCell ref="D32:D38"/>
    <mergeCell ref="G32:G38"/>
    <mergeCell ref="H32:H38"/>
    <mergeCell ref="I32:I38"/>
    <mergeCell ref="J32:J38"/>
    <mergeCell ref="K32:K38"/>
    <mergeCell ref="L32:L38"/>
    <mergeCell ref="M32:M38"/>
    <mergeCell ref="N32:N38"/>
    <mergeCell ref="N39:N42"/>
    <mergeCell ref="J27:J29"/>
    <mergeCell ref="K27:K29"/>
    <mergeCell ref="I30:I31"/>
    <mergeCell ref="A14:A15"/>
    <mergeCell ref="A16:A18"/>
    <mergeCell ref="A19:A22"/>
    <mergeCell ref="A23:A26"/>
    <mergeCell ref="A49:A50"/>
    <mergeCell ref="B27:B29"/>
    <mergeCell ref="B30:B31"/>
    <mergeCell ref="B43:B45"/>
    <mergeCell ref="B46:B48"/>
    <mergeCell ref="B39:B42"/>
    <mergeCell ref="A32:A38"/>
    <mergeCell ref="B32:B38"/>
    <mergeCell ref="A39:A42"/>
    <mergeCell ref="A27:A29"/>
    <mergeCell ref="A30:A31"/>
    <mergeCell ref="A43:A45"/>
    <mergeCell ref="A46:A48"/>
    <mergeCell ref="D10:D11"/>
    <mergeCell ref="D12:D13"/>
    <mergeCell ref="D14:D15"/>
    <mergeCell ref="D16:D18"/>
    <mergeCell ref="D19:D22"/>
    <mergeCell ref="D23:D26"/>
    <mergeCell ref="D27:D29"/>
    <mergeCell ref="B49:B50"/>
    <mergeCell ref="B51:B58"/>
    <mergeCell ref="C49:C50"/>
    <mergeCell ref="C51:C58"/>
    <mergeCell ref="C14:C15"/>
    <mergeCell ref="C16:C18"/>
    <mergeCell ref="C19:C22"/>
    <mergeCell ref="C23:C26"/>
    <mergeCell ref="C27:C29"/>
    <mergeCell ref="B14:B15"/>
    <mergeCell ref="B16:B18"/>
    <mergeCell ref="B19:B22"/>
    <mergeCell ref="B23:B26"/>
    <mergeCell ref="C39:C42"/>
    <mergeCell ref="D51:D58"/>
    <mergeCell ref="C43:C45"/>
    <mergeCell ref="C46:C48"/>
    <mergeCell ref="H51:H58"/>
    <mergeCell ref="H39:H42"/>
    <mergeCell ref="O12:O13"/>
    <mergeCell ref="P12:P13"/>
    <mergeCell ref="Q12:Q13"/>
    <mergeCell ref="H23:H26"/>
    <mergeCell ref="I23:I26"/>
    <mergeCell ref="H49:H50"/>
    <mergeCell ref="G49:G50"/>
    <mergeCell ref="G51:G58"/>
    <mergeCell ref="O16:O18"/>
    <mergeCell ref="P16:P18"/>
    <mergeCell ref="J16:J18"/>
    <mergeCell ref="K16:K18"/>
    <mergeCell ref="I43:I45"/>
    <mergeCell ref="J43:J45"/>
    <mergeCell ref="K43:K45"/>
    <mergeCell ref="L43:L45"/>
    <mergeCell ref="M39:M42"/>
    <mergeCell ref="I27:I29"/>
    <mergeCell ref="O30:O31"/>
    <mergeCell ref="P27:P29"/>
    <mergeCell ref="P30:P31"/>
    <mergeCell ref="Q27:Q29"/>
    <mergeCell ref="D46:D48"/>
    <mergeCell ref="D49:D50"/>
    <mergeCell ref="G43:G45"/>
    <mergeCell ref="G46:G48"/>
    <mergeCell ref="H46:H48"/>
    <mergeCell ref="D39:D42"/>
    <mergeCell ref="G27:G29"/>
    <mergeCell ref="G30:G31"/>
    <mergeCell ref="H27:H29"/>
    <mergeCell ref="H30:H31"/>
    <mergeCell ref="J19:J22"/>
    <mergeCell ref="T16:T18"/>
    <mergeCell ref="U16:U18"/>
    <mergeCell ref="R16:R18"/>
    <mergeCell ref="N16:N18"/>
    <mergeCell ref="Q16:Q18"/>
    <mergeCell ref="F23:F26"/>
    <mergeCell ref="D30:D31"/>
    <mergeCell ref="D43:D45"/>
    <mergeCell ref="S23:S26"/>
    <mergeCell ref="T23:T26"/>
    <mergeCell ref="U32:U38"/>
    <mergeCell ref="O39:O42"/>
    <mergeCell ref="P39:P42"/>
    <mergeCell ref="Q39:Q42"/>
    <mergeCell ref="O32:O38"/>
    <mergeCell ref="P32:P38"/>
    <mergeCell ref="Q32:Q38"/>
    <mergeCell ref="R32:R38"/>
    <mergeCell ref="S32:S38"/>
    <mergeCell ref="R39:R42"/>
    <mergeCell ref="S39:S42"/>
    <mergeCell ref="T39:T42"/>
    <mergeCell ref="U39:U42"/>
    <mergeCell ref="J30:J31"/>
    <mergeCell ref="K30:K31"/>
    <mergeCell ref="I39:I42"/>
    <mergeCell ref="J39:J42"/>
    <mergeCell ref="K39:K42"/>
    <mergeCell ref="L39:L42"/>
    <mergeCell ref="T43:T45"/>
    <mergeCell ref="U43:U45"/>
    <mergeCell ref="V43:V45"/>
    <mergeCell ref="R30:R31"/>
    <mergeCell ref="S30:S31"/>
    <mergeCell ref="V32:V38"/>
    <mergeCell ref="W43:W45"/>
    <mergeCell ref="M43:M45"/>
    <mergeCell ref="N43:N45"/>
    <mergeCell ref="O43:O45"/>
    <mergeCell ref="P43:P45"/>
    <mergeCell ref="Q43:Q45"/>
    <mergeCell ref="R43:R45"/>
    <mergeCell ref="Y49:Y50"/>
    <mergeCell ref="Z49:Z50"/>
    <mergeCell ref="U49:U50"/>
    <mergeCell ref="V49:V50"/>
    <mergeCell ref="W49:W50"/>
    <mergeCell ref="X49:X50"/>
    <mergeCell ref="X43:X45"/>
    <mergeCell ref="Q46:Q48"/>
    <mergeCell ref="R46:R48"/>
    <mergeCell ref="S46:S48"/>
    <mergeCell ref="AC46:AC48"/>
    <mergeCell ref="M49:M50"/>
    <mergeCell ref="N49:N50"/>
    <mergeCell ref="O49:O50"/>
    <mergeCell ref="P49:P50"/>
    <mergeCell ref="Q49:Q50"/>
    <mergeCell ref="R49:R50"/>
    <mergeCell ref="Z46:Z48"/>
    <mergeCell ref="AA46:AA48"/>
    <mergeCell ref="AB46:AB48"/>
    <mergeCell ref="T46:T48"/>
    <mergeCell ref="U46:U48"/>
    <mergeCell ref="V46:V48"/>
    <mergeCell ref="W46:W48"/>
    <mergeCell ref="X46:X48"/>
    <mergeCell ref="Y46:Y48"/>
    <mergeCell ref="P46:P48"/>
    <mergeCell ref="S49:S50"/>
    <mergeCell ref="T49:T50"/>
    <mergeCell ref="I49:I50"/>
    <mergeCell ref="J49:J50"/>
    <mergeCell ref="K49:K50"/>
    <mergeCell ref="L49:L50"/>
    <mergeCell ref="N51:N58"/>
    <mergeCell ref="O51:O58"/>
    <mergeCell ref="P51:P58"/>
    <mergeCell ref="Q51:Q58"/>
    <mergeCell ref="R51:R58"/>
    <mergeCell ref="I51:I58"/>
    <mergeCell ref="J51:J58"/>
    <mergeCell ref="K51:K58"/>
    <mergeCell ref="L51:L58"/>
    <mergeCell ref="M51:M58"/>
    <mergeCell ref="J59:J61"/>
    <mergeCell ref="K59:K61"/>
    <mergeCell ref="L59:L61"/>
    <mergeCell ref="M59:M61"/>
    <mergeCell ref="N59:N61"/>
    <mergeCell ref="O59:O61"/>
    <mergeCell ref="P59:P61"/>
    <mergeCell ref="Q59:Q61"/>
    <mergeCell ref="R59:R61"/>
    <mergeCell ref="AD23:AD26"/>
    <mergeCell ref="AI14:AI15"/>
    <mergeCell ref="AH14:AH15"/>
    <mergeCell ref="S59:S61"/>
    <mergeCell ref="T59:T61"/>
    <mergeCell ref="U59:U61"/>
    <mergeCell ref="V59:V61"/>
    <mergeCell ref="W59:W61"/>
    <mergeCell ref="X59:X61"/>
    <mergeCell ref="Y59:Y61"/>
    <mergeCell ref="AC59:AC61"/>
    <mergeCell ref="X51:X58"/>
    <mergeCell ref="Y51:Y58"/>
    <mergeCell ref="Z51:Z58"/>
    <mergeCell ref="AA51:AA58"/>
    <mergeCell ref="AB51:AB58"/>
    <mergeCell ref="AC51:AC58"/>
    <mergeCell ref="T51:T58"/>
    <mergeCell ref="U51:U58"/>
    <mergeCell ref="V51:V58"/>
    <mergeCell ref="W51:W58"/>
    <mergeCell ref="S51:S58"/>
    <mergeCell ref="AA49:AA50"/>
    <mergeCell ref="AB49:AB50"/>
    <mergeCell ref="AA43:AA45"/>
    <mergeCell ref="AB43:AB45"/>
    <mergeCell ref="AD43:AD45"/>
    <mergeCell ref="AD46:AD48"/>
    <mergeCell ref="AA30:AA31"/>
    <mergeCell ref="AB30:AB31"/>
    <mergeCell ref="AE51:AE58"/>
    <mergeCell ref="AD30:AD31"/>
    <mergeCell ref="AF30:AF31"/>
    <mergeCell ref="AE46:AE48"/>
    <mergeCell ref="AE49:AE50"/>
    <mergeCell ref="AC43:AC45"/>
    <mergeCell ref="AB39:AB42"/>
    <mergeCell ref="AD32:AD38"/>
    <mergeCell ref="AE32:AE38"/>
    <mergeCell ref="AF32:AF38"/>
    <mergeCell ref="AD39:AD42"/>
    <mergeCell ref="AE30:AE31"/>
    <mergeCell ref="AC30:AC31"/>
    <mergeCell ref="AC39:AC42"/>
    <mergeCell ref="AC32:AC38"/>
    <mergeCell ref="Z59:Z61"/>
    <mergeCell ref="AA59:AA61"/>
    <mergeCell ref="AB59:AB61"/>
    <mergeCell ref="AD59:AD61"/>
    <mergeCell ref="AD49:AD50"/>
    <mergeCell ref="AF49:AF50"/>
    <mergeCell ref="AD51:AD58"/>
    <mergeCell ref="AF51:AF58"/>
    <mergeCell ref="AC49:AC50"/>
    <mergeCell ref="AE59:AE61"/>
    <mergeCell ref="BF23:BF26"/>
    <mergeCell ref="BF27:BF29"/>
    <mergeCell ref="AD19:AD22"/>
    <mergeCell ref="AF19:AF22"/>
    <mergeCell ref="AF27:AF29"/>
    <mergeCell ref="AD27:AD29"/>
    <mergeCell ref="AJ14:AJ15"/>
    <mergeCell ref="AE14:AE15"/>
    <mergeCell ref="AE16:AE18"/>
    <mergeCell ref="AE19:AE22"/>
    <mergeCell ref="AE23:AE26"/>
    <mergeCell ref="AE27:AE29"/>
    <mergeCell ref="BD23:BD26"/>
    <mergeCell ref="BA14:BA15"/>
    <mergeCell ref="AH16:AH18"/>
    <mergeCell ref="AF16:AF18"/>
    <mergeCell ref="BE14:BE15"/>
    <mergeCell ref="BE16:BE18"/>
    <mergeCell ref="BE19:BE22"/>
    <mergeCell ref="BE23:BE26"/>
    <mergeCell ref="BD14:BD15"/>
    <mergeCell ref="BD16:BD18"/>
    <mergeCell ref="BD19:BD22"/>
    <mergeCell ref="AF23:AF26"/>
    <mergeCell ref="H12:H13"/>
    <mergeCell ref="I12:I13"/>
    <mergeCell ref="J12:J13"/>
    <mergeCell ref="K12:K13"/>
    <mergeCell ref="L12:L13"/>
    <mergeCell ref="M12:M13"/>
    <mergeCell ref="N12:N13"/>
    <mergeCell ref="BF12:BF13"/>
    <mergeCell ref="BF14:BF15"/>
    <mergeCell ref="BE12:BE13"/>
    <mergeCell ref="BD12:BD13"/>
    <mergeCell ref="AC12:AC13"/>
    <mergeCell ref="AD12:AD13"/>
    <mergeCell ref="AF12:AF13"/>
    <mergeCell ref="Y12:Y13"/>
    <mergeCell ref="Z12:Z13"/>
    <mergeCell ref="AA12:AA13"/>
    <mergeCell ref="AB12:AB13"/>
    <mergeCell ref="AE12:AE13"/>
    <mergeCell ref="Z14:Z15"/>
    <mergeCell ref="AA14:AA15"/>
    <mergeCell ref="AB14:AB15"/>
    <mergeCell ref="AD14:AD15"/>
    <mergeCell ref="AF14:AF15"/>
    <mergeCell ref="H10:H11"/>
    <mergeCell ref="I10:I11"/>
    <mergeCell ref="M10:M11"/>
    <mergeCell ref="N10:N11"/>
    <mergeCell ref="O10:O11"/>
    <mergeCell ref="AC10:AC11"/>
    <mergeCell ref="W10:W11"/>
    <mergeCell ref="X10:X11"/>
    <mergeCell ref="Q10:Q11"/>
    <mergeCell ref="R10:R11"/>
    <mergeCell ref="S10:S11"/>
    <mergeCell ref="T10:T11"/>
    <mergeCell ref="U10:U11"/>
    <mergeCell ref="V10:V11"/>
    <mergeCell ref="AB10:AB11"/>
    <mergeCell ref="Y10:Y11"/>
    <mergeCell ref="Z10:Z11"/>
    <mergeCell ref="AA10:AA11"/>
    <mergeCell ref="G14:G15"/>
    <mergeCell ref="Y14:Y15"/>
    <mergeCell ref="AC14:AC15"/>
    <mergeCell ref="J14:J15"/>
    <mergeCell ref="K14:K15"/>
    <mergeCell ref="L14:L15"/>
    <mergeCell ref="M14:M15"/>
    <mergeCell ref="W14:W15"/>
    <mergeCell ref="X14:X15"/>
    <mergeCell ref="R14:R15"/>
    <mergeCell ref="S14:S15"/>
    <mergeCell ref="H14:H15"/>
    <mergeCell ref="I14:I15"/>
    <mergeCell ref="N14:N15"/>
    <mergeCell ref="O14:O15"/>
    <mergeCell ref="P14:P15"/>
    <mergeCell ref="Q14:Q15"/>
    <mergeCell ref="F10:F11"/>
    <mergeCell ref="BW10:BW11"/>
    <mergeCell ref="BV10:BV11"/>
    <mergeCell ref="BU10:BU11"/>
    <mergeCell ref="BC14:BC15"/>
    <mergeCell ref="BS14:BS15"/>
    <mergeCell ref="BT14:BT15"/>
    <mergeCell ref="BU14:BU15"/>
    <mergeCell ref="BV14:BV15"/>
    <mergeCell ref="BW14:BW15"/>
    <mergeCell ref="BU12:BU13"/>
    <mergeCell ref="AG14:AG15"/>
    <mergeCell ref="BE10:BE11"/>
    <mergeCell ref="F12:F13"/>
    <mergeCell ref="F14:F15"/>
    <mergeCell ref="BB14:BB15"/>
    <mergeCell ref="AZ14:AZ15"/>
    <mergeCell ref="AY14:AY15"/>
    <mergeCell ref="AX14:AX15"/>
    <mergeCell ref="AV14:AV15"/>
    <mergeCell ref="AT14:AT15"/>
    <mergeCell ref="AR14:AR15"/>
    <mergeCell ref="AP14:AP15"/>
    <mergeCell ref="AN14:AN15"/>
    <mergeCell ref="BG23:BG26"/>
    <mergeCell ref="BG27:BG29"/>
    <mergeCell ref="BG30:BG31"/>
    <mergeCell ref="BQ27:BQ29"/>
    <mergeCell ref="BP27:BP29"/>
    <mergeCell ref="BO27:BO29"/>
    <mergeCell ref="BN27:BN29"/>
    <mergeCell ref="BM27:BM29"/>
    <mergeCell ref="BP23:BP24"/>
    <mergeCell ref="BO23:BO24"/>
    <mergeCell ref="BD10:BD11"/>
    <mergeCell ref="AA19:AA22"/>
    <mergeCell ref="AB19:AB22"/>
    <mergeCell ref="Y19:Y22"/>
    <mergeCell ref="Z19:Z22"/>
    <mergeCell ref="AC19:AC22"/>
    <mergeCell ref="AL14:AL15"/>
    <mergeCell ref="BT12:BT13"/>
    <mergeCell ref="BG19:BG22"/>
    <mergeCell ref="BK10:BK11"/>
    <mergeCell ref="BF10:BF11"/>
    <mergeCell ref="BF16:BF18"/>
    <mergeCell ref="BF19:BF22"/>
    <mergeCell ref="AA16:AA18"/>
    <mergeCell ref="AB16:AB18"/>
    <mergeCell ref="AD16:AD18"/>
    <mergeCell ref="AE10:AE11"/>
    <mergeCell ref="AD10:AD11"/>
    <mergeCell ref="AF10:AF11"/>
    <mergeCell ref="AC16:AC18"/>
    <mergeCell ref="Y16:Y18"/>
    <mergeCell ref="Z16:Z18"/>
    <mergeCell ref="BG12:BG13"/>
    <mergeCell ref="BG14:BG15"/>
    <mergeCell ref="X19:X22"/>
    <mergeCell ref="V12:V13"/>
    <mergeCell ref="W12:W13"/>
    <mergeCell ref="X12:X13"/>
    <mergeCell ref="T12:T13"/>
    <mergeCell ref="T14:T15"/>
    <mergeCell ref="U14:U15"/>
    <mergeCell ref="V14:V15"/>
    <mergeCell ref="R12:R13"/>
    <mergeCell ref="U12:U13"/>
    <mergeCell ref="R19:R22"/>
    <mergeCell ref="T19:T22"/>
    <mergeCell ref="U19:U22"/>
    <mergeCell ref="V19:V22"/>
    <mergeCell ref="V16:V18"/>
    <mergeCell ref="W16:W18"/>
    <mergeCell ref="G16:G18"/>
    <mergeCell ref="X16:X18"/>
    <mergeCell ref="W19:W22"/>
    <mergeCell ref="L16:L18"/>
    <mergeCell ref="M16:M18"/>
    <mergeCell ref="J23:J26"/>
    <mergeCell ref="K23:K26"/>
    <mergeCell ref="L19:L22"/>
    <mergeCell ref="M19:M22"/>
    <mergeCell ref="H16:H18"/>
    <mergeCell ref="I16:I18"/>
    <mergeCell ref="K19:K22"/>
    <mergeCell ref="S19:S22"/>
    <mergeCell ref="N19:N22"/>
    <mergeCell ref="S16:S18"/>
    <mergeCell ref="O19:O22"/>
    <mergeCell ref="H19:H22"/>
    <mergeCell ref="I19:I22"/>
    <mergeCell ref="G19:G22"/>
    <mergeCell ref="G23:G26"/>
    <mergeCell ref="O23:O26"/>
    <mergeCell ref="P23:P26"/>
    <mergeCell ref="P19:P22"/>
    <mergeCell ref="Q19:Q22"/>
    <mergeCell ref="BQ30:BQ31"/>
    <mergeCell ref="BP30:BP31"/>
    <mergeCell ref="BO30:BO31"/>
    <mergeCell ref="BN30:BN31"/>
    <mergeCell ref="BM30:BM31"/>
    <mergeCell ref="BL30:BL31"/>
    <mergeCell ref="BH27:BH29"/>
    <mergeCell ref="BH30:BH31"/>
    <mergeCell ref="BW19:BW22"/>
    <mergeCell ref="BU23:BU26"/>
    <mergeCell ref="BV23:BV26"/>
    <mergeCell ref="BW23:BW26"/>
    <mergeCell ref="BW30:BW31"/>
    <mergeCell ref="BU27:BU29"/>
    <mergeCell ref="BV27:BV29"/>
    <mergeCell ref="BR24:BR26"/>
    <mergeCell ref="BW27:BW29"/>
    <mergeCell ref="BS30:BS31"/>
    <mergeCell ref="BT30:BT31"/>
    <mergeCell ref="BU30:BU31"/>
    <mergeCell ref="BV30:BV31"/>
    <mergeCell ref="BU19:BU22"/>
    <mergeCell ref="BV19:BV22"/>
    <mergeCell ref="BU39:BU42"/>
    <mergeCell ref="BW39:BW42"/>
    <mergeCell ref="BV39:BV42"/>
    <mergeCell ref="BQ59:BQ61"/>
    <mergeCell ref="BP59:BP61"/>
    <mergeCell ref="BO59:BO61"/>
    <mergeCell ref="BN59:BN61"/>
    <mergeCell ref="BW32:BW38"/>
    <mergeCell ref="BV32:BV38"/>
    <mergeCell ref="BU32:BU38"/>
    <mergeCell ref="BS39:BS42"/>
    <mergeCell ref="BT32:BT38"/>
    <mergeCell ref="BT46:BT48"/>
    <mergeCell ref="BU46:BU48"/>
    <mergeCell ref="BV46:BV48"/>
    <mergeCell ref="BS49:BS50"/>
    <mergeCell ref="BT49:BT50"/>
    <mergeCell ref="BU49:BU50"/>
    <mergeCell ref="BR32:BR38"/>
    <mergeCell ref="BS32:BS38"/>
    <mergeCell ref="BR39:BR42"/>
    <mergeCell ref="BQ39:BQ42"/>
    <mergeCell ref="BQ43:BQ45"/>
    <mergeCell ref="BN46:BN48"/>
    <mergeCell ref="BF39:BF42"/>
    <mergeCell ref="BP39:BP42"/>
    <mergeCell ref="BO39:BO42"/>
    <mergeCell ref="BN39:BN42"/>
    <mergeCell ref="BL43:BL45"/>
    <mergeCell ref="BP43:BP45"/>
    <mergeCell ref="BO43:BO45"/>
    <mergeCell ref="BI39:BI42"/>
    <mergeCell ref="BI32:BI38"/>
    <mergeCell ref="BG39:BG42"/>
    <mergeCell ref="BH39:BH42"/>
    <mergeCell ref="BJ39:BJ42"/>
    <mergeCell ref="BK39:BK42"/>
    <mergeCell ref="BH43:BH45"/>
    <mergeCell ref="BQ35:BQ38"/>
    <mergeCell ref="BN35:BN38"/>
    <mergeCell ref="BI46:BI48"/>
    <mergeCell ref="BH46:BH48"/>
    <mergeCell ref="BM39:BM42"/>
    <mergeCell ref="BL39:BL42"/>
    <mergeCell ref="BL35:BL38"/>
    <mergeCell ref="BK32:BK38"/>
    <mergeCell ref="BH32:BH38"/>
    <mergeCell ref="BM35:BM38"/>
    <mergeCell ref="BP35:BP38"/>
    <mergeCell ref="BO35:BO38"/>
  </mergeCells>
  <conditionalFormatting sqref="AF7:AF8 BJ39 AF39:AF41 AF43 BJ43">
    <cfRule type="cellIs" dxfId="60" priority="171" operator="equal">
      <formula>"Moderado"</formula>
    </cfRule>
    <cfRule type="cellIs" dxfId="59" priority="170" operator="equal">
      <formula>"Alto"</formula>
    </cfRule>
    <cfRule type="cellIs" dxfId="58" priority="169" operator="equal">
      <formula>"Extremo"</formula>
    </cfRule>
    <cfRule type="cellIs" dxfId="57" priority="172" operator="equal">
      <formula>"Bajo"</formula>
    </cfRule>
  </conditionalFormatting>
  <conditionalFormatting sqref="AF10 AF12 AF14 AF16 AF19 AF23 AF27 AF30 AF46 AF49 AF59">
    <cfRule type="cellIs" dxfId="56" priority="50" operator="equal">
      <formula>"Alto"</formula>
    </cfRule>
    <cfRule type="cellIs" dxfId="55" priority="49" operator="equal">
      <formula>"Extremo"</formula>
    </cfRule>
    <cfRule type="cellIs" dxfId="54" priority="52" operator="equal">
      <formula>"Bajo"</formula>
    </cfRule>
    <cfRule type="cellIs" dxfId="53" priority="51" operator="equal">
      <formula>"Moderado"</formula>
    </cfRule>
  </conditionalFormatting>
  <conditionalFormatting sqref="AF32">
    <cfRule type="cellIs" dxfId="52" priority="23" operator="equal">
      <formula>"Moderado"</formula>
    </cfRule>
    <cfRule type="cellIs" dxfId="51" priority="21" operator="equal">
      <formula>"Extremo"</formula>
    </cfRule>
    <cfRule type="cellIs" dxfId="50" priority="22" operator="equal">
      <formula>"Alto"</formula>
    </cfRule>
    <cfRule type="cellIs" dxfId="49" priority="24" operator="equal">
      <formula>"Bajo"</formula>
    </cfRule>
  </conditionalFormatting>
  <conditionalFormatting sqref="AF51">
    <cfRule type="cellIs" dxfId="48" priority="5" operator="equal">
      <formula>"Extremo"</formula>
    </cfRule>
    <cfRule type="cellIs" dxfId="47" priority="6" operator="equal">
      <formula>"Alto"</formula>
    </cfRule>
    <cfRule type="cellIs" dxfId="46" priority="7" operator="equal">
      <formula>"Moderado"</formula>
    </cfRule>
    <cfRule type="cellIs" dxfId="45" priority="8" operator="equal">
      <formula>"Bajo"</formula>
    </cfRule>
  </conditionalFormatting>
  <conditionalFormatting sqref="AF62">
    <cfRule type="cellIs" dxfId="44" priority="29" operator="equal">
      <formula>"Extremo"</formula>
    </cfRule>
    <cfRule type="cellIs" dxfId="43" priority="30" operator="equal">
      <formula>"Alto"</formula>
    </cfRule>
    <cfRule type="cellIs" dxfId="42" priority="31" operator="equal">
      <formula>"Moderado"</formula>
    </cfRule>
    <cfRule type="cellIs" dxfId="41" priority="32" operator="equal">
      <formula>"Bajo"</formula>
    </cfRule>
  </conditionalFormatting>
  <conditionalFormatting sqref="BJ7:BJ8">
    <cfRule type="cellIs" dxfId="40" priority="166" operator="equal">
      <formula>"Alto"</formula>
    </cfRule>
    <cfRule type="cellIs" dxfId="39" priority="168" operator="equal">
      <formula>"Bajo"</formula>
    </cfRule>
    <cfRule type="cellIs" dxfId="38" priority="167" operator="equal">
      <formula>"Moderado"</formula>
    </cfRule>
    <cfRule type="cellIs" dxfId="37" priority="165" operator="equal">
      <formula>"Extremo"</formula>
    </cfRule>
  </conditionalFormatting>
  <conditionalFormatting sqref="BJ10 BJ12 BJ16 BJ19 BJ23 BJ27 BJ30 BJ46 BJ49 BJ59">
    <cfRule type="cellIs" dxfId="36" priority="53" operator="equal">
      <formula>"Extremo"</formula>
    </cfRule>
    <cfRule type="cellIs" dxfId="35" priority="55" operator="equal">
      <formula>"Moderado"</formula>
    </cfRule>
    <cfRule type="cellIs" dxfId="34" priority="56" operator="equal">
      <formula>"Bajo"</formula>
    </cfRule>
    <cfRule type="cellIs" dxfId="33" priority="54" operator="equal">
      <formula>"Alto"</formula>
    </cfRule>
  </conditionalFormatting>
  <conditionalFormatting sqref="BJ14">
    <cfRule type="cellIs" dxfId="32" priority="47" operator="equal">
      <formula>"Moderado"</formula>
    </cfRule>
    <cfRule type="cellIs" dxfId="31" priority="45" operator="equal">
      <formula>"Extremo"</formula>
    </cfRule>
    <cfRule type="cellIs" dxfId="30" priority="48" operator="equal">
      <formula>"Bajo"</formula>
    </cfRule>
    <cfRule type="cellIs" dxfId="29" priority="46" operator="equal">
      <formula>"Alto"</formula>
    </cfRule>
  </conditionalFormatting>
  <conditionalFormatting sqref="BJ32">
    <cfRule type="cellIs" dxfId="28" priority="28" operator="equal">
      <formula>"Bajo"</formula>
    </cfRule>
    <cfRule type="cellIs" dxfId="27" priority="27" operator="equal">
      <formula>"Moderado"</formula>
    </cfRule>
    <cfRule type="cellIs" dxfId="26" priority="26" operator="equal">
      <formula>"Alto"</formula>
    </cfRule>
    <cfRule type="cellIs" dxfId="25" priority="25" operator="equal">
      <formula>"Extremo"</formula>
    </cfRule>
  </conditionalFormatting>
  <conditionalFormatting sqref="BJ51">
    <cfRule type="cellIs" dxfId="24" priority="2" operator="equal">
      <formula>"Alto"</formula>
    </cfRule>
    <cfRule type="cellIs" dxfId="23" priority="3" operator="equal">
      <formula>"Moderado"</formula>
    </cfRule>
    <cfRule type="cellIs" dxfId="22" priority="1" operator="equal">
      <formula>"Extremo"</formula>
    </cfRule>
    <cfRule type="cellIs" dxfId="21" priority="4" operator="equal">
      <formula>"Bajo"</formula>
    </cfRule>
  </conditionalFormatting>
  <conditionalFormatting sqref="BJ62">
    <cfRule type="cellIs" dxfId="20" priority="35" operator="equal">
      <formula>"Moderado"</formula>
    </cfRule>
    <cfRule type="cellIs" dxfId="19" priority="34" operator="equal">
      <formula>"Alto"</formula>
    </cfRule>
    <cfRule type="cellIs" dxfId="18" priority="33" operator="equal">
      <formula>"Extremo"</formula>
    </cfRule>
    <cfRule type="cellIs" dxfId="17" priority="36" operator="equal">
      <formula>"Bajo"</formula>
    </cfRule>
  </conditionalFormatting>
  <dataValidations count="20">
    <dataValidation allowBlank="1" showInputMessage="1" showErrorMessage="1" prompt="Fuerte: 100_x000a__x000a_Moderado: Entre 50 y 99_x000a__x000a_Débil: Menor a 50" sqref="BE6"/>
    <dataValidation allowBlank="1" showInputMessage="1" showErrorMessage="1" prompt="Fuerte: 100_x000a__x000a_Moderado: 50_x000a__x000a_Débil: 0" sqref="BC6"/>
    <dataValidation allowBlank="1" showInputMessage="1" showErrorMessage="1" prompt="Fuerte: Siempre se ejecuta_x000a__x000a_Moderado: Algunas veces_x000a__x000a_Débil: No se ejecuta " sqref="AZ6:BA6"/>
    <dataValidation allowBlank="1" showInputMessage="1" showErrorMessage="1" prompt="Fuerte: Calificación entre 96 y 100_x000a__x000a_Moderado: Calificación entre 86 y 95_x000a__x000a_Débil: Calificación entre 0 y 85" sqref="AY6"/>
    <dataValidation allowBlank="1" showInputMessage="1" showErrorMessage="1" prompt="- Confiable (15)_x000a__x000a_- No Confiable (0)_x000a_" sqref="AR6:AS6"/>
    <dataValidation allowBlank="1" showInputMessage="1" showErrorMessage="1" prompt="- Prevenir (15)_x000a__x000a_- Detectar (10)_x000a__x000a_- No es un Control (0)" sqref="AP6:AQ6"/>
    <dataValidation allowBlank="1" showInputMessage="1" showErrorMessage="1" prompt="- Oportuna (15)_x000a__x000a_- Inoportuna (0)_x000a_" sqref="AN6:AO6"/>
    <dataValidation allowBlank="1" showInputMessage="1" showErrorMessage="1" prompt="- Asignado (15)_x000a__x000a_- No Asignado (0)" sqref="AJ6:AK6"/>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AI6"/>
    <dataValidation allowBlank="1" showInputMessage="1" showErrorMessage="1" prompt="Completa (10)_x000a__x000a_Incompleta (5)_x000a__x000a_No esxiste (0)" sqref="AV6:AW6"/>
    <dataValidation allowBlank="1" showInputMessage="1" showErrorMessage="1" prompt="- Se investigan y se resuelven Oportunamente (15)_x000a__x000a_- No se investigan y resuelven Oportunamente (0)_x000a_" sqref="AT6:AU6"/>
    <dataValidation allowBlank="1" showInputMessage="1" showErrorMessage="1" prompt="- Adecuado (15)_x000a__x000a_- Inadecuado (0)_x000a_" sqref="AL6:AM6"/>
    <dataValidation allowBlank="1" showInputMessage="1" showErrorMessage="1" prompt="Promedio entre el diseño Total de Control y Total Solidez Individual " sqref="BD6"/>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BB6"/>
    <dataValidation allowBlank="1" showInputMessage="1" showErrorMessage="1" prompt="Si el resultado de las calificaciones del control o promedio en el diseño de los controles, está por debajo de 96%, se debe establecer un plan de acción que permita tener un control bien diseñado" sqref="AX6"/>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A6 AC6:AE6"/>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AB6"/>
    <dataValidation type="list" allowBlank="1" showInputMessage="1" showErrorMessage="1" sqref="AH10:AH13">
      <formula1>$E$7:$E$9</formula1>
    </dataValidation>
    <dataValidation type="list" allowBlank="1" showInputMessage="1" showErrorMessage="1" sqref="AH7:AH9">
      <formula1>$E$7:$E$12</formula1>
    </dataValidation>
    <dataValidation type="list" allowBlank="1" showInputMessage="1" showErrorMessage="1" sqref="AH63">
      <formula1>$E$58:$E$63</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Listados!$B$26:$B$27</xm:f>
          </x14:formula1>
          <xm:sqref>M14:M15 H7:Z9 H59:Z61 AL65:AL1048576 H43:Z48 AR49:AR50 AJ49:AJ50 AL10:AL13 AT10:AT13 AN10:AN13 AJ10:AJ13 AR10:AR13 AN49:AN50 AL49:AL50 AT49:AT50</xm:sqref>
        </x14:dataValidation>
        <x14:dataValidation type="list" allowBlank="1" showInputMessage="1" showErrorMessage="1">
          <x14:formula1>
            <xm:f>Corrupción!$J$3:$J$7</xm:f>
          </x14:formula1>
          <xm:sqref>AB7:AB9 AB16:AB18 AB30:AB31 AB39:AB41 AB43:AB50 AB59:AB62</xm:sqref>
        </x14:dataValidation>
        <x14:dataValidation type="list" allowBlank="1" showInputMessage="1" showErrorMessage="1">
          <x14:formula1>
            <xm:f>Listados!$B$3:$B$20</xm:f>
          </x14:formula1>
          <xm:sqref>B7:B9 B27 B30 B46 B51:B57 B59 B23 B49 B16:B19 B62 B39:B41 B43</xm:sqref>
        </x14:dataValidation>
        <x14:dataValidation type="list" allowBlank="1" showInputMessage="1" showErrorMessage="1">
          <x14:formula1>
            <xm:f>Listados!$G$26:$G$27</xm:f>
          </x14:formula1>
          <xm:sqref>AP10:AP14 AP50 AI43:AI50 AI12:AI13</xm:sqref>
        </x14:dataValidation>
        <x14:dataValidation type="list" allowBlank="1" showInputMessage="1" showErrorMessage="1">
          <x14:formula1>
            <xm:f>Listados!$C$26:$C$28</xm:f>
          </x14:formula1>
          <xm:sqref>AV49:AV50 AV10:AV13</xm:sqref>
        </x14:dataValidation>
        <x14:dataValidation type="list" allowBlank="1" showInputMessage="1" showErrorMessage="1">
          <x14:formula1>
            <xm:f>Listados!$E$26:$E$28</xm:f>
          </x14:formula1>
          <xm:sqref>AZ7:AZ8 AZ10:AZ13 AZ16:AZ31 AZ43:AZ50 AZ59:AZ64</xm:sqref>
        </x14:dataValidation>
        <x14:dataValidation type="list" allowBlank="1" showInputMessage="1" showErrorMessage="1">
          <x14:formula1>
            <xm:f>Listados!$E$3:$E$4</xm:f>
          </x14:formula1>
          <xm:sqref>F22 F59 F46:F47 F65:F1048576 F7:F9</xm:sqref>
        </x14:dataValidation>
        <x14:dataValidation type="list" allowBlank="1" showInputMessage="1" showErrorMessage="1">
          <x14:formula1>
            <xm:f>'C:\Users\dpyate\Downloads\[MC-FO-07 MAPA DE RIEGOS DEL PROCESO (1).xlsm]Listados'!#REF!</xm:f>
          </x14:formula1>
          <xm:sqref>B12:B13 H12:Z13 F12</xm:sqref>
        </x14:dataValidation>
        <x14:dataValidation type="list" allowBlank="1" showInputMessage="1" showErrorMessage="1">
          <x14:formula1>
            <xm:f>'C:\Users\dpyate\Downloads\[MC-FO-07 MAPA DE RIEGOS DEL PROCESO (1).xlsm]Corrupción'!#REF!</xm:f>
          </x14:formula1>
          <xm:sqref>AB12:AB13</xm:sqref>
        </x14:dataValidation>
        <x14:dataValidation type="list" allowBlank="1" showInputMessage="1" showErrorMessage="1">
          <x14:formula1>
            <xm:f>'C:\Users\ana sofia\Downloads\[RIESGO GRUPO GESTIÓN DOCUMENTAL (1).xlsx]Listados'!#REF!</xm:f>
          </x14:formula1>
          <xm:sqref>B14:B15 AZ14 AV14 H14:L15 N14:Z15 AN14 AI14:AJ14 AL14 AR14 AT14 F14</xm:sqref>
        </x14:dataValidation>
        <x14:dataValidation type="list" allowBlank="1" showInputMessage="1" showErrorMessage="1">
          <x14:formula1>
            <xm:f>'C:\Users\ana sofia\Downloads\[RIESGO GRUPO GESTIÓN DOCUMENTAL (1).xlsx]Corrupción'!#REF!</xm:f>
          </x14:formula1>
          <xm:sqref>AB14:AB15</xm:sqref>
        </x14:dataValidation>
        <x14:dataValidation type="list" allowBlank="1" showInputMessage="1" showErrorMessage="1">
          <x14:formula1>
            <xm:f>'C:\Users\Miguelito\Downloads\[Mapa de Riesgos_PROCESO SEGUIMIENTO Y EVALUACIÓN (1) (1).xlsx]Listados'!#REF!</xm:f>
          </x14:formula1>
          <xm:sqref>AI16:AI18 H16:Z18</xm:sqref>
        </x14:dataValidation>
        <x14:dataValidation type="list" allowBlank="1" showInputMessage="1" showErrorMessage="1">
          <x14:formula1>
            <xm:f>'C:\Users\Miguelito\Downloads\[Riesgos Drogas_1 (1).xlsx]Listados'!#REF!</xm:f>
          </x14:formula1>
          <xm:sqref>F19:F21 H19:Z26 F23 AI19:AI22 AI25:AI26</xm:sqref>
        </x14:dataValidation>
        <x14:dataValidation type="list" allowBlank="1" showInputMessage="1" showErrorMessage="1">
          <x14:formula1>
            <xm:f>'C:\Users\MAUORD\Desktop\[1. Mapa de Riesgos corrupcion agosto_2021 GGH.xlsx]Listados'!#REF!</xm:f>
          </x14:formula1>
          <xm:sqref>AP59:AP61 AR59:AR61 AT59:AT61 AL59:AL61 AN59:AN61 AI59:AJ61 AV59:AV61</xm:sqref>
        </x14:dataValidation>
        <x14:dataValidation type="list" allowBlank="1" showInputMessage="1" showErrorMessage="1">
          <x14:formula1>
            <xm:f>'C:\Users\Miguelito\Downloads\[Riesgos Drogas_1 (1).xlsx]Corrupción'!#REF!</xm:f>
          </x14:formula1>
          <xm:sqref>AB19:AB26</xm:sqref>
        </x14:dataValidation>
        <x14:dataValidation type="list" allowBlank="1" showInputMessage="1" showErrorMessage="1">
          <x14:formula1>
            <xm:f>'https://minjusticiagovco-my.sharepoint.com/personal/mjrodriguez_minjusticia_gov_co/Documents/MATRIZ DE RIESGOS/VIGENCIA 2022/PRIMER CUATRIMESTRE/[MATRIZ RIESGOS GESTION Y CORRUPCIÓN FINAL (1).xlsx]Listados'!#REF!</xm:f>
          </x14:formula1>
          <xm:sqref>F49:F50 H49:Z50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D15"/>
  <sheetViews>
    <sheetView topLeftCell="A4" zoomScale="90" zoomScaleNormal="90" workbookViewId="0">
      <selection activeCell="D15" sqref="D4:D15"/>
    </sheetView>
  </sheetViews>
  <sheetFormatPr baseColWidth="10" defaultColWidth="11.42578125" defaultRowHeight="15"/>
  <cols>
    <col min="4" max="4" width="126" bestFit="1" customWidth="1"/>
  </cols>
  <sheetData>
    <row r="4" spans="4:4" ht="33.75">
      <c r="D4" s="130" t="s">
        <v>1028</v>
      </c>
    </row>
    <row r="5" spans="4:4" ht="33.75">
      <c r="D5" s="130" t="s">
        <v>1029</v>
      </c>
    </row>
    <row r="6" spans="4:4" ht="33.75">
      <c r="D6" s="130" t="s">
        <v>1030</v>
      </c>
    </row>
    <row r="7" spans="4:4" ht="33.75">
      <c r="D7" s="130" t="s">
        <v>1031</v>
      </c>
    </row>
    <row r="8" spans="4:4" ht="33.75">
      <c r="D8" s="130" t="s">
        <v>1032</v>
      </c>
    </row>
    <row r="9" spans="4:4" ht="92.25">
      <c r="D9" s="134" t="s">
        <v>1033</v>
      </c>
    </row>
    <row r="10" spans="4:4" ht="33.75">
      <c r="D10" s="133" t="s">
        <v>1034</v>
      </c>
    </row>
    <row r="11" spans="4:4" ht="33.75">
      <c r="D11" s="130" t="s">
        <v>1035</v>
      </c>
    </row>
    <row r="12" spans="4:4" ht="33.75">
      <c r="D12" s="130" t="s">
        <v>1036</v>
      </c>
    </row>
    <row r="13" spans="4:4" ht="33.75">
      <c r="D13" s="132" t="s">
        <v>1037</v>
      </c>
    </row>
    <row r="14" spans="4:4" ht="33.75">
      <c r="D14" s="130" t="s">
        <v>1038</v>
      </c>
    </row>
    <row r="15" spans="4:4" ht="33.75">
      <c r="D15" s="131" t="s">
        <v>1039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366"/>
  <sheetViews>
    <sheetView showGridLines="0" topLeftCell="J1" zoomScale="70" zoomScaleNormal="70" zoomScaleSheetLayoutView="50" workbookViewId="0">
      <selection activeCell="S15" sqref="S15"/>
    </sheetView>
  </sheetViews>
  <sheetFormatPr baseColWidth="10" defaultColWidth="11.42578125" defaultRowHeight="15"/>
  <cols>
    <col min="1" max="1" width="4.85546875" style="18" customWidth="1"/>
    <col min="2" max="2" width="33.5703125" style="15" customWidth="1"/>
    <col min="3" max="3" width="47" style="15" customWidth="1"/>
    <col min="4" max="7" width="28.85546875" style="19" customWidth="1"/>
    <col min="8" max="10" width="25.5703125" style="19" customWidth="1"/>
    <col min="11" max="11" width="27.28515625" style="19" customWidth="1"/>
    <col min="12" max="12" width="27.7109375" style="15" customWidth="1"/>
    <col min="13" max="13" width="10.85546875" style="20" customWidth="1"/>
    <col min="14" max="14" width="10.42578125" style="20" hidden="1" customWidth="1"/>
    <col min="15" max="15" width="12.42578125" style="20" customWidth="1"/>
    <col min="16" max="16" width="10.42578125" style="20" hidden="1" customWidth="1"/>
    <col min="17" max="17" width="10.140625" style="20" customWidth="1"/>
    <col min="18" max="18" width="17.140625" style="15" customWidth="1"/>
    <col min="19" max="19" width="36.28515625" style="20" customWidth="1"/>
    <col min="20" max="20" width="36" style="20" customWidth="1"/>
    <col min="21" max="22" width="52.7109375" style="15" customWidth="1"/>
    <col min="23" max="23" width="16.42578125" style="15" customWidth="1"/>
    <col min="24" max="24" width="20" style="15" customWidth="1"/>
    <col min="25" max="25" width="20" style="15" hidden="1" customWidth="1"/>
    <col min="26" max="26" width="22.85546875" style="15" customWidth="1"/>
    <col min="27" max="27" width="22.85546875" style="15" hidden="1" customWidth="1"/>
    <col min="28" max="28" width="28.140625" style="15" bestFit="1" customWidth="1"/>
    <col min="29" max="29" width="28.140625" style="15" hidden="1" customWidth="1"/>
    <col min="30" max="30" width="34.7109375" style="15" bestFit="1" customWidth="1"/>
    <col min="31" max="31" width="34.7109375" style="15" hidden="1" customWidth="1"/>
    <col min="32" max="32" width="24.140625" style="15" bestFit="1" customWidth="1"/>
    <col min="33" max="33" width="24.140625" style="15" hidden="1" customWidth="1"/>
    <col min="34" max="34" width="27.85546875" style="15" bestFit="1" customWidth="1"/>
    <col min="35" max="35" width="27.85546875" style="15" hidden="1" customWidth="1"/>
    <col min="36" max="36" width="23.85546875" style="15" bestFit="1" customWidth="1"/>
    <col min="37" max="37" width="23.85546875" style="15" hidden="1" customWidth="1"/>
    <col min="38" max="38" width="15.85546875" style="15" customWidth="1"/>
    <col min="39" max="39" width="18.5703125" style="15" customWidth="1"/>
    <col min="40" max="40" width="20.5703125" style="15" customWidth="1"/>
    <col min="41" max="41" width="20.5703125" style="15" hidden="1" customWidth="1"/>
    <col min="42" max="42" width="20.5703125" style="15" customWidth="1"/>
    <col min="43" max="43" width="20.5703125" style="15" hidden="1" customWidth="1"/>
    <col min="44" max="44" width="20.5703125" style="15" customWidth="1"/>
    <col min="45" max="45" width="20.5703125" style="15" hidden="1" customWidth="1"/>
    <col min="46" max="46" width="20.5703125" style="15" customWidth="1"/>
    <col min="47" max="48" width="20.5703125" style="15" hidden="1" customWidth="1"/>
    <col min="49" max="50" width="20.5703125" style="15" customWidth="1"/>
    <col min="51" max="53" width="15.5703125" style="15" customWidth="1"/>
    <col min="54" max="54" width="18.85546875" style="15" customWidth="1"/>
    <col min="55" max="56" width="15.5703125" style="15" customWidth="1"/>
    <col min="57" max="58" width="15.5703125" style="15" hidden="1" customWidth="1"/>
    <col min="59" max="59" width="22.28515625" style="20" customWidth="1"/>
    <col min="60" max="60" width="11.85546875" style="20" customWidth="1"/>
    <col min="61" max="61" width="19.42578125" style="15" customWidth="1"/>
    <col min="65" max="65" width="17.42578125" customWidth="1"/>
  </cols>
  <sheetData>
    <row r="1" spans="1:16383" s="14" customFormat="1" ht="45.75" customHeight="1" thickTop="1">
      <c r="A1" s="520" t="s">
        <v>128</v>
      </c>
      <c r="B1" s="521"/>
      <c r="C1" s="521"/>
      <c r="D1" s="521"/>
      <c r="E1" s="521"/>
      <c r="F1" s="521"/>
      <c r="G1" s="521"/>
      <c r="H1" s="526" t="s">
        <v>1040</v>
      </c>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row>
    <row r="2" spans="1:16383" s="14" customFormat="1" ht="13.5" customHeight="1">
      <c r="A2" s="522"/>
      <c r="B2" s="523"/>
      <c r="C2" s="523"/>
      <c r="D2" s="523"/>
      <c r="E2" s="523"/>
      <c r="F2" s="523"/>
      <c r="G2" s="523"/>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526"/>
      <c r="AW2" s="526"/>
      <c r="AX2" s="526"/>
      <c r="AY2" s="526"/>
      <c r="AZ2" s="526"/>
      <c r="BA2" s="526"/>
      <c r="BB2" s="526"/>
      <c r="BC2" s="526"/>
      <c r="BD2" s="526"/>
      <c r="BE2" s="526"/>
      <c r="BF2" s="526"/>
      <c r="BG2" s="526"/>
      <c r="BH2" s="526"/>
      <c r="BI2" s="526"/>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row>
    <row r="3" spans="1:16383" s="22" customFormat="1" ht="33" customHeight="1" thickBot="1">
      <c r="A3" s="524"/>
      <c r="B3" s="525"/>
      <c r="C3" s="525"/>
      <c r="D3" s="525"/>
      <c r="E3" s="525"/>
      <c r="F3" s="525"/>
      <c r="G3" s="525"/>
      <c r="H3" s="464" t="s">
        <v>130</v>
      </c>
      <c r="I3" s="464"/>
      <c r="J3" s="464"/>
      <c r="K3" s="464"/>
      <c r="L3" s="238">
        <v>2020</v>
      </c>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c r="BH3" s="467"/>
      <c r="BI3" s="467"/>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c r="XEX3"/>
      <c r="XEY3"/>
      <c r="XEZ3"/>
      <c r="XFA3"/>
      <c r="XFB3"/>
      <c r="XFC3"/>
    </row>
    <row r="4" spans="1:16383" ht="29.25" customHeight="1">
      <c r="A4" s="334" t="s">
        <v>131</v>
      </c>
      <c r="B4" s="335"/>
      <c r="C4" s="335"/>
      <c r="D4" s="335"/>
      <c r="E4" s="335"/>
      <c r="F4" s="335"/>
      <c r="G4" s="335"/>
      <c r="H4" s="335"/>
      <c r="I4" s="335"/>
      <c r="J4" s="335"/>
      <c r="K4" s="335"/>
      <c r="L4" s="335"/>
      <c r="M4" s="455"/>
      <c r="N4" s="455"/>
      <c r="O4" s="455"/>
      <c r="P4" s="455"/>
      <c r="Q4" s="455"/>
      <c r="R4" s="456" t="s">
        <v>134</v>
      </c>
      <c r="S4" s="239"/>
      <c r="T4" s="239"/>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c r="BC4" s="455"/>
      <c r="BD4" s="455"/>
      <c r="BE4" s="455"/>
      <c r="BF4" s="455"/>
      <c r="BG4" s="455"/>
      <c r="BH4" s="455"/>
      <c r="BI4" s="455"/>
      <c r="BJ4" s="501" t="s">
        <v>631</v>
      </c>
      <c r="BK4" s="502"/>
      <c r="BL4" s="502"/>
      <c r="BM4" s="503"/>
    </row>
    <row r="5" spans="1:16383" ht="40.5" customHeight="1" thickBot="1">
      <c r="A5" s="336"/>
      <c r="B5" s="337"/>
      <c r="C5" s="337"/>
      <c r="D5" s="337"/>
      <c r="E5" s="337"/>
      <c r="F5" s="337"/>
      <c r="G5" s="337"/>
      <c r="H5" s="337"/>
      <c r="I5" s="337"/>
      <c r="J5" s="337"/>
      <c r="K5" s="337"/>
      <c r="L5" s="337"/>
      <c r="M5" s="456" t="s">
        <v>135</v>
      </c>
      <c r="N5" s="456"/>
      <c r="O5" s="456"/>
      <c r="P5" s="456"/>
      <c r="Q5" s="456"/>
      <c r="R5" s="456"/>
      <c r="S5" s="168"/>
      <c r="T5" s="168"/>
      <c r="U5" s="319" t="s">
        <v>136</v>
      </c>
      <c r="V5" s="320"/>
      <c r="W5" s="321"/>
      <c r="X5" s="319" t="s">
        <v>137</v>
      </c>
      <c r="Y5" s="320"/>
      <c r="Z5" s="320"/>
      <c r="AA5" s="320"/>
      <c r="AB5" s="320"/>
      <c r="AC5" s="320"/>
      <c r="AD5" s="320"/>
      <c r="AE5" s="320"/>
      <c r="AF5" s="320"/>
      <c r="AG5" s="320"/>
      <c r="AH5" s="320"/>
      <c r="AI5" s="320"/>
      <c r="AJ5" s="320"/>
      <c r="AK5" s="320"/>
      <c r="AL5" s="320"/>
      <c r="AM5" s="321"/>
      <c r="AN5" s="322" t="s">
        <v>113</v>
      </c>
      <c r="AO5" s="323"/>
      <c r="AP5" s="323"/>
      <c r="AQ5" s="323"/>
      <c r="AR5" s="323"/>
      <c r="AS5" s="323"/>
      <c r="AT5" s="323"/>
      <c r="AU5" s="323"/>
      <c r="AV5" s="323"/>
      <c r="AW5" s="323"/>
      <c r="AX5" s="169"/>
      <c r="AY5" s="322" t="s">
        <v>138</v>
      </c>
      <c r="AZ5" s="324"/>
      <c r="BA5" s="322" t="s">
        <v>139</v>
      </c>
      <c r="BB5" s="324"/>
      <c r="BC5" s="170"/>
      <c r="BD5" s="170"/>
      <c r="BE5" s="170"/>
      <c r="BF5" s="170"/>
      <c r="BG5" s="456" t="s">
        <v>140</v>
      </c>
      <c r="BH5" s="456"/>
      <c r="BI5" s="456"/>
      <c r="BJ5" s="504"/>
      <c r="BK5" s="505"/>
      <c r="BL5" s="505"/>
      <c r="BM5" s="506"/>
    </row>
    <row r="6" spans="1:16383" ht="108" customHeight="1" thickBot="1">
      <c r="A6" s="54" t="s">
        <v>144</v>
      </c>
      <c r="B6" s="49" t="s">
        <v>145</v>
      </c>
      <c r="C6" s="49" t="s">
        <v>146</v>
      </c>
      <c r="D6" s="49" t="s">
        <v>1041</v>
      </c>
      <c r="E6" s="49" t="s">
        <v>1042</v>
      </c>
      <c r="F6" s="49" t="s">
        <v>1043</v>
      </c>
      <c r="G6" s="49" t="s">
        <v>1044</v>
      </c>
      <c r="H6" s="49" t="s">
        <v>1045</v>
      </c>
      <c r="I6" s="49" t="s">
        <v>1046</v>
      </c>
      <c r="J6" s="49" t="s">
        <v>1047</v>
      </c>
      <c r="K6" s="49" t="s">
        <v>1048</v>
      </c>
      <c r="L6" s="49" t="s">
        <v>152</v>
      </c>
      <c r="M6" s="194" t="s">
        <v>153</v>
      </c>
      <c r="N6" s="194"/>
      <c r="O6" s="194" t="s">
        <v>154</v>
      </c>
      <c r="P6" s="194"/>
      <c r="Q6" s="194" t="s">
        <v>155</v>
      </c>
      <c r="R6" s="176" t="s">
        <v>176</v>
      </c>
      <c r="S6" s="176" t="s">
        <v>1049</v>
      </c>
      <c r="T6" s="176" t="s">
        <v>136</v>
      </c>
      <c r="U6" s="176" t="s">
        <v>156</v>
      </c>
      <c r="V6" s="176" t="s">
        <v>1050</v>
      </c>
      <c r="W6" s="176" t="s">
        <v>158</v>
      </c>
      <c r="X6" s="176" t="s">
        <v>159</v>
      </c>
      <c r="Y6" s="176"/>
      <c r="Z6" s="176" t="s">
        <v>160</v>
      </c>
      <c r="AA6" s="176"/>
      <c r="AB6" s="176" t="s">
        <v>161</v>
      </c>
      <c r="AC6" s="176"/>
      <c r="AD6" s="176" t="s">
        <v>162</v>
      </c>
      <c r="AE6" s="176"/>
      <c r="AF6" s="176" t="s">
        <v>163</v>
      </c>
      <c r="AG6" s="176"/>
      <c r="AH6" s="176" t="s">
        <v>164</v>
      </c>
      <c r="AI6" s="176"/>
      <c r="AJ6" s="176" t="s">
        <v>165</v>
      </c>
      <c r="AK6" s="176"/>
      <c r="AL6" s="176" t="s">
        <v>166</v>
      </c>
      <c r="AM6" s="176" t="s">
        <v>167</v>
      </c>
      <c r="AN6" s="176" t="s">
        <v>1051</v>
      </c>
      <c r="AO6" s="176"/>
      <c r="AP6" s="176" t="s">
        <v>1052</v>
      </c>
      <c r="AQ6" s="176"/>
      <c r="AR6" s="176" t="s">
        <v>1053</v>
      </c>
      <c r="AS6" s="176"/>
      <c r="AT6" s="176" t="s">
        <v>1054</v>
      </c>
      <c r="AU6" s="176"/>
      <c r="AV6" s="176"/>
      <c r="AW6" s="176" t="s">
        <v>1055</v>
      </c>
      <c r="AX6" s="176" t="s">
        <v>169</v>
      </c>
      <c r="AY6" s="176" t="s">
        <v>170</v>
      </c>
      <c r="AZ6" s="176" t="s">
        <v>171</v>
      </c>
      <c r="BA6" s="176" t="s">
        <v>172</v>
      </c>
      <c r="BB6" s="176" t="s">
        <v>173</v>
      </c>
      <c r="BC6" s="176" t="s">
        <v>174</v>
      </c>
      <c r="BD6" s="176" t="s">
        <v>175</v>
      </c>
      <c r="BE6" s="176"/>
      <c r="BF6" s="176"/>
      <c r="BG6" s="176" t="s">
        <v>153</v>
      </c>
      <c r="BH6" s="176" t="s">
        <v>154</v>
      </c>
      <c r="BI6" s="176" t="s">
        <v>155</v>
      </c>
      <c r="BJ6" s="49" t="s">
        <v>1056</v>
      </c>
      <c r="BK6" s="49" t="s">
        <v>1057</v>
      </c>
      <c r="BL6" s="49" t="s">
        <v>1058</v>
      </c>
      <c r="BM6" s="49" t="s">
        <v>1059</v>
      </c>
    </row>
    <row r="7" spans="1:16383" ht="65.099999999999994" customHeight="1" thickBot="1">
      <c r="A7" s="328">
        <v>1</v>
      </c>
      <c r="B7" s="516"/>
      <c r="C7" s="371" t="str">
        <f>IFERROR(VLOOKUP(B7,Listados!B$3:C$20,2,FALSE),"")</f>
        <v/>
      </c>
      <c r="D7" s="107"/>
      <c r="E7" s="107"/>
      <c r="F7" s="507"/>
      <c r="G7" s="440"/>
      <c r="H7" s="100"/>
      <c r="I7" s="100"/>
      <c r="J7" s="100"/>
      <c r="K7" s="103"/>
      <c r="L7" s="17"/>
      <c r="M7" s="516"/>
      <c r="N7" s="510" t="e">
        <f>+VLOOKUP(M7,Listados!$K$8:$L$12,2,0)</f>
        <v>#N/A</v>
      </c>
      <c r="O7" s="511"/>
      <c r="P7" s="510" t="e">
        <f>+VLOOKUP(O7,Listados!$K$13:$L$17,2,0)</f>
        <v>#N/A</v>
      </c>
      <c r="Q7" s="528" t="str">
        <f>IF(AND(M7&lt;&gt;"",O7&lt;&gt;""),VLOOKUP(M7&amp;O7,Listados!$M$3:$N$27,2,FALSE),"")</f>
        <v/>
      </c>
      <c r="R7" s="534" t="e">
        <f>+VLOOKUP(Q7,Listados!$P$3:$Q$6,2,FALSE)</f>
        <v>#N/A</v>
      </c>
      <c r="S7" s="208"/>
      <c r="T7" s="94"/>
      <c r="U7" s="59" t="s">
        <v>627</v>
      </c>
      <c r="V7" s="60"/>
      <c r="W7" s="61"/>
      <c r="X7" s="62"/>
      <c r="Y7" s="94"/>
      <c r="Z7" s="62"/>
      <c r="AA7" s="94"/>
      <c r="AB7" s="62"/>
      <c r="AC7" s="94"/>
      <c r="AD7" s="62"/>
      <c r="AE7" s="94"/>
      <c r="AF7" s="62"/>
      <c r="AG7" s="94"/>
      <c r="AH7" s="62"/>
      <c r="AI7" s="94"/>
      <c r="AJ7" s="62"/>
      <c r="AK7" s="63" t="str">
        <f>+IF(AJ7="Completa",10,IF(AJ7="Incompleta",5,""))</f>
        <v/>
      </c>
      <c r="AL7" s="111" t="str">
        <f>IF((SUM(Y7,AA7,AC7,AE7,AG7,AI7,AK7)=0),"",(SUM(Y7,AA7,AC7,AE7,AG7,AI7,AK7)))</f>
        <v/>
      </c>
      <c r="AM7" s="77" t="str">
        <f>IF(AL7&lt;=85,"Débil",IF(AL7&lt;=95,"Moderado",IF(AL7=100,"Fuerte","")))</f>
        <v/>
      </c>
      <c r="AN7" s="293"/>
      <c r="AO7" s="293"/>
      <c r="AP7" s="293"/>
      <c r="AQ7" s="293"/>
      <c r="AR7" s="293"/>
      <c r="AS7" s="293"/>
      <c r="AT7" s="293"/>
      <c r="AU7" s="294" t="str">
        <f>IFERROR(VLOOKUP(AT7,'Seguridad Información'!$I$61:$J$65,2,0),"")</f>
        <v/>
      </c>
      <c r="AV7" s="79"/>
      <c r="AW7" s="78" t="str">
        <f>IFERROR(AVERAGE(AO7,AQ7,AS7,AU7),"")</f>
        <v/>
      </c>
      <c r="AX7" s="77" t="str">
        <f>IF(AW7&lt;=80,"Débil",IF(AW7&lt;=90,"Moderado",IF(AW7=100,"Fuerte","")))</f>
        <v/>
      </c>
      <c r="AY7" s="21" t="str">
        <f>IFERROR(VLOOKUP((CONCATENATE(AM7,AX7)),Listados!$U$3:$V$11,2,FALSE),"")</f>
        <v/>
      </c>
      <c r="AZ7" s="111">
        <f>IF(ISBLANK(AY7),"",IF(AY7="Débil", 0, IF(AY7="Moderado",50,100)))</f>
        <v>100</v>
      </c>
      <c r="BA7" s="529">
        <f>AVERAGE(AZ7:AZ12)</f>
        <v>100</v>
      </c>
      <c r="BB7" s="531" t="str">
        <f>IF(BA7&lt;=50, "Débil", IF(BA7&lt;=99,"Moderado","Fuerte"))</f>
        <v>Fuerte</v>
      </c>
      <c r="BC7" s="64">
        <f>+IF(AND(W7="Preventivo",BB7="Fuerte"),2,IF(AND(W7="Preventivo",BB7="Moderado"),1,0))</f>
        <v>0</v>
      </c>
      <c r="BD7" s="64">
        <f>+IF(AND(W7="Detectivo/Correctivo",$BB7="Fuerte"),2,IF(AND(W7="Detectivo/Correctivo",$BB7="Moderado"),1,IF(AND(W7="Preventivo",$BB7="Fuerte"),1,0)))</f>
        <v>0</v>
      </c>
      <c r="BE7" s="64" t="e">
        <f>+N7-BC7</f>
        <v>#N/A</v>
      </c>
      <c r="BF7" s="64" t="e">
        <f>+P7-BD7</f>
        <v>#N/A</v>
      </c>
      <c r="BG7" s="517" t="e">
        <f>+VLOOKUP(MIN(BE7,BE8,BE9,BE10,BE11,BE12),Listados!$J$18:$K$24,2,TRUE)</f>
        <v>#N/A</v>
      </c>
      <c r="BH7" s="517" t="e">
        <f>+VLOOKUP(MIN(BF7,BF8,BF9,BF10,BF11,BF12),Listados!$J$26:$K$32,2,TRUE)</f>
        <v>#N/A</v>
      </c>
      <c r="BI7" s="517" t="e">
        <f>IF(AND(BG7&lt;&gt;"",BH7&lt;&gt;""),VLOOKUP(BG7&amp;BH7,Listados!$M$3:$N$27,2,FALSE),"")</f>
        <v>#N/A</v>
      </c>
      <c r="BJ7" s="537" t="e">
        <f>+IF($R7="Asumir el riesgo","NA","")</f>
        <v>#N/A</v>
      </c>
      <c r="BK7" s="537" t="e">
        <f>+IF($R7="Asumir el riesgo","NA","")</f>
        <v>#N/A</v>
      </c>
      <c r="BL7" s="537" t="e">
        <f>+IF($R7="Asumir el riesgo","NA","")</f>
        <v>#N/A</v>
      </c>
      <c r="BM7" s="537" t="e">
        <f>+IF($R7="Asumir el riesgo","NA","")</f>
        <v>#N/A</v>
      </c>
    </row>
    <row r="8" spans="1:16383" ht="65.099999999999994" customHeight="1" thickBot="1">
      <c r="A8" s="329"/>
      <c r="B8" s="370"/>
      <c r="C8" s="364"/>
      <c r="D8" s="233"/>
      <c r="E8" s="233"/>
      <c r="F8" s="433"/>
      <c r="G8" s="441"/>
      <c r="H8" s="100"/>
      <c r="I8" s="237"/>
      <c r="J8" s="100"/>
      <c r="K8" s="236"/>
      <c r="L8" s="222"/>
      <c r="M8" s="370"/>
      <c r="N8" s="349"/>
      <c r="O8" s="352"/>
      <c r="P8" s="349"/>
      <c r="Q8" s="353"/>
      <c r="R8" s="535"/>
      <c r="S8" s="208"/>
      <c r="T8" s="195"/>
      <c r="U8" s="72" t="s">
        <v>627</v>
      </c>
      <c r="V8" s="241"/>
      <c r="W8" s="213"/>
      <c r="X8" s="208"/>
      <c r="Y8" s="95"/>
      <c r="Z8" s="208"/>
      <c r="AA8" s="95"/>
      <c r="AB8" s="208"/>
      <c r="AC8" s="95"/>
      <c r="AD8" s="208"/>
      <c r="AE8" s="95"/>
      <c r="AF8" s="208"/>
      <c r="AG8" s="95"/>
      <c r="AH8" s="208"/>
      <c r="AI8" s="95"/>
      <c r="AJ8" s="208"/>
      <c r="AK8" s="27" t="str">
        <f t="shared" ref="AK8:AK71" si="0">+IF(AJ8="Completa",10,IF(AJ8="Incompleta",5,""))</f>
        <v/>
      </c>
      <c r="AL8" s="48" t="str">
        <f>IF((SUM(Y8,AA8,AC8,AE8,AG8,AI8,AK8)=0),"",(SUM(Y8,AA8,AC8,AE8,AG8,AI8,AK8)))</f>
        <v/>
      </c>
      <c r="AM8" s="48" t="str">
        <f>IF(AL8&lt;=85,"Débil",IF(AL8&lt;=95,"Moderado",IF(AL8=100,"Fuerte","")))</f>
        <v/>
      </c>
      <c r="AN8" s="293"/>
      <c r="AO8" s="293"/>
      <c r="AP8" s="293"/>
      <c r="AQ8" s="293"/>
      <c r="AR8" s="293"/>
      <c r="AS8" s="293"/>
      <c r="AT8" s="293"/>
      <c r="AU8" s="294" t="str">
        <f>IFERROR(VLOOKUP(AT8,'Seguridad Información'!$I$61:$J$65,2,0),"")</f>
        <v/>
      </c>
      <c r="AV8" s="79"/>
      <c r="AW8" s="78" t="str">
        <f t="shared" ref="AW8:AW70" si="1">IFERROR(AVERAGE(AO8,AQ8,AS8,AU8),"")</f>
        <v/>
      </c>
      <c r="AX8" s="77" t="str">
        <f t="shared" ref="AX8:AX71" si="2">IF(AW8&lt;=80,"Débil",IF(AW8&lt;=90,"Moderado",IF(AW8=100,"Fuerte","")))</f>
        <v/>
      </c>
      <c r="AY8" s="21" t="str">
        <f>IFERROR(VLOOKUP((CONCATENATE(AM8,AX8)),Listados!$U$3:$V$11,2,FALSE),"")</f>
        <v/>
      </c>
      <c r="AZ8" s="48">
        <f>IF(ISBLANK(AY8),"",IF(AY8="Débil", 0, IF(AY8="Moderado",50,100)))</f>
        <v>100</v>
      </c>
      <c r="BA8" s="355"/>
      <c r="BB8" s="357"/>
      <c r="BC8" s="173">
        <f>+IF(AND(W8="Preventivo",BB7="Fuerte"),2,IF(AND(W8="Preventivo",BB7="Moderado"),1,0))</f>
        <v>0</v>
      </c>
      <c r="BD8" s="64">
        <f>+IF(AND(W8="Detectivo/Correctivo",$BB7="Fuerte"),2,IF(AND(W8="Detectivo/Correctivo",$BB8="Moderado"),1,IF(AND(W8="Preventivo",$BB7="Fuerte"),1,0)))</f>
        <v>0</v>
      </c>
      <c r="BE8" s="173" t="e">
        <f>+N7-BC8</f>
        <v>#N/A</v>
      </c>
      <c r="BF8" s="173" t="e">
        <f>+P7-BD8</f>
        <v>#N/A</v>
      </c>
      <c r="BG8" s="346"/>
      <c r="BH8" s="346"/>
      <c r="BI8" s="346"/>
      <c r="BJ8" s="538"/>
      <c r="BK8" s="538"/>
      <c r="BL8" s="538"/>
      <c r="BM8" s="538"/>
    </row>
    <row r="9" spans="1:16383" ht="65.099999999999994" customHeight="1" thickBot="1">
      <c r="A9" s="329"/>
      <c r="B9" s="370"/>
      <c r="C9" s="364"/>
      <c r="D9" s="233"/>
      <c r="E9" s="233"/>
      <c r="F9" s="433"/>
      <c r="G9" s="441"/>
      <c r="H9" s="100"/>
      <c r="I9" s="237"/>
      <c r="J9" s="100"/>
      <c r="K9" s="236"/>
      <c r="L9" s="222"/>
      <c r="M9" s="370"/>
      <c r="N9" s="349"/>
      <c r="O9" s="352"/>
      <c r="P9" s="349"/>
      <c r="Q9" s="353"/>
      <c r="R9" s="535"/>
      <c r="S9" s="208"/>
      <c r="T9" s="96"/>
      <c r="U9" s="72" t="s">
        <v>627</v>
      </c>
      <c r="V9" s="241"/>
      <c r="W9" s="213"/>
      <c r="X9" s="208"/>
      <c r="Y9" s="95" t="str">
        <f t="shared" ref="Y9:Y71" si="3">+IF(X9="si",15,"")</f>
        <v/>
      </c>
      <c r="Z9" s="208"/>
      <c r="AA9" s="95" t="str">
        <f t="shared" ref="AA9:AA71" si="4">+IF(Z9="si",15,"")</f>
        <v/>
      </c>
      <c r="AB9" s="208"/>
      <c r="AC9" s="95" t="str">
        <f t="shared" ref="AC9:AC71" si="5">+IF(AB9="si",15,"")</f>
        <v/>
      </c>
      <c r="AD9" s="208"/>
      <c r="AE9" s="95" t="str">
        <f t="shared" ref="AE9:AE71" si="6">+IF(AD9="si",15,"")</f>
        <v/>
      </c>
      <c r="AF9" s="208"/>
      <c r="AG9" s="95" t="str">
        <f t="shared" ref="AG9:AG71" si="7">+IF(AF9="si",15,"")</f>
        <v/>
      </c>
      <c r="AH9" s="208"/>
      <c r="AI9" s="95" t="str">
        <f t="shared" ref="AI9:AI71" si="8">+IF(AH9="si",15,"")</f>
        <v/>
      </c>
      <c r="AJ9" s="208"/>
      <c r="AK9" s="27" t="str">
        <f t="shared" si="0"/>
        <v/>
      </c>
      <c r="AL9" s="48" t="str">
        <f>IF((SUM(Y9,AA9,AC9,AE9,AG9,AI9,AK9)=0),"",(SUM(Y9,AA9,AC9,AE9,AG9,AI9,AK9)))</f>
        <v/>
      </c>
      <c r="AM9" s="48" t="str">
        <f t="shared" ref="AM9:AM71" si="9">IF(AL9&lt;=85,"Débil",IF(AL9&lt;=95,"Moderado",IF(AL9=100,"Fuerte","")))</f>
        <v/>
      </c>
      <c r="AN9" s="293"/>
      <c r="AO9" s="293"/>
      <c r="AP9" s="293"/>
      <c r="AQ9" s="293"/>
      <c r="AR9" s="293"/>
      <c r="AS9" s="293"/>
      <c r="AT9" s="293"/>
      <c r="AU9" s="294" t="str">
        <f>IFERROR(VLOOKUP(AT9,'Seguridad Información'!$I$61:$J$65,2,0),"")</f>
        <v/>
      </c>
      <c r="AV9" s="79"/>
      <c r="AW9" s="78" t="str">
        <f t="shared" si="1"/>
        <v/>
      </c>
      <c r="AX9" s="77" t="str">
        <f t="shared" si="2"/>
        <v/>
      </c>
      <c r="AY9" s="21" t="str">
        <f>IFERROR(VLOOKUP((CONCATENATE(AM9,AX9)),Listados!$U$3:$V$11,2,FALSE),"")</f>
        <v/>
      </c>
      <c r="AZ9" s="48">
        <f t="shared" ref="AZ9:AZ72" si="10">IF(ISBLANK(AY9),"",IF(AY9="Débil", 0, IF(AY9="Moderado",50,100)))</f>
        <v>100</v>
      </c>
      <c r="BA9" s="355"/>
      <c r="BB9" s="357"/>
      <c r="BC9" s="173">
        <f>+IF(AND(W9="Preventivo",BB7="Fuerte"),2,IF(AND(W9="Preventivo",BB7="Moderado"),1,0))</f>
        <v>0</v>
      </c>
      <c r="BD9" s="64">
        <f>+IF(AND(W9="Detectivo/Correctivo",$BB7="Fuerte"),2,IF(AND(W9="Detectivo/Correctivo",$BB9="Moderado"),1,IF(AND(W9="Preventivo",$BB7="Fuerte"),1,0)))</f>
        <v>0</v>
      </c>
      <c r="BE9" s="173" t="e">
        <f>+N7-BC9</f>
        <v>#N/A</v>
      </c>
      <c r="BF9" s="173" t="e">
        <f>+P7-BD9</f>
        <v>#N/A</v>
      </c>
      <c r="BG9" s="346"/>
      <c r="BH9" s="346"/>
      <c r="BI9" s="346"/>
      <c r="BJ9" s="538"/>
      <c r="BK9" s="538"/>
      <c r="BL9" s="538"/>
      <c r="BM9" s="538"/>
    </row>
    <row r="10" spans="1:16383" ht="65.099999999999994" customHeight="1" thickBot="1">
      <c r="A10" s="329"/>
      <c r="B10" s="370"/>
      <c r="C10" s="364"/>
      <c r="D10" s="233"/>
      <c r="E10" s="233"/>
      <c r="F10" s="433"/>
      <c r="G10" s="441"/>
      <c r="H10" s="100"/>
      <c r="I10" s="237"/>
      <c r="J10" s="100"/>
      <c r="K10" s="236"/>
      <c r="L10" s="222"/>
      <c r="M10" s="370"/>
      <c r="N10" s="349"/>
      <c r="O10" s="352"/>
      <c r="P10" s="349"/>
      <c r="Q10" s="353"/>
      <c r="R10" s="535"/>
      <c r="S10" s="208"/>
      <c r="T10" s="97"/>
      <c r="U10" s="72" t="s">
        <v>627</v>
      </c>
      <c r="V10" s="241"/>
      <c r="W10" s="213"/>
      <c r="X10" s="208"/>
      <c r="Y10" s="95" t="str">
        <f t="shared" si="3"/>
        <v/>
      </c>
      <c r="Z10" s="208"/>
      <c r="AA10" s="95" t="str">
        <f t="shared" si="4"/>
        <v/>
      </c>
      <c r="AB10" s="208"/>
      <c r="AC10" s="95" t="str">
        <f t="shared" si="5"/>
        <v/>
      </c>
      <c r="AD10" s="208"/>
      <c r="AE10" s="95" t="str">
        <f t="shared" si="6"/>
        <v/>
      </c>
      <c r="AF10" s="208"/>
      <c r="AG10" s="95" t="str">
        <f t="shared" si="7"/>
        <v/>
      </c>
      <c r="AH10" s="208"/>
      <c r="AI10" s="95" t="str">
        <f t="shared" si="8"/>
        <v/>
      </c>
      <c r="AJ10" s="208"/>
      <c r="AK10" s="27" t="str">
        <f t="shared" si="0"/>
        <v/>
      </c>
      <c r="AL10" s="48" t="str">
        <f t="shared" ref="AL10:AL71" si="11">IF((SUM(Y10,AA10,AC10,AE10,AG10,AI10,AK10)=0),"",(SUM(Y10,AA10,AC10,AE10,AG10,AI10,AK10)))</f>
        <v/>
      </c>
      <c r="AM10" s="48" t="str">
        <f t="shared" si="9"/>
        <v/>
      </c>
      <c r="AN10" s="293"/>
      <c r="AO10" s="293"/>
      <c r="AP10" s="293"/>
      <c r="AQ10" s="293"/>
      <c r="AR10" s="293"/>
      <c r="AS10" s="293"/>
      <c r="AT10" s="293"/>
      <c r="AU10" s="294" t="str">
        <f>IFERROR(VLOOKUP(AT10,'Seguridad Información'!$I$61:$J$65,2,0),"")</f>
        <v/>
      </c>
      <c r="AV10" s="79"/>
      <c r="AW10" s="78" t="str">
        <f t="shared" si="1"/>
        <v/>
      </c>
      <c r="AX10" s="77" t="str">
        <f t="shared" si="2"/>
        <v/>
      </c>
      <c r="AY10" s="21" t="str">
        <f>IFERROR(VLOOKUP((CONCATENATE(AM10,AX10)),Listados!$U$3:$V$11,2,FALSE),"")</f>
        <v/>
      </c>
      <c r="AZ10" s="48">
        <f t="shared" si="10"/>
        <v>100</v>
      </c>
      <c r="BA10" s="355"/>
      <c r="BB10" s="357"/>
      <c r="BC10" s="173">
        <f>+IF(AND(W10="Preventivo",BB7="Fuerte"),2,IF(AND(W10="Preventivo",BB7="Moderado"),1,0))</f>
        <v>0</v>
      </c>
      <c r="BD10" s="64">
        <f>+IF(AND(W10="Detectivo/Correctivo",$BB7="Fuerte"),2,IF(AND(W10="Detectivo/Correctivo",$BB10="Moderado"),1,IF(AND(W10="Preventivo",$BB7="Fuerte"),1,0)))</f>
        <v>0</v>
      </c>
      <c r="BE10" s="173" t="e">
        <f>+N7-BC10</f>
        <v>#N/A</v>
      </c>
      <c r="BF10" s="173" t="e">
        <f>+P7-BD10</f>
        <v>#N/A</v>
      </c>
      <c r="BG10" s="346"/>
      <c r="BH10" s="346"/>
      <c r="BI10" s="346"/>
      <c r="BJ10" s="538"/>
      <c r="BK10" s="538"/>
      <c r="BL10" s="538"/>
      <c r="BM10" s="538"/>
    </row>
    <row r="11" spans="1:16383" ht="65.099999999999994" customHeight="1" thickBot="1">
      <c r="A11" s="329"/>
      <c r="B11" s="370"/>
      <c r="C11" s="364"/>
      <c r="D11" s="109"/>
      <c r="E11" s="109"/>
      <c r="F11" s="433"/>
      <c r="G11" s="441"/>
      <c r="H11" s="100"/>
      <c r="I11" s="237"/>
      <c r="J11" s="100"/>
      <c r="K11" s="29"/>
      <c r="L11" s="222"/>
      <c r="M11" s="370"/>
      <c r="N11" s="349"/>
      <c r="O11" s="352"/>
      <c r="P11" s="349"/>
      <c r="Q11" s="353"/>
      <c r="R11" s="535"/>
      <c r="S11" s="208"/>
      <c r="T11" s="195"/>
      <c r="U11" s="72" t="s">
        <v>627</v>
      </c>
      <c r="V11" s="241"/>
      <c r="W11" s="213"/>
      <c r="X11" s="208"/>
      <c r="Y11" s="95" t="str">
        <f t="shared" si="3"/>
        <v/>
      </c>
      <c r="Z11" s="208"/>
      <c r="AA11" s="95" t="str">
        <f t="shared" si="4"/>
        <v/>
      </c>
      <c r="AB11" s="208"/>
      <c r="AC11" s="95" t="str">
        <f t="shared" si="5"/>
        <v/>
      </c>
      <c r="AD11" s="208"/>
      <c r="AE11" s="95" t="str">
        <f t="shared" si="6"/>
        <v/>
      </c>
      <c r="AF11" s="208"/>
      <c r="AG11" s="95" t="str">
        <f t="shared" si="7"/>
        <v/>
      </c>
      <c r="AH11" s="208"/>
      <c r="AI11" s="95" t="str">
        <f t="shared" si="8"/>
        <v/>
      </c>
      <c r="AJ11" s="208"/>
      <c r="AK11" s="27" t="str">
        <f t="shared" si="0"/>
        <v/>
      </c>
      <c r="AL11" s="48" t="str">
        <f t="shared" si="11"/>
        <v/>
      </c>
      <c r="AM11" s="48" t="str">
        <f t="shared" si="9"/>
        <v/>
      </c>
      <c r="AN11" s="293"/>
      <c r="AO11" s="293"/>
      <c r="AP11" s="293"/>
      <c r="AQ11" s="293"/>
      <c r="AR11" s="293"/>
      <c r="AS11" s="293"/>
      <c r="AT11" s="293"/>
      <c r="AU11" s="294" t="str">
        <f>IFERROR(VLOOKUP(AT11,'Seguridad Información'!$I$61:$J$65,2,0),"")</f>
        <v/>
      </c>
      <c r="AV11" s="79"/>
      <c r="AW11" s="78" t="str">
        <f t="shared" si="1"/>
        <v/>
      </c>
      <c r="AX11" s="77" t="str">
        <f t="shared" si="2"/>
        <v/>
      </c>
      <c r="AY11" s="21" t="str">
        <f>IFERROR(VLOOKUP((CONCATENATE(AM11,AX11)),Listados!$U$3:$V$11,2,FALSE),"")</f>
        <v/>
      </c>
      <c r="AZ11" s="48">
        <f t="shared" si="10"/>
        <v>100</v>
      </c>
      <c r="BA11" s="355"/>
      <c r="BB11" s="357"/>
      <c r="BC11" s="173">
        <f>+IF(AND(W11="Preventivo",BB7="Fuerte"),2,IF(AND(W11="Preventivo",BB7="Moderado"),1,0))</f>
        <v>0</v>
      </c>
      <c r="BD11" s="64">
        <f>+IF(AND(W11="Detectivo/Correctivo",$BB7="Fuerte"),2,IF(AND(W11="Detectivo/Correctivo",$BB11="Moderado"),1,IF(AND(W11="Preventivo",$BB7="Fuerte"),1,0)))</f>
        <v>0</v>
      </c>
      <c r="BE11" s="173" t="e">
        <f>+N7-BC11</f>
        <v>#N/A</v>
      </c>
      <c r="BF11" s="173" t="e">
        <f>+P7-BD11</f>
        <v>#N/A</v>
      </c>
      <c r="BG11" s="346"/>
      <c r="BH11" s="346"/>
      <c r="BI11" s="346"/>
      <c r="BJ11" s="538"/>
      <c r="BK11" s="538"/>
      <c r="BL11" s="538"/>
      <c r="BM11" s="538"/>
    </row>
    <row r="12" spans="1:16383" ht="65.099999999999994" customHeight="1" thickBot="1">
      <c r="A12" s="330"/>
      <c r="B12" s="515"/>
      <c r="C12" s="365"/>
      <c r="D12" s="106"/>
      <c r="E12" s="106"/>
      <c r="F12" s="508"/>
      <c r="G12" s="527"/>
      <c r="H12" s="65"/>
      <c r="I12" s="53"/>
      <c r="J12" s="65"/>
      <c r="K12" s="31"/>
      <c r="L12" s="66"/>
      <c r="M12" s="515"/>
      <c r="N12" s="509"/>
      <c r="O12" s="512"/>
      <c r="P12" s="509"/>
      <c r="Q12" s="513"/>
      <c r="R12" s="536"/>
      <c r="S12" s="69"/>
      <c r="T12" s="98"/>
      <c r="U12" s="73" t="s">
        <v>627</v>
      </c>
      <c r="V12" s="67"/>
      <c r="W12" s="68"/>
      <c r="X12" s="69"/>
      <c r="Y12" s="99" t="str">
        <f t="shared" si="3"/>
        <v/>
      </c>
      <c r="Z12" s="69"/>
      <c r="AA12" s="99" t="str">
        <f t="shared" si="4"/>
        <v/>
      </c>
      <c r="AB12" s="69"/>
      <c r="AC12" s="99" t="str">
        <f t="shared" si="5"/>
        <v/>
      </c>
      <c r="AD12" s="69"/>
      <c r="AE12" s="99" t="str">
        <f t="shared" si="6"/>
        <v/>
      </c>
      <c r="AF12" s="69"/>
      <c r="AG12" s="99" t="str">
        <f t="shared" si="7"/>
        <v/>
      </c>
      <c r="AH12" s="69"/>
      <c r="AI12" s="99" t="str">
        <f t="shared" si="8"/>
        <v/>
      </c>
      <c r="AJ12" s="69"/>
      <c r="AK12" s="70" t="str">
        <f t="shared" si="0"/>
        <v/>
      </c>
      <c r="AL12" s="110" t="str">
        <f t="shared" si="11"/>
        <v/>
      </c>
      <c r="AM12" s="110" t="str">
        <f t="shared" si="9"/>
        <v/>
      </c>
      <c r="AN12" s="293"/>
      <c r="AO12" s="293"/>
      <c r="AP12" s="293"/>
      <c r="AQ12" s="293"/>
      <c r="AR12" s="293"/>
      <c r="AS12" s="293"/>
      <c r="AT12" s="293"/>
      <c r="AU12" s="294" t="str">
        <f>IFERROR(VLOOKUP(AT12,'Seguridad Información'!$I$61:$J$65,2,0),"")</f>
        <v/>
      </c>
      <c r="AV12" s="79"/>
      <c r="AW12" s="78" t="str">
        <f t="shared" si="1"/>
        <v/>
      </c>
      <c r="AX12" s="77" t="str">
        <f t="shared" si="2"/>
        <v/>
      </c>
      <c r="AY12" s="21" t="str">
        <f>IFERROR(VLOOKUP((CONCATENATE(AM12,AX12)),Listados!$U$3:$V$11,2,FALSE),"")</f>
        <v/>
      </c>
      <c r="AZ12" s="110">
        <f t="shared" si="10"/>
        <v>100</v>
      </c>
      <c r="BA12" s="530"/>
      <c r="BB12" s="532"/>
      <c r="BC12" s="71">
        <f>+IF(AND(W12="Preventivo",BB7="Fuerte"),2,IF(AND(W12="Preventivo",BB7="Moderado"),1,0))</f>
        <v>0</v>
      </c>
      <c r="BD12" s="64">
        <f>+IF(AND(W12="Detectivo/Correctivo",$BB7="Fuerte"),2,IF(AND(W12="Detectivo/Correctivo",$BB12="Moderado"),1,IF(AND(W12="Preventivo",$BB7="Fuerte"),1,0)))</f>
        <v>0</v>
      </c>
      <c r="BE12" s="71" t="e">
        <f>+N7-BC12</f>
        <v>#N/A</v>
      </c>
      <c r="BF12" s="71" t="e">
        <f>+P7-BD12</f>
        <v>#N/A</v>
      </c>
      <c r="BG12" s="518"/>
      <c r="BH12" s="518"/>
      <c r="BI12" s="518"/>
      <c r="BJ12" s="539"/>
      <c r="BK12" s="539"/>
      <c r="BL12" s="539"/>
      <c r="BM12" s="539"/>
    </row>
    <row r="13" spans="1:16383" ht="65.099999999999994" customHeight="1" thickBot="1">
      <c r="A13" s="329">
        <v>2</v>
      </c>
      <c r="B13" s="514"/>
      <c r="C13" s="364" t="str">
        <f>IFERROR(VLOOKUP(B13,Listados!B$3:C$20,2,FALSE),"")</f>
        <v/>
      </c>
      <c r="D13" s="105"/>
      <c r="E13" s="105"/>
      <c r="F13" s="433"/>
      <c r="G13" s="434"/>
      <c r="H13" s="52"/>
      <c r="I13" s="52"/>
      <c r="J13" s="52"/>
      <c r="K13" s="55"/>
      <c r="L13" s="56"/>
      <c r="M13" s="369"/>
      <c r="N13" s="349" t="e">
        <f>+VLOOKUP(M13,Listados!$K$8:$L$12,2,0)</f>
        <v>#N/A</v>
      </c>
      <c r="O13" s="351"/>
      <c r="P13" s="349" t="e">
        <f>+VLOOKUP(O13,Listados!$K$13:$L$17,2,0)</f>
        <v>#N/A</v>
      </c>
      <c r="Q13" s="347" t="str">
        <f>IF(AND(M13&lt;&gt;"",O13&lt;&gt;""),VLOOKUP(M13&amp;O13,Listados!$M$3:$N$27,2,FALSE),"")</f>
        <v/>
      </c>
      <c r="R13" s="346" t="e">
        <f>+VLOOKUP(Q13,Listados!$P$3:$Q$6,2,FALSE)</f>
        <v>#N/A</v>
      </c>
      <c r="S13" s="108"/>
      <c r="T13" s="94"/>
      <c r="U13" s="47" t="s">
        <v>627</v>
      </c>
      <c r="V13" s="60"/>
      <c r="W13" s="57"/>
      <c r="X13" s="57"/>
      <c r="Y13" s="95" t="str">
        <f t="shared" si="3"/>
        <v/>
      </c>
      <c r="Z13" s="57"/>
      <c r="AA13" s="95" t="str">
        <f t="shared" si="4"/>
        <v/>
      </c>
      <c r="AB13" s="108"/>
      <c r="AC13" s="95" t="str">
        <f t="shared" si="5"/>
        <v/>
      </c>
      <c r="AD13" s="108"/>
      <c r="AE13" s="95" t="str">
        <f t="shared" si="6"/>
        <v/>
      </c>
      <c r="AF13" s="108"/>
      <c r="AG13" s="95" t="str">
        <f t="shared" si="7"/>
        <v/>
      </c>
      <c r="AH13" s="108"/>
      <c r="AI13" s="95" t="str">
        <f t="shared" si="8"/>
        <v/>
      </c>
      <c r="AJ13" s="108"/>
      <c r="AK13" s="27" t="str">
        <f t="shared" si="0"/>
        <v/>
      </c>
      <c r="AL13" s="48" t="str">
        <f t="shared" si="11"/>
        <v/>
      </c>
      <c r="AM13" s="48" t="str">
        <f t="shared" si="9"/>
        <v/>
      </c>
      <c r="AN13" s="293"/>
      <c r="AO13" s="293"/>
      <c r="AP13" s="293"/>
      <c r="AQ13" s="293"/>
      <c r="AR13" s="293"/>
      <c r="AS13" s="293"/>
      <c r="AT13" s="293"/>
      <c r="AU13" s="294" t="str">
        <f>IFERROR(VLOOKUP(AT13,'Seguridad Información'!$I$61:$J$65,2,0),"")</f>
        <v/>
      </c>
      <c r="AV13" s="79"/>
      <c r="AW13" s="78" t="str">
        <f t="shared" si="1"/>
        <v/>
      </c>
      <c r="AX13" s="77" t="str">
        <f t="shared" si="2"/>
        <v/>
      </c>
      <c r="AY13" s="21" t="str">
        <f>IFERROR(VLOOKUP((CONCATENATE(AM13,AX13)),Listados!$U$3:$V$11,2,FALSE),"")</f>
        <v/>
      </c>
      <c r="AZ13" s="48">
        <f t="shared" si="10"/>
        <v>100</v>
      </c>
      <c r="BA13" s="355">
        <f>AVERAGE(AZ13:AZ18)</f>
        <v>100</v>
      </c>
      <c r="BB13" s="356" t="str">
        <f>IF(BA13&lt;=50, "Débil", IF(BA13&lt;=99,"Moderado","Fuerte"))</f>
        <v>Fuerte</v>
      </c>
      <c r="BC13" s="58">
        <f>+IF(AND(W13="Preventivo",BB13="Fuerte"),2,IF(AND(W13="Preventivo",BB13="Moderado"),1,0))</f>
        <v>0</v>
      </c>
      <c r="BD13" s="64">
        <f>+IF(AND(W13="Detectivo/Correctivo",$BB13="Fuerte"),2,IF(AND(W13="Detectivo/Correctivo",$BB13="Moderado"),1,IF(AND(W13="Preventivo",$BB13="Fuerte"),1,0)))</f>
        <v>0</v>
      </c>
      <c r="BE13" s="58" t="e">
        <f>+N13-BC13</f>
        <v>#N/A</v>
      </c>
      <c r="BF13" s="58" t="e">
        <f>+P13-BD13</f>
        <v>#N/A</v>
      </c>
      <c r="BG13" s="346" t="e">
        <f>+VLOOKUP(MIN(BE13,BE14,BE15,BE16,BE17,BE18),Listados!$J$18:$K$24,2,TRUE)</f>
        <v>#N/A</v>
      </c>
      <c r="BH13" s="346" t="e">
        <f>+VLOOKUP(MIN(BF13,BF14,BF15,BF16,BF17,BF18),Listados!$J$26:$K$32,2,TRUE)</f>
        <v>#N/A</v>
      </c>
      <c r="BI13" s="346" t="e">
        <f>IF(AND(BG13&lt;&gt;"",BH13&lt;&gt;""),VLOOKUP(BG13&amp;BH13,Listados!$M$3:$N$27,2,FALSE),"")</f>
        <v>#N/A</v>
      </c>
      <c r="BJ13" s="537" t="e">
        <f>+IF($R13="Asumir el riesgo","NA","")</f>
        <v>#N/A</v>
      </c>
      <c r="BK13" s="537" t="e">
        <f>+IF($R13="Asumir el riesgo","NA","")</f>
        <v>#N/A</v>
      </c>
      <c r="BL13" s="537" t="e">
        <f>+IF($R13="Asumir el riesgo","NA","")</f>
        <v>#N/A</v>
      </c>
      <c r="BM13" s="537" t="e">
        <f>+IF($R13="Asumir el riesgo","NA","")</f>
        <v>#N/A</v>
      </c>
    </row>
    <row r="14" spans="1:16383" ht="65.099999999999994" customHeight="1" thickBot="1">
      <c r="A14" s="329"/>
      <c r="B14" s="514"/>
      <c r="C14" s="364"/>
      <c r="D14" s="233"/>
      <c r="E14" s="233"/>
      <c r="F14" s="433"/>
      <c r="G14" s="441"/>
      <c r="H14" s="100"/>
      <c r="I14" s="237"/>
      <c r="J14" s="100"/>
      <c r="K14" s="236"/>
      <c r="L14" s="222"/>
      <c r="M14" s="370"/>
      <c r="N14" s="349"/>
      <c r="O14" s="352"/>
      <c r="P14" s="349"/>
      <c r="Q14" s="353"/>
      <c r="R14" s="346"/>
      <c r="S14" s="208"/>
      <c r="T14" s="195"/>
      <c r="U14" s="47" t="s">
        <v>627</v>
      </c>
      <c r="V14" s="241"/>
      <c r="W14" s="215"/>
      <c r="X14" s="215"/>
      <c r="Y14" s="95" t="str">
        <f t="shared" si="3"/>
        <v/>
      </c>
      <c r="Z14" s="215"/>
      <c r="AA14" s="95" t="str">
        <f t="shared" si="4"/>
        <v/>
      </c>
      <c r="AB14" s="208"/>
      <c r="AC14" s="95" t="str">
        <f t="shared" si="5"/>
        <v/>
      </c>
      <c r="AD14" s="208"/>
      <c r="AE14" s="95" t="str">
        <f t="shared" si="6"/>
        <v/>
      </c>
      <c r="AF14" s="208"/>
      <c r="AG14" s="95" t="str">
        <f t="shared" si="7"/>
        <v/>
      </c>
      <c r="AH14" s="208"/>
      <c r="AI14" s="95" t="str">
        <f t="shared" si="8"/>
        <v/>
      </c>
      <c r="AJ14" s="208"/>
      <c r="AK14" s="27" t="str">
        <f t="shared" si="0"/>
        <v/>
      </c>
      <c r="AL14" s="48" t="str">
        <f t="shared" si="11"/>
        <v/>
      </c>
      <c r="AM14" s="48" t="str">
        <f t="shared" si="9"/>
        <v/>
      </c>
      <c r="AN14" s="293"/>
      <c r="AO14" s="293"/>
      <c r="AP14" s="293"/>
      <c r="AQ14" s="293"/>
      <c r="AR14" s="293"/>
      <c r="AS14" s="293"/>
      <c r="AT14" s="293"/>
      <c r="AU14" s="294" t="str">
        <f>IFERROR(VLOOKUP(AT14,'Seguridad Información'!$I$61:$J$65,2,0),"")</f>
        <v/>
      </c>
      <c r="AV14" s="79"/>
      <c r="AW14" s="78" t="str">
        <f t="shared" si="1"/>
        <v/>
      </c>
      <c r="AX14" s="77" t="str">
        <f t="shared" si="2"/>
        <v/>
      </c>
      <c r="AY14" s="21" t="str">
        <f>IFERROR(VLOOKUP((CONCATENATE(AM14,AX14)),Listados!$U$3:$V$11,2,FALSE),"")</f>
        <v/>
      </c>
      <c r="AZ14" s="48">
        <f t="shared" si="10"/>
        <v>100</v>
      </c>
      <c r="BA14" s="355"/>
      <c r="BB14" s="357"/>
      <c r="BC14" s="173">
        <f>+IF(AND(W14="Preventivo",BB13="Fuerte"),2,IF(AND(W14="Preventivo",BB13="Moderado"),1,0))</f>
        <v>0</v>
      </c>
      <c r="BD14" s="64">
        <f>+IF(AND(W14="Detectivo/Correctivo",$BB13="Fuerte"),2,IF(AND(W14="Detectivo/Correctivo",$BB14="Moderado"),1,IF(AND(W14="Preventivo",$BB13="Fuerte"),1,0)))</f>
        <v>0</v>
      </c>
      <c r="BE14" s="173" t="e">
        <f>+N13-BC14</f>
        <v>#N/A</v>
      </c>
      <c r="BF14" s="173" t="e">
        <f>+P13-BD14</f>
        <v>#N/A</v>
      </c>
      <c r="BG14" s="346"/>
      <c r="BH14" s="346"/>
      <c r="BI14" s="346"/>
      <c r="BJ14" s="538"/>
      <c r="BK14" s="538"/>
      <c r="BL14" s="538"/>
      <c r="BM14" s="538"/>
    </row>
    <row r="15" spans="1:16383" ht="65.099999999999994" customHeight="1" thickBot="1">
      <c r="A15" s="329"/>
      <c r="B15" s="514"/>
      <c r="C15" s="364"/>
      <c r="D15" s="233"/>
      <c r="E15" s="233"/>
      <c r="F15" s="433"/>
      <c r="G15" s="441"/>
      <c r="H15" s="100"/>
      <c r="I15" s="237"/>
      <c r="J15" s="100"/>
      <c r="K15" s="236"/>
      <c r="L15" s="222"/>
      <c r="M15" s="370"/>
      <c r="N15" s="349"/>
      <c r="O15" s="352"/>
      <c r="P15" s="349"/>
      <c r="Q15" s="353"/>
      <c r="R15" s="346"/>
      <c r="S15" s="208"/>
      <c r="T15" s="96"/>
      <c r="U15" s="47" t="s">
        <v>627</v>
      </c>
      <c r="V15" s="241"/>
      <c r="W15" s="215"/>
      <c r="X15" s="215"/>
      <c r="Y15" s="95" t="str">
        <f t="shared" si="3"/>
        <v/>
      </c>
      <c r="Z15" s="215"/>
      <c r="AA15" s="95" t="str">
        <f t="shared" si="4"/>
        <v/>
      </c>
      <c r="AB15" s="208"/>
      <c r="AC15" s="95" t="str">
        <f t="shared" si="5"/>
        <v/>
      </c>
      <c r="AD15" s="208"/>
      <c r="AE15" s="95" t="str">
        <f t="shared" si="6"/>
        <v/>
      </c>
      <c r="AF15" s="208"/>
      <c r="AG15" s="95" t="str">
        <f t="shared" si="7"/>
        <v/>
      </c>
      <c r="AH15" s="208"/>
      <c r="AI15" s="95" t="str">
        <f t="shared" si="8"/>
        <v/>
      </c>
      <c r="AJ15" s="208"/>
      <c r="AK15" s="27" t="str">
        <f t="shared" si="0"/>
        <v/>
      </c>
      <c r="AL15" s="48" t="str">
        <f t="shared" si="11"/>
        <v/>
      </c>
      <c r="AM15" s="48" t="str">
        <f t="shared" si="9"/>
        <v/>
      </c>
      <c r="AN15" s="293"/>
      <c r="AO15" s="293"/>
      <c r="AP15" s="293"/>
      <c r="AQ15" s="293"/>
      <c r="AR15" s="293"/>
      <c r="AS15" s="293"/>
      <c r="AT15" s="293"/>
      <c r="AU15" s="294" t="str">
        <f>IFERROR(VLOOKUP(AT15,'Seguridad Información'!$I$61:$J$65,2,0),"")</f>
        <v/>
      </c>
      <c r="AV15" s="79"/>
      <c r="AW15" s="78" t="str">
        <f t="shared" si="1"/>
        <v/>
      </c>
      <c r="AX15" s="77" t="str">
        <f t="shared" si="2"/>
        <v/>
      </c>
      <c r="AY15" s="21" t="str">
        <f>IFERROR(VLOOKUP((CONCATENATE(AM15,AX15)),Listados!$U$3:$V$11,2,FALSE),"")</f>
        <v/>
      </c>
      <c r="AZ15" s="48">
        <f t="shared" si="10"/>
        <v>100</v>
      </c>
      <c r="BA15" s="355"/>
      <c r="BB15" s="357"/>
      <c r="BC15" s="173">
        <f>+IF(AND(W15="Preventivo",BB13="Fuerte"),2,IF(AND(W15="Preventivo",BB13="Moderado"),1,0))</f>
        <v>0</v>
      </c>
      <c r="BD15" s="64">
        <f>+IF(AND(W15="Detectivo/Correctivo",$BB13="Fuerte"),2,IF(AND(W15="Detectivo/Correctivo",$BB15="Moderado"),1,IF(AND(W15="Preventivo",$BB13="Fuerte"),1,0)))</f>
        <v>0</v>
      </c>
      <c r="BE15" s="173" t="e">
        <f>+N13-BC15</f>
        <v>#N/A</v>
      </c>
      <c r="BF15" s="173" t="e">
        <f>+P13-BD15</f>
        <v>#N/A</v>
      </c>
      <c r="BG15" s="346"/>
      <c r="BH15" s="346"/>
      <c r="BI15" s="346"/>
      <c r="BJ15" s="538"/>
      <c r="BK15" s="538"/>
      <c r="BL15" s="538"/>
      <c r="BM15" s="538"/>
    </row>
    <row r="16" spans="1:16383" ht="65.099999999999994" customHeight="1" thickBot="1">
      <c r="A16" s="329"/>
      <c r="B16" s="514"/>
      <c r="C16" s="364"/>
      <c r="D16" s="233"/>
      <c r="E16" s="233"/>
      <c r="F16" s="433"/>
      <c r="G16" s="441"/>
      <c r="H16" s="100"/>
      <c r="I16" s="237"/>
      <c r="J16" s="100"/>
      <c r="K16" s="236"/>
      <c r="L16" s="222"/>
      <c r="M16" s="370"/>
      <c r="N16" s="349"/>
      <c r="O16" s="352"/>
      <c r="P16" s="349"/>
      <c r="Q16" s="353"/>
      <c r="R16" s="346"/>
      <c r="S16" s="208"/>
      <c r="T16" s="208"/>
      <c r="U16" s="47" t="s">
        <v>627</v>
      </c>
      <c r="V16" s="241"/>
      <c r="W16" s="215"/>
      <c r="X16" s="215"/>
      <c r="Y16" s="95" t="str">
        <f t="shared" si="3"/>
        <v/>
      </c>
      <c r="Z16" s="215"/>
      <c r="AA16" s="95" t="str">
        <f t="shared" si="4"/>
        <v/>
      </c>
      <c r="AB16" s="208"/>
      <c r="AC16" s="95" t="str">
        <f t="shared" si="5"/>
        <v/>
      </c>
      <c r="AD16" s="208"/>
      <c r="AE16" s="95" t="str">
        <f t="shared" si="6"/>
        <v/>
      </c>
      <c r="AF16" s="208"/>
      <c r="AG16" s="95" t="str">
        <f t="shared" si="7"/>
        <v/>
      </c>
      <c r="AH16" s="208"/>
      <c r="AI16" s="95" t="str">
        <f t="shared" si="8"/>
        <v/>
      </c>
      <c r="AJ16" s="208"/>
      <c r="AK16" s="27" t="str">
        <f t="shared" si="0"/>
        <v/>
      </c>
      <c r="AL16" s="48" t="str">
        <f t="shared" si="11"/>
        <v/>
      </c>
      <c r="AM16" s="48" t="str">
        <f t="shared" si="9"/>
        <v/>
      </c>
      <c r="AN16" s="293"/>
      <c r="AO16" s="293"/>
      <c r="AP16" s="293"/>
      <c r="AQ16" s="293"/>
      <c r="AR16" s="293"/>
      <c r="AS16" s="293"/>
      <c r="AT16" s="293"/>
      <c r="AU16" s="294" t="str">
        <f>IFERROR(VLOOKUP(AT16,'Seguridad Información'!$I$61:$J$65,2,0),"")</f>
        <v/>
      </c>
      <c r="AV16" s="79"/>
      <c r="AW16" s="78" t="str">
        <f t="shared" si="1"/>
        <v/>
      </c>
      <c r="AX16" s="77" t="str">
        <f t="shared" si="2"/>
        <v/>
      </c>
      <c r="AY16" s="21" t="str">
        <f>IFERROR(VLOOKUP((CONCATENATE(AM16,AX16)),Listados!$U$3:$V$11,2,FALSE),"")</f>
        <v/>
      </c>
      <c r="AZ16" s="48">
        <f t="shared" si="10"/>
        <v>100</v>
      </c>
      <c r="BA16" s="355"/>
      <c r="BB16" s="357"/>
      <c r="BC16" s="173">
        <f>+IF(AND(W16="Preventivo",BB13="Fuerte"),2,IF(AND(W16="Preventivo",BB13="Moderado"),1,0))</f>
        <v>0</v>
      </c>
      <c r="BD16" s="64">
        <f>+IF(AND(W16="Detectivo/Correctivo",$BB13="Fuerte"),2,IF(AND(W16="Detectivo/Correctivo",$BB16="Moderado"),1,IF(AND(W16="Preventivo",$BB13="Fuerte"),1,0)))</f>
        <v>0</v>
      </c>
      <c r="BE16" s="173" t="e">
        <f>+N13-BC16</f>
        <v>#N/A</v>
      </c>
      <c r="BF16" s="173" t="e">
        <f>+P13-BD16</f>
        <v>#N/A</v>
      </c>
      <c r="BG16" s="346"/>
      <c r="BH16" s="346"/>
      <c r="BI16" s="346"/>
      <c r="BJ16" s="538"/>
      <c r="BK16" s="538"/>
      <c r="BL16" s="538"/>
      <c r="BM16" s="538"/>
    </row>
    <row r="17" spans="1:65" ht="65.099999999999994" customHeight="1" thickBot="1">
      <c r="A17" s="329"/>
      <c r="B17" s="514"/>
      <c r="C17" s="364"/>
      <c r="D17" s="109"/>
      <c r="E17" s="109"/>
      <c r="F17" s="433"/>
      <c r="G17" s="441"/>
      <c r="H17" s="100"/>
      <c r="I17" s="237"/>
      <c r="J17" s="100"/>
      <c r="K17" s="29"/>
      <c r="L17" s="222"/>
      <c r="M17" s="370"/>
      <c r="N17" s="349"/>
      <c r="O17" s="352"/>
      <c r="P17" s="349"/>
      <c r="Q17" s="353"/>
      <c r="R17" s="346"/>
      <c r="S17" s="208"/>
      <c r="T17" s="195"/>
      <c r="U17" s="47" t="s">
        <v>627</v>
      </c>
      <c r="V17" s="241"/>
      <c r="W17" s="215"/>
      <c r="X17" s="215"/>
      <c r="Y17" s="95" t="str">
        <f t="shared" si="3"/>
        <v/>
      </c>
      <c r="Z17" s="215"/>
      <c r="AA17" s="95" t="str">
        <f t="shared" si="4"/>
        <v/>
      </c>
      <c r="AB17" s="208"/>
      <c r="AC17" s="95" t="str">
        <f t="shared" si="5"/>
        <v/>
      </c>
      <c r="AD17" s="208"/>
      <c r="AE17" s="95" t="str">
        <f t="shared" si="6"/>
        <v/>
      </c>
      <c r="AF17" s="208"/>
      <c r="AG17" s="95" t="str">
        <f t="shared" si="7"/>
        <v/>
      </c>
      <c r="AH17" s="208"/>
      <c r="AI17" s="95" t="str">
        <f t="shared" si="8"/>
        <v/>
      </c>
      <c r="AJ17" s="208"/>
      <c r="AK17" s="27" t="str">
        <f t="shared" si="0"/>
        <v/>
      </c>
      <c r="AL17" s="48" t="str">
        <f t="shared" si="11"/>
        <v/>
      </c>
      <c r="AM17" s="48" t="str">
        <f t="shared" si="9"/>
        <v/>
      </c>
      <c r="AN17" s="293"/>
      <c r="AO17" s="293"/>
      <c r="AP17" s="293"/>
      <c r="AQ17" s="293"/>
      <c r="AR17" s="293"/>
      <c r="AS17" s="293"/>
      <c r="AT17" s="293"/>
      <c r="AU17" s="294" t="str">
        <f>IFERROR(VLOOKUP(AT17,'Seguridad Información'!$I$61:$J$65,2,0),"")</f>
        <v/>
      </c>
      <c r="AV17" s="79"/>
      <c r="AW17" s="78" t="str">
        <f t="shared" si="1"/>
        <v/>
      </c>
      <c r="AX17" s="77" t="str">
        <f t="shared" si="2"/>
        <v/>
      </c>
      <c r="AY17" s="21" t="str">
        <f>IFERROR(VLOOKUP((CONCATENATE(AM17,AX17)),Listados!$U$3:$V$11,2,FALSE),"")</f>
        <v/>
      </c>
      <c r="AZ17" s="48">
        <f t="shared" si="10"/>
        <v>100</v>
      </c>
      <c r="BA17" s="355"/>
      <c r="BB17" s="357"/>
      <c r="BC17" s="173">
        <f>+IF(AND(W17="Preventivo",BB13="Fuerte"),2,IF(AND(W17="Preventivo",BB13="Moderado"),1,0))</f>
        <v>0</v>
      </c>
      <c r="BD17" s="64">
        <f>+IF(AND(W17="Detectivo/Correctivo",$BB13="Fuerte"),2,IF(AND(W17="Detectivo/Correctivo",$BB17="Moderado"),1,IF(AND(W17="Preventivo",$BB13="Fuerte"),1,0)))</f>
        <v>0</v>
      </c>
      <c r="BE17" s="173" t="e">
        <f>+N13-BC17</f>
        <v>#N/A</v>
      </c>
      <c r="BF17" s="173" t="e">
        <f>+P13-BD17</f>
        <v>#N/A</v>
      </c>
      <c r="BG17" s="346"/>
      <c r="BH17" s="346"/>
      <c r="BI17" s="346"/>
      <c r="BJ17" s="538"/>
      <c r="BK17" s="538"/>
      <c r="BL17" s="538"/>
      <c r="BM17" s="538"/>
    </row>
    <row r="18" spans="1:65" ht="65.099999999999994" customHeight="1" thickBot="1">
      <c r="A18" s="330"/>
      <c r="B18" s="514"/>
      <c r="C18" s="365"/>
      <c r="D18" s="106"/>
      <c r="E18" s="106"/>
      <c r="F18" s="434"/>
      <c r="G18" s="441"/>
      <c r="H18" s="100"/>
      <c r="I18" s="237"/>
      <c r="J18" s="100"/>
      <c r="K18" s="31"/>
      <c r="L18" s="222"/>
      <c r="M18" s="515"/>
      <c r="N18" s="509"/>
      <c r="O18" s="512"/>
      <c r="P18" s="509"/>
      <c r="Q18" s="513"/>
      <c r="R18" s="347"/>
      <c r="S18" s="69"/>
      <c r="T18" s="98"/>
      <c r="U18" s="47" t="s">
        <v>627</v>
      </c>
      <c r="V18" s="67"/>
      <c r="W18" s="215"/>
      <c r="X18" s="215"/>
      <c r="Y18" s="95" t="str">
        <f t="shared" si="3"/>
        <v/>
      </c>
      <c r="Z18" s="215"/>
      <c r="AA18" s="95" t="str">
        <f t="shared" si="4"/>
        <v/>
      </c>
      <c r="AB18" s="208"/>
      <c r="AC18" s="95" t="str">
        <f t="shared" si="5"/>
        <v/>
      </c>
      <c r="AD18" s="208"/>
      <c r="AE18" s="95" t="str">
        <f t="shared" si="6"/>
        <v/>
      </c>
      <c r="AF18" s="208"/>
      <c r="AG18" s="95" t="str">
        <f t="shared" si="7"/>
        <v/>
      </c>
      <c r="AH18" s="208"/>
      <c r="AI18" s="95" t="str">
        <f t="shared" si="8"/>
        <v/>
      </c>
      <c r="AJ18" s="208"/>
      <c r="AK18" s="27" t="str">
        <f t="shared" si="0"/>
        <v/>
      </c>
      <c r="AL18" s="48" t="str">
        <f t="shared" si="11"/>
        <v/>
      </c>
      <c r="AM18" s="48" t="str">
        <f t="shared" si="9"/>
        <v/>
      </c>
      <c r="AN18" s="293"/>
      <c r="AO18" s="293"/>
      <c r="AP18" s="293"/>
      <c r="AQ18" s="293"/>
      <c r="AR18" s="293"/>
      <c r="AS18" s="293"/>
      <c r="AT18" s="293"/>
      <c r="AU18" s="294" t="str">
        <f>IFERROR(VLOOKUP(AT18,'Seguridad Información'!$I$61:$J$65,2,0),"")</f>
        <v/>
      </c>
      <c r="AV18" s="79"/>
      <c r="AW18" s="78" t="str">
        <f t="shared" si="1"/>
        <v/>
      </c>
      <c r="AX18" s="77" t="str">
        <f t="shared" si="2"/>
        <v/>
      </c>
      <c r="AY18" s="21" t="str">
        <f>IFERROR(VLOOKUP((CONCATENATE(AM18,AX18)),Listados!$U$3:$V$11,2,FALSE),"")</f>
        <v/>
      </c>
      <c r="AZ18" s="48">
        <f t="shared" si="10"/>
        <v>100</v>
      </c>
      <c r="BA18" s="356"/>
      <c r="BB18" s="357"/>
      <c r="BC18" s="173">
        <f>+IF(AND(W18="Preventivo",BB13="Fuerte"),2,IF(AND(W18="Preventivo",BB13="Moderado"),1,0))</f>
        <v>0</v>
      </c>
      <c r="BD18" s="64">
        <f>+IF(AND(W18="Detectivo/Correctivo",$BB13="Fuerte"),2,IF(AND(W18="Detectivo/Correctivo",$BB18="Moderado"),1,IF(AND(W18="Preventivo",$BB13="Fuerte"),1,0)))</f>
        <v>0</v>
      </c>
      <c r="BE18" s="173" t="e">
        <f>+N13-BC18</f>
        <v>#N/A</v>
      </c>
      <c r="BF18" s="173" t="e">
        <f>+P13-BD18</f>
        <v>#N/A</v>
      </c>
      <c r="BG18" s="347"/>
      <c r="BH18" s="347"/>
      <c r="BI18" s="347"/>
      <c r="BJ18" s="539"/>
      <c r="BK18" s="539"/>
      <c r="BL18" s="539"/>
      <c r="BM18" s="539"/>
    </row>
    <row r="19" spans="1:65" ht="65.099999999999994" customHeight="1" thickBot="1">
      <c r="A19" s="328">
        <v>3</v>
      </c>
      <c r="B19" s="519"/>
      <c r="C19" s="371" t="str">
        <f>IFERROR(VLOOKUP(B19,Listados!B$3:C$20,2,FALSE),"")</f>
        <v/>
      </c>
      <c r="D19" s="107"/>
      <c r="E19" s="107"/>
      <c r="F19" s="432"/>
      <c r="G19" s="372"/>
      <c r="H19" s="100"/>
      <c r="I19" s="237"/>
      <c r="J19" s="100"/>
      <c r="K19" s="103"/>
      <c r="L19" s="17"/>
      <c r="M19" s="369"/>
      <c r="N19" s="349" t="e">
        <f>+VLOOKUP(M19,Listados!$K$8:$L$12,2,0)</f>
        <v>#N/A</v>
      </c>
      <c r="O19" s="351"/>
      <c r="P19" s="349" t="e">
        <f>+VLOOKUP(O19,Listados!$K$13:$L$17,2,0)</f>
        <v>#N/A</v>
      </c>
      <c r="Q19" s="347" t="str">
        <f>IF(AND(M19&lt;&gt;"",O19&lt;&gt;""),VLOOKUP(M19&amp;O19,Listados!$M$3:$N$27,2,FALSE),"")</f>
        <v/>
      </c>
      <c r="R19" s="345" t="e">
        <f>+VLOOKUP(Q19,Listados!$P$3:$Q$6,2,FALSE)</f>
        <v>#N/A</v>
      </c>
      <c r="S19" s="108"/>
      <c r="T19" s="94"/>
      <c r="U19" s="47" t="s">
        <v>627</v>
      </c>
      <c r="V19" s="60"/>
      <c r="W19" s="215" t="s">
        <v>20</v>
      </c>
      <c r="X19" s="215" t="s">
        <v>1003</v>
      </c>
      <c r="Y19" s="95" t="str">
        <f t="shared" si="3"/>
        <v/>
      </c>
      <c r="Z19" s="215" t="s">
        <v>1003</v>
      </c>
      <c r="AA19" s="95" t="str">
        <f t="shared" si="4"/>
        <v/>
      </c>
      <c r="AB19" s="208" t="s">
        <v>1003</v>
      </c>
      <c r="AC19" s="95" t="str">
        <f t="shared" si="5"/>
        <v/>
      </c>
      <c r="AD19" s="208" t="s">
        <v>1003</v>
      </c>
      <c r="AE19" s="95" t="str">
        <f t="shared" si="6"/>
        <v/>
      </c>
      <c r="AF19" s="208" t="s">
        <v>1003</v>
      </c>
      <c r="AG19" s="95" t="str">
        <f t="shared" si="7"/>
        <v/>
      </c>
      <c r="AH19" s="208" t="s">
        <v>1003</v>
      </c>
      <c r="AI19" s="95" t="str">
        <f t="shared" si="8"/>
        <v/>
      </c>
      <c r="AJ19" s="208" t="s">
        <v>1060</v>
      </c>
      <c r="AK19" s="27">
        <f t="shared" si="0"/>
        <v>5</v>
      </c>
      <c r="AL19" s="48">
        <f t="shared" si="11"/>
        <v>5</v>
      </c>
      <c r="AM19" s="48" t="str">
        <f t="shared" si="9"/>
        <v>Débil</v>
      </c>
      <c r="AN19" s="293"/>
      <c r="AO19" s="293"/>
      <c r="AP19" s="293"/>
      <c r="AQ19" s="293"/>
      <c r="AR19" s="293"/>
      <c r="AS19" s="293"/>
      <c r="AT19" s="293"/>
      <c r="AU19" s="294" t="str">
        <f>IFERROR(VLOOKUP(AT19,'Seguridad Información'!$I$61:$J$65,2,0),"")</f>
        <v/>
      </c>
      <c r="AV19" s="79"/>
      <c r="AW19" s="78" t="str">
        <f t="shared" si="1"/>
        <v/>
      </c>
      <c r="AX19" s="77" t="str">
        <f t="shared" si="2"/>
        <v/>
      </c>
      <c r="AY19" s="21" t="str">
        <f>IFERROR(VLOOKUP((CONCATENATE(AM19,AX19)),Listados!$U$3:$V$11,2,FALSE),"")</f>
        <v/>
      </c>
      <c r="AZ19" s="48">
        <f t="shared" si="10"/>
        <v>100</v>
      </c>
      <c r="BA19" s="354">
        <f>AVERAGE(AZ19:AZ24)</f>
        <v>100</v>
      </c>
      <c r="BB19" s="356" t="str">
        <f>IF(BA19&lt;=50, "Débil", IF(BA19&lt;=99,"Moderado","Fuerte"))</f>
        <v>Fuerte</v>
      </c>
      <c r="BC19" s="173">
        <f>+IF(AND(W19="Preventivo",BB19="Fuerte"),2,IF(AND(W19="Preventivo",BB19="Moderado"),1,0))</f>
        <v>2</v>
      </c>
      <c r="BD19" s="64">
        <f>+IF(AND(W19="Detectivo/Correctivo",$BB19="Fuerte"),2,IF(AND(W19="Detectivo/Correctivo",$BB19="Moderado"),1,IF(AND(W19="Preventivo",$BB19="Fuerte"),1,0)))</f>
        <v>1</v>
      </c>
      <c r="BE19" s="173" t="e">
        <f>+N19-BC19</f>
        <v>#N/A</v>
      </c>
      <c r="BF19" s="173" t="e">
        <f>+P19-BD19</f>
        <v>#N/A</v>
      </c>
      <c r="BG19" s="345" t="e">
        <f>+VLOOKUP(MIN(BE19,BE20,BE21,BE22,BE23,BE24),Listados!$J$18:$K$24,2,TRUE)</f>
        <v>#N/A</v>
      </c>
      <c r="BH19" s="345" t="e">
        <f>+VLOOKUP(MIN(BF19,BF20,BF21,BF22,BF23,BF24),Listados!$J$26:$K$32,2,TRUE)</f>
        <v>#N/A</v>
      </c>
      <c r="BI19" s="345" t="e">
        <f>IF(AND(BG19&lt;&gt;"",BH19&lt;&gt;""),VLOOKUP(BG19&amp;BH19,Listados!$M$3:$N$27,2,FALSE),"")</f>
        <v>#N/A</v>
      </c>
      <c r="BJ19" s="537" t="e">
        <f>+IF($R19="Asumir el riesgo","NA","")</f>
        <v>#N/A</v>
      </c>
      <c r="BK19" s="537" t="e">
        <f>+IF($R19="Asumir el riesgo","NA","")</f>
        <v>#N/A</v>
      </c>
      <c r="BL19" s="537" t="e">
        <f>+IF($R19="Asumir el riesgo","NA","")</f>
        <v>#N/A</v>
      </c>
      <c r="BM19" s="537" t="e">
        <f>+IF($R19="Asumir el riesgo","NA","")</f>
        <v>#N/A</v>
      </c>
    </row>
    <row r="20" spans="1:65" ht="65.099999999999994" customHeight="1" thickBot="1">
      <c r="A20" s="329"/>
      <c r="B20" s="514"/>
      <c r="C20" s="364"/>
      <c r="D20" s="233"/>
      <c r="E20" s="233"/>
      <c r="F20" s="433"/>
      <c r="G20" s="367"/>
      <c r="H20" s="100"/>
      <c r="I20" s="237"/>
      <c r="J20" s="100"/>
      <c r="K20" s="236"/>
      <c r="L20" s="222"/>
      <c r="M20" s="370"/>
      <c r="N20" s="349"/>
      <c r="O20" s="352"/>
      <c r="P20" s="349"/>
      <c r="Q20" s="353"/>
      <c r="R20" s="346"/>
      <c r="S20" s="208"/>
      <c r="T20" s="195"/>
      <c r="U20" s="47" t="s">
        <v>627</v>
      </c>
      <c r="V20" s="241"/>
      <c r="W20" s="215" t="s">
        <v>127</v>
      </c>
      <c r="X20" s="215" t="s">
        <v>116</v>
      </c>
      <c r="Y20" s="95">
        <f t="shared" si="3"/>
        <v>15</v>
      </c>
      <c r="Z20" s="215" t="s">
        <v>312</v>
      </c>
      <c r="AA20" s="95">
        <f t="shared" si="4"/>
        <v>15</v>
      </c>
      <c r="AB20" s="208" t="s">
        <v>312</v>
      </c>
      <c r="AC20" s="95">
        <f t="shared" si="5"/>
        <v>15</v>
      </c>
      <c r="AD20" s="208" t="s">
        <v>312</v>
      </c>
      <c r="AE20" s="95">
        <f t="shared" si="6"/>
        <v>15</v>
      </c>
      <c r="AF20" s="208" t="s">
        <v>312</v>
      </c>
      <c r="AG20" s="95">
        <f t="shared" si="7"/>
        <v>15</v>
      </c>
      <c r="AH20" s="208" t="s">
        <v>312</v>
      </c>
      <c r="AI20" s="95">
        <f t="shared" si="8"/>
        <v>15</v>
      </c>
      <c r="AJ20" s="208" t="s">
        <v>117</v>
      </c>
      <c r="AK20" s="27">
        <f t="shared" si="0"/>
        <v>10</v>
      </c>
      <c r="AL20" s="48">
        <f t="shared" si="11"/>
        <v>100</v>
      </c>
      <c r="AM20" s="48" t="str">
        <f t="shared" si="9"/>
        <v>Fuerte</v>
      </c>
      <c r="AN20" s="293"/>
      <c r="AO20" s="293"/>
      <c r="AP20" s="293"/>
      <c r="AQ20" s="293"/>
      <c r="AR20" s="293"/>
      <c r="AS20" s="293"/>
      <c r="AT20" s="293"/>
      <c r="AU20" s="294" t="str">
        <f>IFERROR(VLOOKUP(AT20,'Seguridad Información'!$I$61:$J$65,2,0),"")</f>
        <v/>
      </c>
      <c r="AV20" s="79"/>
      <c r="AW20" s="78" t="str">
        <f t="shared" si="1"/>
        <v/>
      </c>
      <c r="AX20" s="77" t="str">
        <f t="shared" si="2"/>
        <v/>
      </c>
      <c r="AY20" s="21" t="str">
        <f>IFERROR(VLOOKUP((CONCATENATE(AM20,AX20)),Listados!$U$3:$V$11,2,FALSE),"")</f>
        <v/>
      </c>
      <c r="AZ20" s="48">
        <f t="shared" si="10"/>
        <v>100</v>
      </c>
      <c r="BA20" s="355"/>
      <c r="BB20" s="357"/>
      <c r="BC20" s="173">
        <f>+IF(AND(W20="Preventivo",BB19="Fuerte"),2,IF(AND(W20="Preventivo",BB19="Moderado"),1,0))</f>
        <v>0</v>
      </c>
      <c r="BD20" s="64">
        <f>+IF(AND(W20="Detectivo/Correctivo",$BB19="Fuerte"),2,IF(AND(W20="Detectivo/Correctivo",$BB20="Moderado"),1,IF(AND(W20="Preventivo",$BB19="Fuerte"),1,0)))</f>
        <v>2</v>
      </c>
      <c r="BE20" s="173" t="e">
        <f>+N19-BC20</f>
        <v>#N/A</v>
      </c>
      <c r="BF20" s="173" t="e">
        <f>+P19-BD20</f>
        <v>#N/A</v>
      </c>
      <c r="BG20" s="346"/>
      <c r="BH20" s="346"/>
      <c r="BI20" s="346"/>
      <c r="BJ20" s="538"/>
      <c r="BK20" s="538"/>
      <c r="BL20" s="538"/>
      <c r="BM20" s="538"/>
    </row>
    <row r="21" spans="1:65" ht="65.099999999999994" customHeight="1" thickBot="1">
      <c r="A21" s="329"/>
      <c r="B21" s="514"/>
      <c r="C21" s="364"/>
      <c r="D21" s="233"/>
      <c r="E21" s="233"/>
      <c r="F21" s="433"/>
      <c r="G21" s="367"/>
      <c r="H21" s="100"/>
      <c r="I21" s="237"/>
      <c r="J21" s="100"/>
      <c r="K21" s="236"/>
      <c r="L21" s="222"/>
      <c r="M21" s="370"/>
      <c r="N21" s="349"/>
      <c r="O21" s="352"/>
      <c r="P21" s="349"/>
      <c r="Q21" s="353"/>
      <c r="R21" s="346"/>
      <c r="S21" s="208"/>
      <c r="T21" s="96"/>
      <c r="U21" s="47" t="s">
        <v>627</v>
      </c>
      <c r="V21" s="241"/>
      <c r="W21" s="215"/>
      <c r="X21" s="215"/>
      <c r="Y21" s="95" t="str">
        <f t="shared" si="3"/>
        <v/>
      </c>
      <c r="Z21" s="215"/>
      <c r="AA21" s="95" t="str">
        <f t="shared" si="4"/>
        <v/>
      </c>
      <c r="AB21" s="208"/>
      <c r="AC21" s="95" t="str">
        <f t="shared" si="5"/>
        <v/>
      </c>
      <c r="AD21" s="208"/>
      <c r="AE21" s="95" t="str">
        <f t="shared" si="6"/>
        <v/>
      </c>
      <c r="AF21" s="208"/>
      <c r="AG21" s="95" t="str">
        <f t="shared" si="7"/>
        <v/>
      </c>
      <c r="AH21" s="208"/>
      <c r="AI21" s="95" t="str">
        <f t="shared" si="8"/>
        <v/>
      </c>
      <c r="AJ21" s="208"/>
      <c r="AK21" s="27" t="str">
        <f t="shared" si="0"/>
        <v/>
      </c>
      <c r="AL21" s="48" t="str">
        <f t="shared" si="11"/>
        <v/>
      </c>
      <c r="AM21" s="48" t="str">
        <f t="shared" si="9"/>
        <v/>
      </c>
      <c r="AN21" s="293"/>
      <c r="AO21" s="293"/>
      <c r="AP21" s="293"/>
      <c r="AQ21" s="293"/>
      <c r="AR21" s="293"/>
      <c r="AS21" s="293"/>
      <c r="AT21" s="293"/>
      <c r="AU21" s="294" t="str">
        <f>IFERROR(VLOOKUP(AT21,'Seguridad Información'!$I$61:$J$65,2,0),"")</f>
        <v/>
      </c>
      <c r="AV21" s="79"/>
      <c r="AW21" s="78" t="str">
        <f t="shared" si="1"/>
        <v/>
      </c>
      <c r="AX21" s="77" t="str">
        <f t="shared" si="2"/>
        <v/>
      </c>
      <c r="AY21" s="21" t="str">
        <f>IFERROR(VLOOKUP((CONCATENATE(AM21,AX21)),Listados!$U$3:$V$11,2,FALSE),"")</f>
        <v/>
      </c>
      <c r="AZ21" s="48">
        <f t="shared" si="10"/>
        <v>100</v>
      </c>
      <c r="BA21" s="355"/>
      <c r="BB21" s="357"/>
      <c r="BC21" s="173">
        <f>+IF(AND(W21="Preventivo",BB19="Fuerte"),2,IF(AND(W21="Preventivo",BB19="Moderado"),1,0))</f>
        <v>0</v>
      </c>
      <c r="BD21" s="64">
        <f>+IF(AND(W21="Detectivo/Correctivo",$BB19="Fuerte"),2,IF(AND(W21="Detectivo/Correctivo",$BB21="Moderado"),1,IF(AND(W21="Preventivo",$BB19="Fuerte"),1,0)))</f>
        <v>0</v>
      </c>
      <c r="BE21" s="173" t="e">
        <f>+N19-BC21</f>
        <v>#N/A</v>
      </c>
      <c r="BF21" s="173" t="e">
        <f>+P19-BD21</f>
        <v>#N/A</v>
      </c>
      <c r="BG21" s="346"/>
      <c r="BH21" s="346"/>
      <c r="BI21" s="346"/>
      <c r="BJ21" s="538"/>
      <c r="BK21" s="538"/>
      <c r="BL21" s="538"/>
      <c r="BM21" s="538"/>
    </row>
    <row r="22" spans="1:65" ht="65.099999999999994" customHeight="1" thickBot="1">
      <c r="A22" s="329"/>
      <c r="B22" s="514"/>
      <c r="C22" s="364"/>
      <c r="D22" s="233"/>
      <c r="E22" s="233"/>
      <c r="F22" s="433"/>
      <c r="G22" s="367"/>
      <c r="H22" s="100"/>
      <c r="I22" s="237"/>
      <c r="J22" s="100"/>
      <c r="K22" s="236"/>
      <c r="L22" s="222"/>
      <c r="M22" s="370"/>
      <c r="N22" s="349"/>
      <c r="O22" s="352"/>
      <c r="P22" s="349"/>
      <c r="Q22" s="353"/>
      <c r="R22" s="346"/>
      <c r="S22" s="208"/>
      <c r="T22" s="97"/>
      <c r="U22" s="47" t="s">
        <v>627</v>
      </c>
      <c r="V22" s="241"/>
      <c r="W22" s="215"/>
      <c r="X22" s="215"/>
      <c r="Y22" s="95" t="str">
        <f t="shared" si="3"/>
        <v/>
      </c>
      <c r="Z22" s="215"/>
      <c r="AA22" s="95" t="str">
        <f t="shared" si="4"/>
        <v/>
      </c>
      <c r="AB22" s="208"/>
      <c r="AC22" s="95" t="str">
        <f t="shared" si="5"/>
        <v/>
      </c>
      <c r="AD22" s="208"/>
      <c r="AE22" s="95" t="str">
        <f t="shared" si="6"/>
        <v/>
      </c>
      <c r="AF22" s="208"/>
      <c r="AG22" s="95" t="str">
        <f t="shared" si="7"/>
        <v/>
      </c>
      <c r="AH22" s="208"/>
      <c r="AI22" s="95" t="str">
        <f t="shared" si="8"/>
        <v/>
      </c>
      <c r="AJ22" s="208"/>
      <c r="AK22" s="27" t="str">
        <f t="shared" si="0"/>
        <v/>
      </c>
      <c r="AL22" s="48" t="str">
        <f t="shared" si="11"/>
        <v/>
      </c>
      <c r="AM22" s="48" t="str">
        <f t="shared" si="9"/>
        <v/>
      </c>
      <c r="AN22" s="293"/>
      <c r="AO22" s="293"/>
      <c r="AP22" s="293"/>
      <c r="AQ22" s="293"/>
      <c r="AR22" s="293"/>
      <c r="AS22" s="293"/>
      <c r="AT22" s="293"/>
      <c r="AU22" s="294" t="str">
        <f>IFERROR(VLOOKUP(AT22,'Seguridad Información'!$I$61:$J$65,2,0),"")</f>
        <v/>
      </c>
      <c r="AV22" s="79"/>
      <c r="AW22" s="78" t="str">
        <f t="shared" si="1"/>
        <v/>
      </c>
      <c r="AX22" s="77" t="str">
        <f t="shared" si="2"/>
        <v/>
      </c>
      <c r="AY22" s="21" t="str">
        <f>IFERROR(VLOOKUP((CONCATENATE(AM22,AX22)),Listados!$U$3:$V$11,2,FALSE),"")</f>
        <v/>
      </c>
      <c r="AZ22" s="48">
        <f t="shared" si="10"/>
        <v>100</v>
      </c>
      <c r="BA22" s="355"/>
      <c r="BB22" s="357"/>
      <c r="BC22" s="173">
        <f>+IF(AND(W22="Preventivo",BB19="Fuerte"),2,IF(AND(W22="Preventivo",BB19="Moderado"),1,0))</f>
        <v>0</v>
      </c>
      <c r="BD22" s="64">
        <f>+IF(AND(W22="Detectivo/Correctivo",$BB19="Fuerte"),2,IF(AND(W22="Detectivo/Correctivo",$BB22="Moderado"),1,IF(AND(W22="Preventivo",$BB19="Fuerte"),1,0)))</f>
        <v>0</v>
      </c>
      <c r="BE22" s="173" t="e">
        <f>+N19-BC22</f>
        <v>#N/A</v>
      </c>
      <c r="BF22" s="173" t="e">
        <f>+P19-BD22</f>
        <v>#N/A</v>
      </c>
      <c r="BG22" s="346"/>
      <c r="BH22" s="346"/>
      <c r="BI22" s="346"/>
      <c r="BJ22" s="538"/>
      <c r="BK22" s="538"/>
      <c r="BL22" s="538"/>
      <c r="BM22" s="538"/>
    </row>
    <row r="23" spans="1:65" ht="65.099999999999994" customHeight="1" thickBot="1">
      <c r="A23" s="329"/>
      <c r="B23" s="514"/>
      <c r="C23" s="364"/>
      <c r="D23" s="109"/>
      <c r="E23" s="109"/>
      <c r="F23" s="433"/>
      <c r="G23" s="367"/>
      <c r="H23" s="100"/>
      <c r="I23" s="237"/>
      <c r="J23" s="100"/>
      <c r="K23" s="29"/>
      <c r="L23" s="222"/>
      <c r="M23" s="370"/>
      <c r="N23" s="349"/>
      <c r="O23" s="352"/>
      <c r="P23" s="349"/>
      <c r="Q23" s="353"/>
      <c r="R23" s="346"/>
      <c r="S23" s="208"/>
      <c r="T23" s="195"/>
      <c r="U23" s="47" t="s">
        <v>627</v>
      </c>
      <c r="V23" s="241"/>
      <c r="W23" s="215"/>
      <c r="X23" s="215"/>
      <c r="Y23" s="95" t="str">
        <f t="shared" si="3"/>
        <v/>
      </c>
      <c r="Z23" s="215"/>
      <c r="AA23" s="95" t="str">
        <f t="shared" si="4"/>
        <v/>
      </c>
      <c r="AB23" s="208"/>
      <c r="AC23" s="95" t="str">
        <f t="shared" si="5"/>
        <v/>
      </c>
      <c r="AD23" s="208"/>
      <c r="AE23" s="95" t="str">
        <f t="shared" si="6"/>
        <v/>
      </c>
      <c r="AF23" s="208"/>
      <c r="AG23" s="95" t="str">
        <f t="shared" si="7"/>
        <v/>
      </c>
      <c r="AH23" s="208"/>
      <c r="AI23" s="95" t="str">
        <f t="shared" si="8"/>
        <v/>
      </c>
      <c r="AJ23" s="208"/>
      <c r="AK23" s="27" t="str">
        <f t="shared" si="0"/>
        <v/>
      </c>
      <c r="AL23" s="48" t="str">
        <f t="shared" si="11"/>
        <v/>
      </c>
      <c r="AM23" s="48" t="str">
        <f t="shared" si="9"/>
        <v/>
      </c>
      <c r="AN23" s="293"/>
      <c r="AO23" s="293"/>
      <c r="AP23" s="293"/>
      <c r="AQ23" s="293"/>
      <c r="AR23" s="293"/>
      <c r="AS23" s="293"/>
      <c r="AT23" s="293"/>
      <c r="AU23" s="294" t="str">
        <f>IFERROR(VLOOKUP(AT23,'Seguridad Información'!$I$61:$J$65,2,0),"")</f>
        <v/>
      </c>
      <c r="AV23" s="79"/>
      <c r="AW23" s="78" t="str">
        <f t="shared" si="1"/>
        <v/>
      </c>
      <c r="AX23" s="77" t="str">
        <f t="shared" si="2"/>
        <v/>
      </c>
      <c r="AY23" s="21" t="str">
        <f>IFERROR(VLOOKUP((CONCATENATE(AM23,AX23)),Listados!$U$3:$V$11,2,FALSE),"")</f>
        <v/>
      </c>
      <c r="AZ23" s="48">
        <f t="shared" si="10"/>
        <v>100</v>
      </c>
      <c r="BA23" s="355"/>
      <c r="BB23" s="357"/>
      <c r="BC23" s="173">
        <f>+IF(AND(W23="Preventivo",BB19="Fuerte"),2,IF(AND(W23="Preventivo",BB19="Moderado"),1,0))</f>
        <v>0</v>
      </c>
      <c r="BD23" s="64">
        <f>+IF(AND(W23="Detectivo/Correctivo",$BB19="Fuerte"),2,IF(AND(W23="Detectivo/Correctivo",$BB23="Moderado"),1,IF(AND(W23="Preventivo",$BB19="Fuerte"),1,0)))</f>
        <v>0</v>
      </c>
      <c r="BE23" s="173" t="e">
        <f>+N19-BC23</f>
        <v>#N/A</v>
      </c>
      <c r="BF23" s="173" t="e">
        <f>+P19-BD23</f>
        <v>#N/A</v>
      </c>
      <c r="BG23" s="346"/>
      <c r="BH23" s="346"/>
      <c r="BI23" s="346"/>
      <c r="BJ23" s="538"/>
      <c r="BK23" s="538"/>
      <c r="BL23" s="538"/>
      <c r="BM23" s="538"/>
    </row>
    <row r="24" spans="1:65" ht="65.099999999999994" customHeight="1" thickBot="1">
      <c r="A24" s="330"/>
      <c r="B24" s="514"/>
      <c r="C24" s="365"/>
      <c r="D24" s="106"/>
      <c r="E24" s="106"/>
      <c r="F24" s="434"/>
      <c r="G24" s="368"/>
      <c r="H24" s="100"/>
      <c r="I24" s="237"/>
      <c r="J24" s="100"/>
      <c r="K24" s="31"/>
      <c r="L24" s="222"/>
      <c r="M24" s="515"/>
      <c r="N24" s="509"/>
      <c r="O24" s="512"/>
      <c r="P24" s="509"/>
      <c r="Q24" s="513"/>
      <c r="R24" s="347"/>
      <c r="S24" s="69"/>
      <c r="T24" s="98"/>
      <c r="U24" s="47" t="s">
        <v>627</v>
      </c>
      <c r="V24" s="67"/>
      <c r="W24" s="215"/>
      <c r="X24" s="215"/>
      <c r="Y24" s="95" t="str">
        <f t="shared" si="3"/>
        <v/>
      </c>
      <c r="Z24" s="215"/>
      <c r="AA24" s="95" t="str">
        <f t="shared" si="4"/>
        <v/>
      </c>
      <c r="AB24" s="208"/>
      <c r="AC24" s="95" t="str">
        <f t="shared" si="5"/>
        <v/>
      </c>
      <c r="AD24" s="208"/>
      <c r="AE24" s="95" t="str">
        <f t="shared" si="6"/>
        <v/>
      </c>
      <c r="AF24" s="208"/>
      <c r="AG24" s="95" t="str">
        <f t="shared" si="7"/>
        <v/>
      </c>
      <c r="AH24" s="208"/>
      <c r="AI24" s="95" t="str">
        <f t="shared" si="8"/>
        <v/>
      </c>
      <c r="AJ24" s="208"/>
      <c r="AK24" s="27" t="str">
        <f t="shared" si="0"/>
        <v/>
      </c>
      <c r="AL24" s="48" t="str">
        <f t="shared" si="11"/>
        <v/>
      </c>
      <c r="AM24" s="48" t="str">
        <f t="shared" si="9"/>
        <v/>
      </c>
      <c r="AN24" s="293"/>
      <c r="AO24" s="293"/>
      <c r="AP24" s="293"/>
      <c r="AQ24" s="293"/>
      <c r="AR24" s="293"/>
      <c r="AS24" s="293"/>
      <c r="AT24" s="293"/>
      <c r="AU24" s="294" t="str">
        <f>IFERROR(VLOOKUP(AT24,'Seguridad Información'!$I$61:$J$65,2,0),"")</f>
        <v/>
      </c>
      <c r="AV24" s="79"/>
      <c r="AW24" s="78" t="str">
        <f t="shared" si="1"/>
        <v/>
      </c>
      <c r="AX24" s="77" t="str">
        <f t="shared" si="2"/>
        <v/>
      </c>
      <c r="AY24" s="21" t="str">
        <f>IFERROR(VLOOKUP((CONCATENATE(AM24,AX24)),Listados!$U$3:$V$11,2,FALSE),"")</f>
        <v/>
      </c>
      <c r="AZ24" s="48">
        <f t="shared" si="10"/>
        <v>100</v>
      </c>
      <c r="BA24" s="356"/>
      <c r="BB24" s="357"/>
      <c r="BC24" s="173">
        <f>+IF(AND(W24="Preventivo",BB19="Fuerte"),2,IF(AND(W24="Preventivo",BB19="Moderado"),1,0))</f>
        <v>0</v>
      </c>
      <c r="BD24" s="64">
        <f>+IF(AND(W24="Detectivo/Correctivo",$BB19="Fuerte"),2,IF(AND(W24="Detectivo/Correctivo",$BB24="Moderado"),1,IF(AND(W24="Preventivo",$BB19="Fuerte"),1,0)))</f>
        <v>0</v>
      </c>
      <c r="BE24" s="173" t="e">
        <f>+N19-BC24</f>
        <v>#N/A</v>
      </c>
      <c r="BF24" s="173" t="e">
        <f>+P19-BD24</f>
        <v>#N/A</v>
      </c>
      <c r="BG24" s="347"/>
      <c r="BH24" s="347"/>
      <c r="BI24" s="347"/>
      <c r="BJ24" s="539"/>
      <c r="BK24" s="539"/>
      <c r="BL24" s="539"/>
      <c r="BM24" s="539"/>
    </row>
    <row r="25" spans="1:65" ht="65.099999999999994" customHeight="1" thickBot="1">
      <c r="A25" s="328">
        <v>4</v>
      </c>
      <c r="B25" s="519"/>
      <c r="C25" s="371" t="str">
        <f>IFERROR(VLOOKUP(B25,Listados!B$3:C$20,2,FALSE),"")</f>
        <v/>
      </c>
      <c r="D25" s="107"/>
      <c r="E25" s="107"/>
      <c r="F25" s="432"/>
      <c r="G25" s="372"/>
      <c r="H25" s="100"/>
      <c r="I25" s="237"/>
      <c r="J25" s="100"/>
      <c r="K25" s="103"/>
      <c r="L25" s="17"/>
      <c r="M25" s="369"/>
      <c r="N25" s="349" t="e">
        <f>+VLOOKUP(M25,Listados!$K$8:$L$12,2,0)</f>
        <v>#N/A</v>
      </c>
      <c r="O25" s="351"/>
      <c r="P25" s="349" t="e">
        <f>+VLOOKUP(O25,Listados!$K$13:$L$17,2,0)</f>
        <v>#N/A</v>
      </c>
      <c r="Q25" s="347" t="str">
        <f>IF(AND(M25&lt;&gt;"",O25&lt;&gt;""),VLOOKUP(M25&amp;O25,Listados!$M$3:$N$27,2,FALSE),"")</f>
        <v/>
      </c>
      <c r="R25" s="345" t="e">
        <f>+VLOOKUP(Q25,Listados!$P$3:$Q$6,2,FALSE)</f>
        <v>#N/A</v>
      </c>
      <c r="S25" s="108"/>
      <c r="T25" s="95"/>
      <c r="U25" s="47" t="s">
        <v>627</v>
      </c>
      <c r="V25" s="60"/>
      <c r="W25" s="215" t="s">
        <v>20</v>
      </c>
      <c r="X25" s="215" t="s">
        <v>116</v>
      </c>
      <c r="Y25" s="95">
        <f t="shared" si="3"/>
        <v>15</v>
      </c>
      <c r="Z25" s="215" t="s">
        <v>312</v>
      </c>
      <c r="AA25" s="95">
        <f t="shared" si="4"/>
        <v>15</v>
      </c>
      <c r="AB25" s="208" t="s">
        <v>312</v>
      </c>
      <c r="AC25" s="95">
        <f t="shared" si="5"/>
        <v>15</v>
      </c>
      <c r="AD25" s="208" t="s">
        <v>312</v>
      </c>
      <c r="AE25" s="95">
        <f t="shared" si="6"/>
        <v>15</v>
      </c>
      <c r="AF25" s="208" t="s">
        <v>312</v>
      </c>
      <c r="AG25" s="95">
        <f t="shared" si="7"/>
        <v>15</v>
      </c>
      <c r="AH25" s="208" t="s">
        <v>312</v>
      </c>
      <c r="AI25" s="95">
        <f t="shared" si="8"/>
        <v>15</v>
      </c>
      <c r="AJ25" s="208" t="s">
        <v>1060</v>
      </c>
      <c r="AK25" s="27">
        <f t="shared" si="0"/>
        <v>5</v>
      </c>
      <c r="AL25" s="48">
        <f t="shared" si="11"/>
        <v>95</v>
      </c>
      <c r="AM25" s="48" t="str">
        <f t="shared" si="9"/>
        <v>Moderado</v>
      </c>
      <c r="AN25" s="293"/>
      <c r="AO25" s="293"/>
      <c r="AP25" s="293"/>
      <c r="AQ25" s="293"/>
      <c r="AR25" s="293"/>
      <c r="AS25" s="293"/>
      <c r="AT25" s="293"/>
      <c r="AU25" s="294" t="str">
        <f>IFERROR(VLOOKUP(AT25,'Seguridad Información'!$I$61:$J$65,2,0),"")</f>
        <v/>
      </c>
      <c r="AV25" s="79"/>
      <c r="AW25" s="78" t="str">
        <f t="shared" si="1"/>
        <v/>
      </c>
      <c r="AX25" s="77" t="str">
        <f t="shared" si="2"/>
        <v/>
      </c>
      <c r="AY25" s="21" t="str">
        <f>IFERROR(VLOOKUP((CONCATENATE(AM25,AX25)),Listados!$U$3:$V$11,2,FALSE),"")</f>
        <v/>
      </c>
      <c r="AZ25" s="48">
        <f t="shared" si="10"/>
        <v>100</v>
      </c>
      <c r="BA25" s="354">
        <f>AVERAGE(AZ25:AZ30)</f>
        <v>100</v>
      </c>
      <c r="BB25" s="356" t="str">
        <f>IF(BA25&lt;=50, "Débil", IF(BA25&lt;=99,"Moderado","Fuerte"))</f>
        <v>Fuerte</v>
      </c>
      <c r="BC25" s="173">
        <f>+IF(AND(W25="Preventivo",BB25="Fuerte"),2,IF(AND(W25="Preventivo",BB25="Moderado"),1,0))</f>
        <v>2</v>
      </c>
      <c r="BD25" s="64">
        <f>+IF(AND(W25="Detectivo/Correctivo",$BB25="Fuerte"),2,IF(AND(W25="Detectivo/Correctivo",$BB25="Moderado"),1,IF(AND(W25="Preventivo",$BB25="Fuerte"),1,0)))</f>
        <v>1</v>
      </c>
      <c r="BE25" s="173" t="e">
        <f>+N25-BC25</f>
        <v>#N/A</v>
      </c>
      <c r="BF25" s="173" t="e">
        <f>+P25-BD25</f>
        <v>#N/A</v>
      </c>
      <c r="BG25" s="345" t="e">
        <f>+VLOOKUP(MIN(BE25,BE26,BE27,BE28,BE29,BE30),Listados!$J$18:$K$24,2,TRUE)</f>
        <v>#N/A</v>
      </c>
      <c r="BH25" s="345" t="e">
        <f>+VLOOKUP(MIN(BF25,BF26,BF27,BF28,BF29,BF30),Listados!$J$26:$K$32,2,TRUE)</f>
        <v>#N/A</v>
      </c>
      <c r="BI25" s="345" t="e">
        <f>IF(AND(BG25&lt;&gt;"",BH25&lt;&gt;""),VLOOKUP(BG25&amp;BH25,Listados!$M$3:$N$27,2,FALSE),"")</f>
        <v>#N/A</v>
      </c>
      <c r="BJ25" s="537" t="e">
        <f>+IF($R25="Asumir el riesgo","NA","")</f>
        <v>#N/A</v>
      </c>
      <c r="BK25" s="537" t="e">
        <f>+IF($R25="Asumir el riesgo","NA","")</f>
        <v>#N/A</v>
      </c>
      <c r="BL25" s="537" t="e">
        <f>+IF($R25="Asumir el riesgo","NA","")</f>
        <v>#N/A</v>
      </c>
      <c r="BM25" s="537" t="e">
        <f>+IF($R25="Asumir el riesgo","NA","")</f>
        <v>#N/A</v>
      </c>
    </row>
    <row r="26" spans="1:65" ht="65.099999999999994" customHeight="1" thickBot="1">
      <c r="A26" s="329"/>
      <c r="B26" s="514"/>
      <c r="C26" s="364"/>
      <c r="D26" s="233"/>
      <c r="E26" s="233"/>
      <c r="F26" s="433"/>
      <c r="G26" s="367"/>
      <c r="H26" s="100"/>
      <c r="I26" s="237"/>
      <c r="J26" s="100"/>
      <c r="K26" s="236"/>
      <c r="L26" s="222"/>
      <c r="M26" s="370"/>
      <c r="N26" s="349"/>
      <c r="O26" s="352"/>
      <c r="P26" s="349"/>
      <c r="Q26" s="353"/>
      <c r="R26" s="346"/>
      <c r="S26" s="208"/>
      <c r="T26" s="195"/>
      <c r="U26" s="47" t="s">
        <v>627</v>
      </c>
      <c r="V26" s="241"/>
      <c r="W26" s="215" t="s">
        <v>123</v>
      </c>
      <c r="X26" s="215" t="s">
        <v>670</v>
      </c>
      <c r="Y26" s="95" t="str">
        <f t="shared" si="3"/>
        <v/>
      </c>
      <c r="Z26" s="215" t="s">
        <v>312</v>
      </c>
      <c r="AA26" s="95">
        <f t="shared" si="4"/>
        <v>15</v>
      </c>
      <c r="AB26" s="208" t="s">
        <v>312</v>
      </c>
      <c r="AC26" s="95">
        <f t="shared" si="5"/>
        <v>15</v>
      </c>
      <c r="AD26" s="208" t="s">
        <v>312</v>
      </c>
      <c r="AE26" s="95">
        <f t="shared" si="6"/>
        <v>15</v>
      </c>
      <c r="AF26" s="208" t="s">
        <v>312</v>
      </c>
      <c r="AG26" s="95">
        <f t="shared" si="7"/>
        <v>15</v>
      </c>
      <c r="AH26" s="208" t="s">
        <v>312</v>
      </c>
      <c r="AI26" s="95">
        <f t="shared" si="8"/>
        <v>15</v>
      </c>
      <c r="AJ26" s="208" t="s">
        <v>117</v>
      </c>
      <c r="AK26" s="27">
        <f t="shared" si="0"/>
        <v>10</v>
      </c>
      <c r="AL26" s="48">
        <f t="shared" si="11"/>
        <v>85</v>
      </c>
      <c r="AM26" s="48" t="str">
        <f t="shared" si="9"/>
        <v>Débil</v>
      </c>
      <c r="AN26" s="293"/>
      <c r="AO26" s="293"/>
      <c r="AP26" s="293"/>
      <c r="AQ26" s="293"/>
      <c r="AR26" s="293"/>
      <c r="AS26" s="293"/>
      <c r="AT26" s="293"/>
      <c r="AU26" s="294" t="str">
        <f>IFERROR(VLOOKUP(AT26,'Seguridad Información'!$I$61:$J$65,2,0),"")</f>
        <v/>
      </c>
      <c r="AV26" s="79"/>
      <c r="AW26" s="78" t="str">
        <f t="shared" si="1"/>
        <v/>
      </c>
      <c r="AX26" s="77" t="str">
        <f t="shared" si="2"/>
        <v/>
      </c>
      <c r="AY26" s="21" t="str">
        <f>IFERROR(VLOOKUP((CONCATENATE(AM26,AX26)),Listados!$U$3:$V$11,2,FALSE),"")</f>
        <v/>
      </c>
      <c r="AZ26" s="48">
        <f t="shared" si="10"/>
        <v>100</v>
      </c>
      <c r="BA26" s="355"/>
      <c r="BB26" s="357"/>
      <c r="BC26" s="173">
        <f>+IF(AND(W26="Preventivo",BB25="Fuerte"),2,IF(AND(W26="Preventivo",BB25="Moderado"),1,0))</f>
        <v>0</v>
      </c>
      <c r="BD26" s="64">
        <f>+IF(AND(W26="Detectivo/Correctivo",$BB25="Fuerte"),2,IF(AND(W26="Detectivo/Correctivo",$BB26="Moderado"),1,IF(AND(W26="Preventivo",$BB25="Fuerte"),1,0)))</f>
        <v>0</v>
      </c>
      <c r="BE26" s="173" t="e">
        <f>+N25-BC26</f>
        <v>#N/A</v>
      </c>
      <c r="BF26" s="173" t="e">
        <f>+P25-BD26</f>
        <v>#N/A</v>
      </c>
      <c r="BG26" s="346"/>
      <c r="BH26" s="346"/>
      <c r="BI26" s="346"/>
      <c r="BJ26" s="538"/>
      <c r="BK26" s="538"/>
      <c r="BL26" s="538"/>
      <c r="BM26" s="538"/>
    </row>
    <row r="27" spans="1:65" ht="65.099999999999994" customHeight="1" thickBot="1">
      <c r="A27" s="329"/>
      <c r="B27" s="514"/>
      <c r="C27" s="364"/>
      <c r="D27" s="233"/>
      <c r="E27" s="233"/>
      <c r="F27" s="433"/>
      <c r="G27" s="367"/>
      <c r="H27" s="100"/>
      <c r="I27" s="237"/>
      <c r="J27" s="100"/>
      <c r="K27" s="236"/>
      <c r="L27" s="222"/>
      <c r="M27" s="370"/>
      <c r="N27" s="349"/>
      <c r="O27" s="352"/>
      <c r="P27" s="349"/>
      <c r="Q27" s="353"/>
      <c r="R27" s="346"/>
      <c r="S27" s="189"/>
      <c r="T27" s="95"/>
      <c r="U27" s="47" t="s">
        <v>627</v>
      </c>
      <c r="V27" s="241"/>
      <c r="W27" s="215"/>
      <c r="X27" s="215"/>
      <c r="Y27" s="95" t="str">
        <f t="shared" si="3"/>
        <v/>
      </c>
      <c r="Z27" s="215"/>
      <c r="AA27" s="95" t="str">
        <f t="shared" si="4"/>
        <v/>
      </c>
      <c r="AB27" s="208"/>
      <c r="AC27" s="95" t="str">
        <f t="shared" si="5"/>
        <v/>
      </c>
      <c r="AD27" s="208"/>
      <c r="AE27" s="95" t="str">
        <f t="shared" si="6"/>
        <v/>
      </c>
      <c r="AF27" s="208"/>
      <c r="AG27" s="95" t="str">
        <f t="shared" si="7"/>
        <v/>
      </c>
      <c r="AH27" s="208"/>
      <c r="AI27" s="95" t="str">
        <f t="shared" si="8"/>
        <v/>
      </c>
      <c r="AJ27" s="208"/>
      <c r="AK27" s="27" t="str">
        <f t="shared" si="0"/>
        <v/>
      </c>
      <c r="AL27" s="48" t="str">
        <f t="shared" si="11"/>
        <v/>
      </c>
      <c r="AM27" s="48" t="str">
        <f t="shared" si="9"/>
        <v/>
      </c>
      <c r="AN27" s="293"/>
      <c r="AO27" s="293"/>
      <c r="AP27" s="293"/>
      <c r="AQ27" s="293"/>
      <c r="AR27" s="293"/>
      <c r="AS27" s="293"/>
      <c r="AT27" s="293"/>
      <c r="AU27" s="294" t="str">
        <f>IFERROR(VLOOKUP(AT27,'Seguridad Información'!$I$61:$J$65,2,0),"")</f>
        <v/>
      </c>
      <c r="AV27" s="79"/>
      <c r="AW27" s="78" t="str">
        <f t="shared" si="1"/>
        <v/>
      </c>
      <c r="AX27" s="77" t="str">
        <f t="shared" si="2"/>
        <v/>
      </c>
      <c r="AY27" s="21" t="str">
        <f>IFERROR(VLOOKUP((CONCATENATE(AM27,AX27)),Listados!$U$3:$V$11,2,FALSE),"")</f>
        <v/>
      </c>
      <c r="AZ27" s="48">
        <f t="shared" si="10"/>
        <v>100</v>
      </c>
      <c r="BA27" s="355"/>
      <c r="BB27" s="357"/>
      <c r="BC27" s="173">
        <f>+IF(AND(W27="Preventivo",BB25="Fuerte"),2,IF(AND(W27="Preventivo",BB25="Moderado"),1,0))</f>
        <v>0</v>
      </c>
      <c r="BD27" s="64">
        <f>+IF(AND(W27="Detectivo/Correctivo",$BB25="Fuerte"),2,IF(AND(W27="Detectivo/Correctivo",$BB27="Moderado"),1,IF(AND(W27="Preventivo",$BB25="Fuerte"),1,0)))</f>
        <v>0</v>
      </c>
      <c r="BE27" s="173" t="e">
        <f>+N25-BC27</f>
        <v>#N/A</v>
      </c>
      <c r="BF27" s="173" t="e">
        <f>+P25-BD27</f>
        <v>#N/A</v>
      </c>
      <c r="BG27" s="346"/>
      <c r="BH27" s="346"/>
      <c r="BI27" s="346"/>
      <c r="BJ27" s="538"/>
      <c r="BK27" s="538"/>
      <c r="BL27" s="538"/>
      <c r="BM27" s="538"/>
    </row>
    <row r="28" spans="1:65" ht="65.099999999999994" customHeight="1" thickBot="1">
      <c r="A28" s="329"/>
      <c r="B28" s="514"/>
      <c r="C28" s="364"/>
      <c r="D28" s="233"/>
      <c r="E28" s="233"/>
      <c r="F28" s="433"/>
      <c r="G28" s="367"/>
      <c r="H28" s="100"/>
      <c r="I28" s="237"/>
      <c r="J28" s="100"/>
      <c r="K28" s="236"/>
      <c r="L28" s="222"/>
      <c r="M28" s="370"/>
      <c r="N28" s="349"/>
      <c r="O28" s="352"/>
      <c r="P28" s="349"/>
      <c r="Q28" s="359"/>
      <c r="R28" s="346"/>
      <c r="S28" s="93"/>
      <c r="T28" s="93"/>
      <c r="U28" s="47" t="s">
        <v>627</v>
      </c>
      <c r="V28" s="241"/>
      <c r="W28" s="215"/>
      <c r="X28" s="215"/>
      <c r="Y28" s="95" t="str">
        <f t="shared" si="3"/>
        <v/>
      </c>
      <c r="Z28" s="215"/>
      <c r="AA28" s="95" t="str">
        <f t="shared" si="4"/>
        <v/>
      </c>
      <c r="AB28" s="208"/>
      <c r="AC28" s="95" t="str">
        <f t="shared" si="5"/>
        <v/>
      </c>
      <c r="AD28" s="208"/>
      <c r="AE28" s="95" t="str">
        <f t="shared" si="6"/>
        <v/>
      </c>
      <c r="AF28" s="208"/>
      <c r="AG28" s="95" t="str">
        <f t="shared" si="7"/>
        <v/>
      </c>
      <c r="AH28" s="208"/>
      <c r="AI28" s="95" t="str">
        <f t="shared" si="8"/>
        <v/>
      </c>
      <c r="AJ28" s="208"/>
      <c r="AK28" s="27" t="str">
        <f t="shared" si="0"/>
        <v/>
      </c>
      <c r="AL28" s="48" t="str">
        <f t="shared" si="11"/>
        <v/>
      </c>
      <c r="AM28" s="48" t="str">
        <f t="shared" si="9"/>
        <v/>
      </c>
      <c r="AN28" s="293"/>
      <c r="AO28" s="293"/>
      <c r="AP28" s="293"/>
      <c r="AQ28" s="293"/>
      <c r="AR28" s="293"/>
      <c r="AS28" s="293"/>
      <c r="AT28" s="293"/>
      <c r="AU28" s="294" t="str">
        <f>IFERROR(VLOOKUP(AT28,'Seguridad Información'!$I$61:$J$65,2,0),"")</f>
        <v/>
      </c>
      <c r="AV28" s="79"/>
      <c r="AW28" s="78" t="str">
        <f t="shared" si="1"/>
        <v/>
      </c>
      <c r="AX28" s="77" t="str">
        <f t="shared" si="2"/>
        <v/>
      </c>
      <c r="AY28" s="21" t="str">
        <f>IFERROR(VLOOKUP((CONCATENATE(AM28,AX28)),Listados!$U$3:$V$11,2,FALSE),"")</f>
        <v/>
      </c>
      <c r="AZ28" s="48">
        <f t="shared" si="10"/>
        <v>100</v>
      </c>
      <c r="BA28" s="355"/>
      <c r="BB28" s="357"/>
      <c r="BC28" s="173">
        <f>+IF(AND(W28="Preventivo",BB25="Fuerte"),2,IF(AND(W28="Preventivo",BB25="Moderado"),1,0))</f>
        <v>0</v>
      </c>
      <c r="BD28" s="64">
        <f>+IF(AND(W28="Detectivo/Correctivo",$BB25="Fuerte"),2,IF(AND(W28="Detectivo/Correctivo",$BB28="Moderado"),1,IF(AND(W28="Preventivo",$BB25="Fuerte"),1,0)))</f>
        <v>0</v>
      </c>
      <c r="BE28" s="173" t="e">
        <f>+N25-BC28</f>
        <v>#N/A</v>
      </c>
      <c r="BF28" s="173" t="e">
        <f>+P25-BD28</f>
        <v>#N/A</v>
      </c>
      <c r="BG28" s="346"/>
      <c r="BH28" s="346"/>
      <c r="BI28" s="346"/>
      <c r="BJ28" s="538"/>
      <c r="BK28" s="538"/>
      <c r="BL28" s="538"/>
      <c r="BM28" s="538"/>
    </row>
    <row r="29" spans="1:65" ht="65.099999999999994" customHeight="1" thickBot="1">
      <c r="A29" s="329"/>
      <c r="B29" s="514"/>
      <c r="C29" s="364"/>
      <c r="D29" s="109"/>
      <c r="E29" s="109"/>
      <c r="F29" s="433"/>
      <c r="G29" s="367"/>
      <c r="H29" s="100"/>
      <c r="I29" s="237"/>
      <c r="J29" s="100"/>
      <c r="K29" s="29"/>
      <c r="L29" s="222"/>
      <c r="M29" s="370"/>
      <c r="N29" s="349"/>
      <c r="O29" s="352"/>
      <c r="P29" s="349"/>
      <c r="Q29" s="353"/>
      <c r="R29" s="346"/>
      <c r="S29" s="108"/>
      <c r="T29" s="96"/>
      <c r="U29" s="47" t="s">
        <v>627</v>
      </c>
      <c r="V29" s="241"/>
      <c r="W29" s="215"/>
      <c r="X29" s="215"/>
      <c r="Y29" s="95" t="str">
        <f t="shared" si="3"/>
        <v/>
      </c>
      <c r="Z29" s="215"/>
      <c r="AA29" s="95" t="str">
        <f t="shared" si="4"/>
        <v/>
      </c>
      <c r="AB29" s="208"/>
      <c r="AC29" s="95" t="str">
        <f t="shared" si="5"/>
        <v/>
      </c>
      <c r="AD29" s="208"/>
      <c r="AE29" s="95" t="str">
        <f t="shared" si="6"/>
        <v/>
      </c>
      <c r="AF29" s="208"/>
      <c r="AG29" s="95" t="str">
        <f t="shared" si="7"/>
        <v/>
      </c>
      <c r="AH29" s="208"/>
      <c r="AI29" s="95" t="str">
        <f t="shared" si="8"/>
        <v/>
      </c>
      <c r="AJ29" s="208"/>
      <c r="AK29" s="27" t="str">
        <f t="shared" si="0"/>
        <v/>
      </c>
      <c r="AL29" s="48" t="str">
        <f t="shared" si="11"/>
        <v/>
      </c>
      <c r="AM29" s="48" t="str">
        <f t="shared" si="9"/>
        <v/>
      </c>
      <c r="AN29" s="293"/>
      <c r="AO29" s="293"/>
      <c r="AP29" s="293"/>
      <c r="AQ29" s="293"/>
      <c r="AR29" s="293"/>
      <c r="AS29" s="293"/>
      <c r="AT29" s="293"/>
      <c r="AU29" s="294" t="str">
        <f>IFERROR(VLOOKUP(AT29,'Seguridad Información'!$I$61:$J$65,2,0),"")</f>
        <v/>
      </c>
      <c r="AV29" s="79"/>
      <c r="AW29" s="78" t="str">
        <f t="shared" si="1"/>
        <v/>
      </c>
      <c r="AX29" s="77" t="str">
        <f t="shared" si="2"/>
        <v/>
      </c>
      <c r="AY29" s="21" t="str">
        <f>IFERROR(VLOOKUP((CONCATENATE(AM29,AX29)),Listados!$U$3:$V$11,2,FALSE),"")</f>
        <v/>
      </c>
      <c r="AZ29" s="48">
        <f t="shared" si="10"/>
        <v>100</v>
      </c>
      <c r="BA29" s="355"/>
      <c r="BB29" s="357"/>
      <c r="BC29" s="173">
        <f>+IF(AND(W29="Preventivo",BB25="Fuerte"),2,IF(AND(W29="Preventivo",BB25="Moderado"),1,0))</f>
        <v>0</v>
      </c>
      <c r="BD29" s="64">
        <f>+IF(AND(W29="Detectivo/Correctivo",$BB25="Fuerte"),2,IF(AND(W29="Detectivo/Correctivo",$BB29="Moderado"),1,IF(AND(W29="Preventivo",$BB25="Fuerte"),1,0)))</f>
        <v>0</v>
      </c>
      <c r="BE29" s="173" t="e">
        <f>+N25-BC29</f>
        <v>#N/A</v>
      </c>
      <c r="BF29" s="173" t="e">
        <f>+P25-BD29</f>
        <v>#N/A</v>
      </c>
      <c r="BG29" s="346"/>
      <c r="BH29" s="346"/>
      <c r="BI29" s="346"/>
      <c r="BJ29" s="538"/>
      <c r="BK29" s="538"/>
      <c r="BL29" s="538"/>
      <c r="BM29" s="538"/>
    </row>
    <row r="30" spans="1:65" ht="65.099999999999994" customHeight="1" thickBot="1">
      <c r="A30" s="330"/>
      <c r="B30" s="514"/>
      <c r="C30" s="365"/>
      <c r="D30" s="106"/>
      <c r="E30" s="106"/>
      <c r="F30" s="434"/>
      <c r="G30" s="368"/>
      <c r="H30" s="100"/>
      <c r="I30" s="237"/>
      <c r="J30" s="100"/>
      <c r="K30" s="31"/>
      <c r="L30" s="222"/>
      <c r="M30" s="515"/>
      <c r="N30" s="509"/>
      <c r="O30" s="512"/>
      <c r="P30" s="509"/>
      <c r="Q30" s="513"/>
      <c r="R30" s="347"/>
      <c r="S30" s="69"/>
      <c r="T30" s="98"/>
      <c r="U30" s="47" t="s">
        <v>627</v>
      </c>
      <c r="V30" s="67"/>
      <c r="W30" s="215"/>
      <c r="X30" s="215"/>
      <c r="Y30" s="95" t="str">
        <f t="shared" si="3"/>
        <v/>
      </c>
      <c r="Z30" s="215"/>
      <c r="AA30" s="95" t="str">
        <f t="shared" si="4"/>
        <v/>
      </c>
      <c r="AB30" s="208"/>
      <c r="AC30" s="95" t="str">
        <f t="shared" si="5"/>
        <v/>
      </c>
      <c r="AD30" s="208"/>
      <c r="AE30" s="95" t="str">
        <f t="shared" si="6"/>
        <v/>
      </c>
      <c r="AF30" s="208"/>
      <c r="AG30" s="95" t="str">
        <f t="shared" si="7"/>
        <v/>
      </c>
      <c r="AH30" s="208"/>
      <c r="AI30" s="95" t="str">
        <f t="shared" si="8"/>
        <v/>
      </c>
      <c r="AJ30" s="208"/>
      <c r="AK30" s="27" t="str">
        <f t="shared" si="0"/>
        <v/>
      </c>
      <c r="AL30" s="48" t="str">
        <f t="shared" si="11"/>
        <v/>
      </c>
      <c r="AM30" s="48" t="str">
        <f t="shared" si="9"/>
        <v/>
      </c>
      <c r="AN30" s="293"/>
      <c r="AO30" s="293"/>
      <c r="AP30" s="293"/>
      <c r="AQ30" s="293"/>
      <c r="AR30" s="293"/>
      <c r="AS30" s="293"/>
      <c r="AT30" s="293"/>
      <c r="AU30" s="294" t="str">
        <f>IFERROR(VLOOKUP(AT30,'Seguridad Información'!$I$61:$J$65,2,0),"")</f>
        <v/>
      </c>
      <c r="AV30" s="79"/>
      <c r="AW30" s="78" t="str">
        <f t="shared" si="1"/>
        <v/>
      </c>
      <c r="AX30" s="77" t="str">
        <f t="shared" si="2"/>
        <v/>
      </c>
      <c r="AY30" s="21" t="str">
        <f>IFERROR(VLOOKUP((CONCATENATE(AM30,AX30)),Listados!$U$3:$V$11,2,FALSE),"")</f>
        <v/>
      </c>
      <c r="AZ30" s="48">
        <f t="shared" si="10"/>
        <v>100</v>
      </c>
      <c r="BA30" s="356"/>
      <c r="BB30" s="357"/>
      <c r="BC30" s="173">
        <f>+IF(AND(W30="Preventivo",BB25="Fuerte"),2,IF(AND(W30="Preventivo",BB25="Moderado"),1,0))</f>
        <v>0</v>
      </c>
      <c r="BD30" s="64">
        <f>+IF(AND(W30="Detectivo/Correctivo",$BB25="Fuerte"),2,IF(AND(W30="Detectivo/Correctivo",$BB30="Moderado"),1,IF(AND(W30="Preventivo",$BB25="Fuerte"),1,0)))</f>
        <v>0</v>
      </c>
      <c r="BE30" s="173" t="e">
        <f>+N25-BC30</f>
        <v>#N/A</v>
      </c>
      <c r="BF30" s="173" t="e">
        <f>+P25-BD30</f>
        <v>#N/A</v>
      </c>
      <c r="BG30" s="347"/>
      <c r="BH30" s="347"/>
      <c r="BI30" s="347"/>
      <c r="BJ30" s="539"/>
      <c r="BK30" s="539"/>
      <c r="BL30" s="539"/>
      <c r="BM30" s="539"/>
    </row>
    <row r="31" spans="1:65" ht="65.099999999999994" customHeight="1" thickBot="1">
      <c r="A31" s="328">
        <v>5</v>
      </c>
      <c r="B31" s="519"/>
      <c r="C31" s="371" t="str">
        <f>IFERROR(VLOOKUP(B31,Listados!B$3:C$20,2,FALSE),"")</f>
        <v/>
      </c>
      <c r="D31" s="107"/>
      <c r="E31" s="107"/>
      <c r="F31" s="432"/>
      <c r="G31" s="372"/>
      <c r="H31" s="100"/>
      <c r="I31" s="237"/>
      <c r="J31" s="100"/>
      <c r="K31" s="103"/>
      <c r="L31" s="17"/>
      <c r="M31" s="369"/>
      <c r="N31" s="349" t="e">
        <f>+VLOOKUP(M31,Listados!$K$8:$L$12,2,0)</f>
        <v>#N/A</v>
      </c>
      <c r="O31" s="351"/>
      <c r="P31" s="349" t="e">
        <f>+VLOOKUP(O31,Listados!$K$13:$L$17,2,0)</f>
        <v>#N/A</v>
      </c>
      <c r="Q31" s="347" t="str">
        <f>IF(AND(M31&lt;&gt;"",O31&lt;&gt;""),VLOOKUP(M31&amp;O31,Listados!$M$3:$N$27,2,FALSE),"")</f>
        <v/>
      </c>
      <c r="R31" s="345" t="e">
        <f>+VLOOKUP(Q31,Listados!$P$3:$Q$6,2,FALSE)</f>
        <v>#N/A</v>
      </c>
      <c r="S31" s="108"/>
      <c r="T31" s="95"/>
      <c r="U31" s="47" t="s">
        <v>627</v>
      </c>
      <c r="V31" s="215"/>
      <c r="W31" s="215"/>
      <c r="X31" s="215"/>
      <c r="Y31" s="95" t="str">
        <f t="shared" si="3"/>
        <v/>
      </c>
      <c r="Z31" s="215"/>
      <c r="AA31" s="95" t="str">
        <f t="shared" si="4"/>
        <v/>
      </c>
      <c r="AB31" s="208"/>
      <c r="AC31" s="95" t="str">
        <f t="shared" si="5"/>
        <v/>
      </c>
      <c r="AD31" s="208"/>
      <c r="AE31" s="95" t="str">
        <f t="shared" si="6"/>
        <v/>
      </c>
      <c r="AF31" s="208"/>
      <c r="AG31" s="95" t="str">
        <f t="shared" si="7"/>
        <v/>
      </c>
      <c r="AH31" s="208"/>
      <c r="AI31" s="95" t="str">
        <f t="shared" si="8"/>
        <v/>
      </c>
      <c r="AJ31" s="208"/>
      <c r="AK31" s="27" t="str">
        <f t="shared" si="0"/>
        <v/>
      </c>
      <c r="AL31" s="48" t="str">
        <f t="shared" si="11"/>
        <v/>
      </c>
      <c r="AM31" s="48" t="str">
        <f t="shared" si="9"/>
        <v/>
      </c>
      <c r="AN31" s="293"/>
      <c r="AO31" s="293"/>
      <c r="AP31" s="293"/>
      <c r="AQ31" s="293"/>
      <c r="AR31" s="293"/>
      <c r="AS31" s="293"/>
      <c r="AT31" s="293"/>
      <c r="AU31" s="294" t="str">
        <f>IFERROR(VLOOKUP(AT31,'Seguridad Información'!$I$61:$J$65,2,0),"")</f>
        <v/>
      </c>
      <c r="AV31" s="79"/>
      <c r="AW31" s="78" t="str">
        <f t="shared" si="1"/>
        <v/>
      </c>
      <c r="AX31" s="77" t="str">
        <f t="shared" si="2"/>
        <v/>
      </c>
      <c r="AY31" s="21" t="str">
        <f>IFERROR(VLOOKUP((CONCATENATE(AM31,AX31)),Listados!$U$3:$V$11,2,FALSE),"")</f>
        <v/>
      </c>
      <c r="AZ31" s="48">
        <f t="shared" si="10"/>
        <v>100</v>
      </c>
      <c r="BA31" s="354">
        <f>AVERAGE(AZ31:AZ36)</f>
        <v>100</v>
      </c>
      <c r="BB31" s="356" t="str">
        <f>IF(BA31&lt;=50, "Débil", IF(BA31&lt;=99,"Moderado","Fuerte"))</f>
        <v>Fuerte</v>
      </c>
      <c r="BC31" s="173">
        <f>+IF(AND(W31="Preventivo",BB31="Fuerte"),2,IF(AND(W31="Preventivo",BB31="Moderado"),1,0))</f>
        <v>0</v>
      </c>
      <c r="BD31" s="64">
        <f>+IF(AND(W31="Detectivo/Correctivo",$BB31="Fuerte"),2,IF(AND(W31="Detectivo/Correctivo",$BB31="Moderado"),1,IF(AND(W31="Preventivo",$BB31="Fuerte"),1,0)))</f>
        <v>0</v>
      </c>
      <c r="BE31" s="173" t="e">
        <f>+N31-BC31</f>
        <v>#N/A</v>
      </c>
      <c r="BF31" s="173" t="e">
        <f>+P31-BD31</f>
        <v>#N/A</v>
      </c>
      <c r="BG31" s="345" t="e">
        <f>+VLOOKUP(MIN(BE31,BE32,BE33,BE34,BE35,BE36),Listados!$J$18:$K$24,2,TRUE)</f>
        <v>#N/A</v>
      </c>
      <c r="BH31" s="345" t="e">
        <f>+VLOOKUP(MIN(BF31,BF32,BF33,BF34,BF35,BF36),Listados!$J$26:$K$32,2,TRUE)</f>
        <v>#N/A</v>
      </c>
      <c r="BI31" s="345" t="e">
        <f>IF(AND(BG31&lt;&gt;"",BH31&lt;&gt;""),VLOOKUP(BG31&amp;BH31,Listados!$M$3:$N$27,2,FALSE),"")</f>
        <v>#N/A</v>
      </c>
      <c r="BJ31" s="537" t="e">
        <f>+IF($R31="Asumir el riesgo","NA","")</f>
        <v>#N/A</v>
      </c>
      <c r="BK31" s="537" t="e">
        <f>+IF($R31="Asumir el riesgo","NA","")</f>
        <v>#N/A</v>
      </c>
      <c r="BL31" s="537" t="e">
        <f>+IF($R31="Asumir el riesgo","NA","")</f>
        <v>#N/A</v>
      </c>
      <c r="BM31" s="537" t="e">
        <f>+IF($R31="Asumir el riesgo","NA","")</f>
        <v>#N/A</v>
      </c>
    </row>
    <row r="32" spans="1:65" ht="65.099999999999994" customHeight="1" thickBot="1">
      <c r="A32" s="329"/>
      <c r="B32" s="514"/>
      <c r="C32" s="364"/>
      <c r="D32" s="233"/>
      <c r="E32" s="233"/>
      <c r="F32" s="433"/>
      <c r="G32" s="367"/>
      <c r="H32" s="100"/>
      <c r="I32" s="237"/>
      <c r="J32" s="100"/>
      <c r="K32" s="236"/>
      <c r="L32" s="222"/>
      <c r="M32" s="370"/>
      <c r="N32" s="349"/>
      <c r="O32" s="352"/>
      <c r="P32" s="349"/>
      <c r="Q32" s="353"/>
      <c r="R32" s="346"/>
      <c r="S32" s="208"/>
      <c r="T32" s="195"/>
      <c r="U32" s="47" t="s">
        <v>627</v>
      </c>
      <c r="V32" s="215"/>
      <c r="W32" s="215"/>
      <c r="X32" s="215"/>
      <c r="Y32" s="95" t="str">
        <f t="shared" si="3"/>
        <v/>
      </c>
      <c r="Z32" s="215"/>
      <c r="AA32" s="95" t="str">
        <f t="shared" si="4"/>
        <v/>
      </c>
      <c r="AB32" s="208"/>
      <c r="AC32" s="95" t="str">
        <f t="shared" si="5"/>
        <v/>
      </c>
      <c r="AD32" s="208"/>
      <c r="AE32" s="95" t="str">
        <f t="shared" si="6"/>
        <v/>
      </c>
      <c r="AF32" s="208"/>
      <c r="AG32" s="95" t="str">
        <f t="shared" si="7"/>
        <v/>
      </c>
      <c r="AH32" s="208"/>
      <c r="AI32" s="95" t="str">
        <f t="shared" si="8"/>
        <v/>
      </c>
      <c r="AJ32" s="208"/>
      <c r="AK32" s="27" t="str">
        <f t="shared" si="0"/>
        <v/>
      </c>
      <c r="AL32" s="48" t="str">
        <f t="shared" si="11"/>
        <v/>
      </c>
      <c r="AM32" s="48" t="str">
        <f t="shared" si="9"/>
        <v/>
      </c>
      <c r="AN32" s="293"/>
      <c r="AO32" s="293"/>
      <c r="AP32" s="293"/>
      <c r="AQ32" s="293"/>
      <c r="AR32" s="293"/>
      <c r="AS32" s="293"/>
      <c r="AT32" s="293"/>
      <c r="AU32" s="294" t="str">
        <f>IFERROR(VLOOKUP(AT32,'Seguridad Información'!$I$61:$J$65,2,0),"")</f>
        <v/>
      </c>
      <c r="AV32" s="79"/>
      <c r="AW32" s="78" t="str">
        <f t="shared" si="1"/>
        <v/>
      </c>
      <c r="AX32" s="77" t="str">
        <f t="shared" si="2"/>
        <v/>
      </c>
      <c r="AY32" s="21" t="str">
        <f>IFERROR(VLOOKUP((CONCATENATE(AM32,AX32)),Listados!$U$3:$V$11,2,FALSE),"")</f>
        <v/>
      </c>
      <c r="AZ32" s="48">
        <f t="shared" si="10"/>
        <v>100</v>
      </c>
      <c r="BA32" s="355"/>
      <c r="BB32" s="357"/>
      <c r="BC32" s="173">
        <f>+IF(AND(W32="Preventivo",BB31="Fuerte"),2,IF(AND(W32="Preventivo",BB31="Moderado"),1,0))</f>
        <v>0</v>
      </c>
      <c r="BD32" s="64">
        <f>+IF(AND(W32="Detectivo/Correctivo",$BB31="Fuerte"),2,IF(AND(W32="Detectivo/Correctivo",$BB32="Moderado"),1,IF(AND(W32="Preventivo",$BB31="Fuerte"),1,0)))</f>
        <v>0</v>
      </c>
      <c r="BE32" s="173" t="e">
        <f>+N31-BC32</f>
        <v>#N/A</v>
      </c>
      <c r="BF32" s="173" t="e">
        <f>+P31-BD32</f>
        <v>#N/A</v>
      </c>
      <c r="BG32" s="346"/>
      <c r="BH32" s="346"/>
      <c r="BI32" s="346"/>
      <c r="BJ32" s="538"/>
      <c r="BK32" s="538"/>
      <c r="BL32" s="538"/>
      <c r="BM32" s="538"/>
    </row>
    <row r="33" spans="1:65" ht="65.099999999999994" customHeight="1" thickBot="1">
      <c r="A33" s="329"/>
      <c r="B33" s="514"/>
      <c r="C33" s="364"/>
      <c r="D33" s="233"/>
      <c r="E33" s="233"/>
      <c r="F33" s="433"/>
      <c r="G33" s="367"/>
      <c r="H33" s="100"/>
      <c r="I33" s="237"/>
      <c r="J33" s="100"/>
      <c r="K33" s="236"/>
      <c r="L33" s="222"/>
      <c r="M33" s="370"/>
      <c r="N33" s="349"/>
      <c r="O33" s="352"/>
      <c r="P33" s="349"/>
      <c r="Q33" s="353"/>
      <c r="R33" s="346"/>
      <c r="S33" s="208"/>
      <c r="T33" s="96"/>
      <c r="U33" s="47" t="s">
        <v>627</v>
      </c>
      <c r="V33" s="215"/>
      <c r="W33" s="215"/>
      <c r="X33" s="215"/>
      <c r="Y33" s="95" t="str">
        <f t="shared" si="3"/>
        <v/>
      </c>
      <c r="Z33" s="215"/>
      <c r="AA33" s="95" t="str">
        <f t="shared" si="4"/>
        <v/>
      </c>
      <c r="AB33" s="208"/>
      <c r="AC33" s="95" t="str">
        <f t="shared" si="5"/>
        <v/>
      </c>
      <c r="AD33" s="208"/>
      <c r="AE33" s="95" t="str">
        <f t="shared" si="6"/>
        <v/>
      </c>
      <c r="AF33" s="208"/>
      <c r="AG33" s="95" t="str">
        <f t="shared" si="7"/>
        <v/>
      </c>
      <c r="AH33" s="208"/>
      <c r="AI33" s="95" t="str">
        <f t="shared" si="8"/>
        <v/>
      </c>
      <c r="AJ33" s="208"/>
      <c r="AK33" s="27" t="str">
        <f t="shared" si="0"/>
        <v/>
      </c>
      <c r="AL33" s="48" t="str">
        <f t="shared" si="11"/>
        <v/>
      </c>
      <c r="AM33" s="48" t="str">
        <f t="shared" si="9"/>
        <v/>
      </c>
      <c r="AN33" s="293"/>
      <c r="AO33" s="293"/>
      <c r="AP33" s="293"/>
      <c r="AQ33" s="293"/>
      <c r="AR33" s="293"/>
      <c r="AS33" s="293"/>
      <c r="AT33" s="293"/>
      <c r="AU33" s="294" t="str">
        <f>IFERROR(VLOOKUP(AT33,'Seguridad Información'!$I$61:$J$65,2,0),"")</f>
        <v/>
      </c>
      <c r="AV33" s="79"/>
      <c r="AW33" s="78" t="str">
        <f t="shared" si="1"/>
        <v/>
      </c>
      <c r="AX33" s="77" t="str">
        <f t="shared" si="2"/>
        <v/>
      </c>
      <c r="AY33" s="21" t="str">
        <f>IFERROR(VLOOKUP((CONCATENATE(AM33,AX33)),Listados!$U$3:$V$11,2,FALSE),"")</f>
        <v/>
      </c>
      <c r="AZ33" s="48">
        <f t="shared" si="10"/>
        <v>100</v>
      </c>
      <c r="BA33" s="355"/>
      <c r="BB33" s="357"/>
      <c r="BC33" s="173">
        <f>+IF(AND(W33="Preventivo",BB31="Fuerte"),2,IF(AND(W33="Preventivo",BB31="Moderado"),1,0))</f>
        <v>0</v>
      </c>
      <c r="BD33" s="64">
        <f>+IF(AND(W33="Detectivo/Correctivo",$BB31="Fuerte"),2,IF(AND(W33="Detectivo/Correctivo",$BB33="Moderado"),1,IF(AND(W33="Preventivo",$BB31="Fuerte"),1,0)))</f>
        <v>0</v>
      </c>
      <c r="BE33" s="173" t="e">
        <f>+N31-BC33</f>
        <v>#N/A</v>
      </c>
      <c r="BF33" s="173" t="e">
        <f>+P31-BD33</f>
        <v>#N/A</v>
      </c>
      <c r="BG33" s="346"/>
      <c r="BH33" s="346"/>
      <c r="BI33" s="346"/>
      <c r="BJ33" s="538"/>
      <c r="BK33" s="538"/>
      <c r="BL33" s="538"/>
      <c r="BM33" s="538"/>
    </row>
    <row r="34" spans="1:65" ht="65.099999999999994" customHeight="1" thickBot="1">
      <c r="A34" s="329"/>
      <c r="B34" s="514"/>
      <c r="C34" s="364"/>
      <c r="D34" s="233"/>
      <c r="E34" s="233"/>
      <c r="F34" s="433"/>
      <c r="G34" s="367"/>
      <c r="H34" s="100"/>
      <c r="I34" s="237"/>
      <c r="J34" s="100"/>
      <c r="K34" s="236"/>
      <c r="L34" s="222"/>
      <c r="M34" s="370"/>
      <c r="N34" s="349"/>
      <c r="O34" s="352"/>
      <c r="P34" s="349"/>
      <c r="Q34" s="353"/>
      <c r="R34" s="346"/>
      <c r="S34" s="208"/>
      <c r="T34" s="97"/>
      <c r="U34" s="47" t="s">
        <v>627</v>
      </c>
      <c r="V34" s="215"/>
      <c r="W34" s="215"/>
      <c r="X34" s="215"/>
      <c r="Y34" s="95" t="str">
        <f t="shared" si="3"/>
        <v/>
      </c>
      <c r="Z34" s="215"/>
      <c r="AA34" s="95" t="str">
        <f t="shared" si="4"/>
        <v/>
      </c>
      <c r="AB34" s="208"/>
      <c r="AC34" s="95" t="str">
        <f t="shared" si="5"/>
        <v/>
      </c>
      <c r="AD34" s="208"/>
      <c r="AE34" s="95" t="str">
        <f t="shared" si="6"/>
        <v/>
      </c>
      <c r="AF34" s="208"/>
      <c r="AG34" s="95" t="str">
        <f t="shared" si="7"/>
        <v/>
      </c>
      <c r="AH34" s="208"/>
      <c r="AI34" s="95" t="str">
        <f t="shared" si="8"/>
        <v/>
      </c>
      <c r="AJ34" s="208"/>
      <c r="AK34" s="27" t="str">
        <f t="shared" si="0"/>
        <v/>
      </c>
      <c r="AL34" s="48" t="str">
        <f t="shared" si="11"/>
        <v/>
      </c>
      <c r="AM34" s="48" t="str">
        <f t="shared" si="9"/>
        <v/>
      </c>
      <c r="AN34" s="293"/>
      <c r="AO34" s="293"/>
      <c r="AP34" s="293"/>
      <c r="AQ34" s="293"/>
      <c r="AR34" s="293"/>
      <c r="AS34" s="293"/>
      <c r="AT34" s="293"/>
      <c r="AU34" s="294" t="str">
        <f>IFERROR(VLOOKUP(AT34,'Seguridad Información'!$I$61:$J$65,2,0),"")</f>
        <v/>
      </c>
      <c r="AV34" s="79"/>
      <c r="AW34" s="78" t="str">
        <f t="shared" si="1"/>
        <v/>
      </c>
      <c r="AX34" s="77" t="str">
        <f t="shared" si="2"/>
        <v/>
      </c>
      <c r="AY34" s="21" t="str">
        <f>IFERROR(VLOOKUP((CONCATENATE(AM34,AX34)),Listados!$U$3:$V$11,2,FALSE),"")</f>
        <v/>
      </c>
      <c r="AZ34" s="48">
        <f t="shared" si="10"/>
        <v>100</v>
      </c>
      <c r="BA34" s="355"/>
      <c r="BB34" s="357"/>
      <c r="BC34" s="173">
        <f>+IF(AND(W34="Preventivo",BB31="Fuerte"),2,IF(AND(W34="Preventivo",BB31="Moderado"),1,0))</f>
        <v>0</v>
      </c>
      <c r="BD34" s="64">
        <f>+IF(AND(W34="Detectivo/Correctivo",$BB31="Fuerte"),2,IF(AND(W34="Detectivo/Correctivo",$BB34="Moderado"),1,IF(AND(W34="Preventivo",$BB31="Fuerte"),1,0)))</f>
        <v>0</v>
      </c>
      <c r="BE34" s="173" t="e">
        <f>+N31-BC34</f>
        <v>#N/A</v>
      </c>
      <c r="BF34" s="173" t="e">
        <f>+P31-BD34</f>
        <v>#N/A</v>
      </c>
      <c r="BG34" s="346"/>
      <c r="BH34" s="346"/>
      <c r="BI34" s="346"/>
      <c r="BJ34" s="538"/>
      <c r="BK34" s="538"/>
      <c r="BL34" s="538"/>
      <c r="BM34" s="538"/>
    </row>
    <row r="35" spans="1:65" ht="65.099999999999994" customHeight="1" thickBot="1">
      <c r="A35" s="329"/>
      <c r="B35" s="514"/>
      <c r="C35" s="364"/>
      <c r="D35" s="109"/>
      <c r="E35" s="109"/>
      <c r="F35" s="433"/>
      <c r="G35" s="367"/>
      <c r="H35" s="100"/>
      <c r="I35" s="237"/>
      <c r="J35" s="100"/>
      <c r="K35" s="29"/>
      <c r="L35" s="222"/>
      <c r="M35" s="370"/>
      <c r="N35" s="349"/>
      <c r="O35" s="352"/>
      <c r="P35" s="349"/>
      <c r="Q35" s="353"/>
      <c r="R35" s="346"/>
      <c r="S35" s="208"/>
      <c r="T35" s="195"/>
      <c r="U35" s="47" t="s">
        <v>627</v>
      </c>
      <c r="V35" s="215"/>
      <c r="W35" s="215"/>
      <c r="X35" s="215"/>
      <c r="Y35" s="95" t="str">
        <f t="shared" si="3"/>
        <v/>
      </c>
      <c r="Z35" s="215"/>
      <c r="AA35" s="95" t="str">
        <f t="shared" si="4"/>
        <v/>
      </c>
      <c r="AB35" s="208"/>
      <c r="AC35" s="95" t="str">
        <f t="shared" si="5"/>
        <v/>
      </c>
      <c r="AD35" s="208"/>
      <c r="AE35" s="95" t="str">
        <f t="shared" si="6"/>
        <v/>
      </c>
      <c r="AF35" s="208"/>
      <c r="AG35" s="95" t="str">
        <f t="shared" si="7"/>
        <v/>
      </c>
      <c r="AH35" s="208"/>
      <c r="AI35" s="95" t="str">
        <f t="shared" si="8"/>
        <v/>
      </c>
      <c r="AJ35" s="208"/>
      <c r="AK35" s="27" t="str">
        <f t="shared" si="0"/>
        <v/>
      </c>
      <c r="AL35" s="48" t="str">
        <f t="shared" si="11"/>
        <v/>
      </c>
      <c r="AM35" s="48" t="str">
        <f t="shared" si="9"/>
        <v/>
      </c>
      <c r="AN35" s="293"/>
      <c r="AO35" s="293"/>
      <c r="AP35" s="293"/>
      <c r="AQ35" s="293"/>
      <c r="AR35" s="293"/>
      <c r="AS35" s="293"/>
      <c r="AT35" s="293"/>
      <c r="AU35" s="294" t="str">
        <f>IFERROR(VLOOKUP(AT35,'Seguridad Información'!$I$61:$J$65,2,0),"")</f>
        <v/>
      </c>
      <c r="AV35" s="79"/>
      <c r="AW35" s="78" t="str">
        <f t="shared" si="1"/>
        <v/>
      </c>
      <c r="AX35" s="77" t="str">
        <f t="shared" si="2"/>
        <v/>
      </c>
      <c r="AY35" s="21" t="str">
        <f>IFERROR(VLOOKUP((CONCATENATE(AM35,AX35)),Listados!$U$3:$V$11,2,FALSE),"")</f>
        <v/>
      </c>
      <c r="AZ35" s="48">
        <f t="shared" si="10"/>
        <v>100</v>
      </c>
      <c r="BA35" s="355"/>
      <c r="BB35" s="357"/>
      <c r="BC35" s="173">
        <f>+IF(AND(W35="Preventivo",BB31="Fuerte"),2,IF(AND(W35="Preventivo",BB31="Moderado"),1,0))</f>
        <v>0</v>
      </c>
      <c r="BD35" s="64">
        <f>+IF(AND(W35="Detectivo/Correctivo",$BB31="Fuerte"),2,IF(AND(W35="Detectivo/Correctivo",$BB35="Moderado"),1,IF(AND(W35="Preventivo",$BB31="Fuerte"),1,0)))</f>
        <v>0</v>
      </c>
      <c r="BE35" s="173" t="e">
        <f>+N31-BC35</f>
        <v>#N/A</v>
      </c>
      <c r="BF35" s="173" t="e">
        <f>+P31-BD35</f>
        <v>#N/A</v>
      </c>
      <c r="BG35" s="346"/>
      <c r="BH35" s="346"/>
      <c r="BI35" s="346"/>
      <c r="BJ35" s="538"/>
      <c r="BK35" s="538"/>
      <c r="BL35" s="538"/>
      <c r="BM35" s="538"/>
    </row>
    <row r="36" spans="1:65" ht="65.099999999999994" customHeight="1" thickBot="1">
      <c r="A36" s="330"/>
      <c r="B36" s="514"/>
      <c r="C36" s="365"/>
      <c r="D36" s="106"/>
      <c r="E36" s="106"/>
      <c r="F36" s="434"/>
      <c r="G36" s="368"/>
      <c r="H36" s="100"/>
      <c r="I36" s="237"/>
      <c r="J36" s="100"/>
      <c r="K36" s="31"/>
      <c r="L36" s="222"/>
      <c r="M36" s="370"/>
      <c r="N36" s="350"/>
      <c r="O36" s="352"/>
      <c r="P36" s="350"/>
      <c r="Q36" s="353"/>
      <c r="R36" s="347"/>
      <c r="S36" s="208"/>
      <c r="T36" s="98"/>
      <c r="U36" s="47" t="s">
        <v>627</v>
      </c>
      <c r="V36" s="215"/>
      <c r="W36" s="215"/>
      <c r="X36" s="215"/>
      <c r="Y36" s="95" t="str">
        <f t="shared" si="3"/>
        <v/>
      </c>
      <c r="Z36" s="215"/>
      <c r="AA36" s="95" t="str">
        <f t="shared" si="4"/>
        <v/>
      </c>
      <c r="AB36" s="208"/>
      <c r="AC36" s="95" t="str">
        <f t="shared" si="5"/>
        <v/>
      </c>
      <c r="AD36" s="208"/>
      <c r="AE36" s="95" t="str">
        <f t="shared" si="6"/>
        <v/>
      </c>
      <c r="AF36" s="208"/>
      <c r="AG36" s="95" t="str">
        <f t="shared" si="7"/>
        <v/>
      </c>
      <c r="AH36" s="208"/>
      <c r="AI36" s="95" t="str">
        <f t="shared" si="8"/>
        <v/>
      </c>
      <c r="AJ36" s="208"/>
      <c r="AK36" s="27" t="str">
        <f t="shared" si="0"/>
        <v/>
      </c>
      <c r="AL36" s="48" t="str">
        <f t="shared" si="11"/>
        <v/>
      </c>
      <c r="AM36" s="48" t="str">
        <f t="shared" si="9"/>
        <v/>
      </c>
      <c r="AN36" s="293"/>
      <c r="AO36" s="293"/>
      <c r="AP36" s="293"/>
      <c r="AQ36" s="293"/>
      <c r="AR36" s="293"/>
      <c r="AS36" s="293"/>
      <c r="AT36" s="293"/>
      <c r="AU36" s="294" t="str">
        <f>IFERROR(VLOOKUP(AT36,'Seguridad Información'!$I$61:$J$65,2,0),"")</f>
        <v/>
      </c>
      <c r="AV36" s="79"/>
      <c r="AW36" s="78" t="str">
        <f t="shared" si="1"/>
        <v/>
      </c>
      <c r="AX36" s="77" t="str">
        <f t="shared" si="2"/>
        <v/>
      </c>
      <c r="AY36" s="21" t="str">
        <f>IFERROR(VLOOKUP((CONCATENATE(AM36,AX36)),Listados!$U$3:$V$11,2,FALSE),"")</f>
        <v/>
      </c>
      <c r="AZ36" s="48">
        <f t="shared" si="10"/>
        <v>100</v>
      </c>
      <c r="BA36" s="356"/>
      <c r="BB36" s="357"/>
      <c r="BC36" s="173">
        <f>+IF(AND(W36="Preventivo",BB31="Fuerte"),2,IF(AND(W36="Preventivo",BB31="Moderado"),1,0))</f>
        <v>0</v>
      </c>
      <c r="BD36" s="64">
        <f>+IF(AND(W36="Detectivo/Correctivo",$BB31="Fuerte"),2,IF(AND(W36="Detectivo/Correctivo",$BB36="Moderado"),1,IF(AND(W36="Preventivo",$BB31="Fuerte"),1,0)))</f>
        <v>0</v>
      </c>
      <c r="BE36" s="173" t="e">
        <f>+N31-BC36</f>
        <v>#N/A</v>
      </c>
      <c r="BF36" s="173" t="e">
        <f>+P31-BD36</f>
        <v>#N/A</v>
      </c>
      <c r="BG36" s="347"/>
      <c r="BH36" s="347"/>
      <c r="BI36" s="347"/>
      <c r="BJ36" s="539"/>
      <c r="BK36" s="539"/>
      <c r="BL36" s="539"/>
      <c r="BM36" s="539"/>
    </row>
    <row r="37" spans="1:65" ht="65.099999999999994" customHeight="1" thickBot="1">
      <c r="A37" s="328">
        <v>6</v>
      </c>
      <c r="B37" s="519"/>
      <c r="C37" s="371" t="str">
        <f>IFERROR(VLOOKUP(B37,Listados!B$3:C$20,2,FALSE),"")</f>
        <v/>
      </c>
      <c r="D37" s="107"/>
      <c r="E37" s="107"/>
      <c r="F37" s="432"/>
      <c r="G37" s="372"/>
      <c r="H37" s="100"/>
      <c r="I37" s="237"/>
      <c r="J37" s="100"/>
      <c r="K37" s="103"/>
      <c r="L37" s="17"/>
      <c r="M37" s="369"/>
      <c r="N37" s="348" t="e">
        <f>+VLOOKUP(M37,Listados!$K$8:$L$12,2,0)</f>
        <v>#N/A</v>
      </c>
      <c r="O37" s="351"/>
      <c r="P37" s="348" t="e">
        <f>+VLOOKUP(O37,Listados!$K$13:$L$17,2,0)</f>
        <v>#N/A</v>
      </c>
      <c r="Q37" s="347" t="str">
        <f>IF(AND(M37&lt;&gt;"",O37&lt;&gt;""),VLOOKUP(M37&amp;O37,Listados!$M$3:$N$27,2,FALSE),"")</f>
        <v/>
      </c>
      <c r="R37" s="345" t="e">
        <f>+VLOOKUP(Q37,Listados!$P$3:$Q$6,2,FALSE)</f>
        <v>#N/A</v>
      </c>
      <c r="S37" s="208"/>
      <c r="T37" s="94"/>
      <c r="U37" s="47" t="s">
        <v>627</v>
      </c>
      <c r="V37" s="215"/>
      <c r="W37" s="215"/>
      <c r="X37" s="215"/>
      <c r="Y37" s="95" t="str">
        <f t="shared" si="3"/>
        <v/>
      </c>
      <c r="Z37" s="215"/>
      <c r="AA37" s="95" t="str">
        <f t="shared" si="4"/>
        <v/>
      </c>
      <c r="AB37" s="208"/>
      <c r="AC37" s="95" t="str">
        <f t="shared" si="5"/>
        <v/>
      </c>
      <c r="AD37" s="208"/>
      <c r="AE37" s="95" t="str">
        <f t="shared" si="6"/>
        <v/>
      </c>
      <c r="AF37" s="208"/>
      <c r="AG37" s="95" t="str">
        <f t="shared" si="7"/>
        <v/>
      </c>
      <c r="AH37" s="208"/>
      <c r="AI37" s="95" t="str">
        <f t="shared" si="8"/>
        <v/>
      </c>
      <c r="AJ37" s="208"/>
      <c r="AK37" s="27" t="str">
        <f t="shared" si="0"/>
        <v/>
      </c>
      <c r="AL37" s="48" t="str">
        <f t="shared" si="11"/>
        <v/>
      </c>
      <c r="AM37" s="48" t="str">
        <f t="shared" si="9"/>
        <v/>
      </c>
      <c r="AN37" s="293"/>
      <c r="AO37" s="293"/>
      <c r="AP37" s="293"/>
      <c r="AQ37" s="293"/>
      <c r="AR37" s="293"/>
      <c r="AS37" s="293"/>
      <c r="AT37" s="293"/>
      <c r="AU37" s="294" t="str">
        <f>IFERROR(VLOOKUP(AT37,'Seguridad Información'!$I$61:$J$65,2,0),"")</f>
        <v/>
      </c>
      <c r="AV37" s="79"/>
      <c r="AW37" s="78" t="str">
        <f t="shared" si="1"/>
        <v/>
      </c>
      <c r="AX37" s="77" t="str">
        <f t="shared" si="2"/>
        <v/>
      </c>
      <c r="AY37" s="21" t="str">
        <f>IFERROR(VLOOKUP((CONCATENATE(AM37,AX37)),Listados!$U$3:$V$11,2,FALSE),"")</f>
        <v/>
      </c>
      <c r="AZ37" s="48">
        <f t="shared" si="10"/>
        <v>100</v>
      </c>
      <c r="BA37" s="354">
        <f>AVERAGE(AZ37:AZ42)</f>
        <v>100</v>
      </c>
      <c r="BB37" s="356" t="str">
        <f>IF(BA37&lt;=50, "Débil", IF(BA37&lt;=99,"Moderado","Fuerte"))</f>
        <v>Fuerte</v>
      </c>
      <c r="BC37" s="173">
        <f>+IF(AND(W37="Preventivo",BB37="Fuerte"),2,IF(AND(W37="Preventivo",BB37="Moderado"),1,0))</f>
        <v>0</v>
      </c>
      <c r="BD37" s="64">
        <f>+IF(AND(W37="Detectivo/Correctivo",$BB37="Fuerte"),2,IF(AND(W37="Detectivo/Correctivo",$BB37="Moderado"),1,IF(AND(W37="Preventivo",$BB37="Fuerte"),1,0)))</f>
        <v>0</v>
      </c>
      <c r="BE37" s="173" t="e">
        <f>+N37-BC37</f>
        <v>#N/A</v>
      </c>
      <c r="BF37" s="173" t="e">
        <f>+P37-BD37</f>
        <v>#N/A</v>
      </c>
      <c r="BG37" s="345" t="e">
        <f>+VLOOKUP(MIN(BE37,BE38,BE39,BE40,BE41,BE42),Listados!$J$18:$K$24,2,TRUE)</f>
        <v>#N/A</v>
      </c>
      <c r="BH37" s="345" t="e">
        <f>+VLOOKUP(MIN(BF37,BF38,BF39,BF40,BF41,BF42),Listados!$J$26:$K$32,2,TRUE)</f>
        <v>#N/A</v>
      </c>
      <c r="BI37" s="345" t="e">
        <f>IF(AND(BG37&lt;&gt;"",BH37&lt;&gt;""),VLOOKUP(BG37&amp;BH37,Listados!$M$3:$N$27,2,FALSE),"")</f>
        <v>#N/A</v>
      </c>
      <c r="BJ37" s="537" t="e">
        <f>+IF($R37="Asumir el riesgo","NA","")</f>
        <v>#N/A</v>
      </c>
      <c r="BK37" s="537" t="e">
        <f>+IF($R37="Asumir el riesgo","NA","")</f>
        <v>#N/A</v>
      </c>
      <c r="BL37" s="537" t="e">
        <f>+IF($R37="Asumir el riesgo","NA","")</f>
        <v>#N/A</v>
      </c>
      <c r="BM37" s="537" t="e">
        <f>+IF($R37="Asumir el riesgo","NA","")</f>
        <v>#N/A</v>
      </c>
    </row>
    <row r="38" spans="1:65" ht="65.099999999999994" customHeight="1" thickBot="1">
      <c r="A38" s="329"/>
      <c r="B38" s="514"/>
      <c r="C38" s="364"/>
      <c r="D38" s="233"/>
      <c r="E38" s="233"/>
      <c r="F38" s="433"/>
      <c r="G38" s="367"/>
      <c r="H38" s="100"/>
      <c r="I38" s="237"/>
      <c r="J38" s="100"/>
      <c r="K38" s="236"/>
      <c r="L38" s="222"/>
      <c r="M38" s="370"/>
      <c r="N38" s="349"/>
      <c r="O38" s="352"/>
      <c r="P38" s="349"/>
      <c r="Q38" s="353"/>
      <c r="R38" s="346"/>
      <c r="S38" s="208"/>
      <c r="T38" s="195"/>
      <c r="U38" s="47" t="s">
        <v>627</v>
      </c>
      <c r="V38" s="215"/>
      <c r="W38" s="215"/>
      <c r="X38" s="215"/>
      <c r="Y38" s="95" t="str">
        <f t="shared" si="3"/>
        <v/>
      </c>
      <c r="Z38" s="215"/>
      <c r="AA38" s="95" t="str">
        <f t="shared" si="4"/>
        <v/>
      </c>
      <c r="AB38" s="208"/>
      <c r="AC38" s="95" t="str">
        <f t="shared" si="5"/>
        <v/>
      </c>
      <c r="AD38" s="208"/>
      <c r="AE38" s="95" t="str">
        <f t="shared" si="6"/>
        <v/>
      </c>
      <c r="AF38" s="208"/>
      <c r="AG38" s="95" t="str">
        <f t="shared" si="7"/>
        <v/>
      </c>
      <c r="AH38" s="208"/>
      <c r="AI38" s="95" t="str">
        <f t="shared" si="8"/>
        <v/>
      </c>
      <c r="AJ38" s="208"/>
      <c r="AK38" s="27" t="str">
        <f t="shared" si="0"/>
        <v/>
      </c>
      <c r="AL38" s="48" t="str">
        <f t="shared" si="11"/>
        <v/>
      </c>
      <c r="AM38" s="48" t="str">
        <f t="shared" si="9"/>
        <v/>
      </c>
      <c r="AN38" s="293"/>
      <c r="AO38" s="293"/>
      <c r="AP38" s="293"/>
      <c r="AQ38" s="293"/>
      <c r="AR38" s="293"/>
      <c r="AS38" s="293"/>
      <c r="AT38" s="293"/>
      <c r="AU38" s="294" t="str">
        <f>IFERROR(VLOOKUP(AT38,'Seguridad Información'!$I$61:$J$65,2,0),"")</f>
        <v/>
      </c>
      <c r="AV38" s="79"/>
      <c r="AW38" s="78" t="str">
        <f t="shared" si="1"/>
        <v/>
      </c>
      <c r="AX38" s="77" t="str">
        <f t="shared" si="2"/>
        <v/>
      </c>
      <c r="AY38" s="21" t="str">
        <f>IFERROR(VLOOKUP((CONCATENATE(AM38,AX38)),Listados!$U$3:$V$11,2,FALSE),"")</f>
        <v/>
      </c>
      <c r="AZ38" s="48">
        <f t="shared" si="10"/>
        <v>100</v>
      </c>
      <c r="BA38" s="355"/>
      <c r="BB38" s="357"/>
      <c r="BC38" s="173">
        <f>+IF(AND(W38="Preventivo",BB37="Fuerte"),2,IF(AND(W38="Preventivo",BB37="Moderado"),1,0))</f>
        <v>0</v>
      </c>
      <c r="BD38" s="64">
        <f>+IF(AND(W38="Detectivo/Correctivo",$BB37="Fuerte"),2,IF(AND(W38="Detectivo/Correctivo",$BB38="Moderado"),1,IF(AND(W38="Preventivo",$BB37="Fuerte"),1,0)))</f>
        <v>0</v>
      </c>
      <c r="BE38" s="173" t="e">
        <f>+N37-BC38</f>
        <v>#N/A</v>
      </c>
      <c r="BF38" s="173" t="e">
        <f>+P37-BD38</f>
        <v>#N/A</v>
      </c>
      <c r="BG38" s="346"/>
      <c r="BH38" s="346"/>
      <c r="BI38" s="346"/>
      <c r="BJ38" s="538"/>
      <c r="BK38" s="538"/>
      <c r="BL38" s="538"/>
      <c r="BM38" s="538"/>
    </row>
    <row r="39" spans="1:65" ht="65.099999999999994" customHeight="1" thickBot="1">
      <c r="A39" s="329"/>
      <c r="B39" s="514"/>
      <c r="C39" s="364"/>
      <c r="D39" s="233"/>
      <c r="E39" s="233"/>
      <c r="F39" s="433"/>
      <c r="G39" s="367"/>
      <c r="H39" s="100"/>
      <c r="I39" s="237"/>
      <c r="J39" s="100"/>
      <c r="K39" s="236"/>
      <c r="L39" s="222"/>
      <c r="M39" s="370"/>
      <c r="N39" s="349"/>
      <c r="O39" s="352"/>
      <c r="P39" s="349"/>
      <c r="Q39" s="353"/>
      <c r="R39" s="346"/>
      <c r="S39" s="208"/>
      <c r="T39" s="96"/>
      <c r="U39" s="47" t="s">
        <v>627</v>
      </c>
      <c r="V39" s="215"/>
      <c r="W39" s="215"/>
      <c r="X39" s="215"/>
      <c r="Y39" s="95" t="str">
        <f t="shared" si="3"/>
        <v/>
      </c>
      <c r="Z39" s="215"/>
      <c r="AA39" s="95" t="str">
        <f t="shared" si="4"/>
        <v/>
      </c>
      <c r="AB39" s="208"/>
      <c r="AC39" s="95" t="str">
        <f t="shared" si="5"/>
        <v/>
      </c>
      <c r="AD39" s="208"/>
      <c r="AE39" s="95" t="str">
        <f t="shared" si="6"/>
        <v/>
      </c>
      <c r="AF39" s="208"/>
      <c r="AG39" s="95" t="str">
        <f t="shared" si="7"/>
        <v/>
      </c>
      <c r="AH39" s="208"/>
      <c r="AI39" s="95" t="str">
        <f t="shared" si="8"/>
        <v/>
      </c>
      <c r="AJ39" s="208"/>
      <c r="AK39" s="27" t="str">
        <f t="shared" si="0"/>
        <v/>
      </c>
      <c r="AL39" s="48" t="str">
        <f t="shared" si="11"/>
        <v/>
      </c>
      <c r="AM39" s="48" t="str">
        <f t="shared" si="9"/>
        <v/>
      </c>
      <c r="AN39" s="293"/>
      <c r="AO39" s="293"/>
      <c r="AP39" s="293"/>
      <c r="AQ39" s="293"/>
      <c r="AR39" s="293"/>
      <c r="AS39" s="293"/>
      <c r="AT39" s="293"/>
      <c r="AU39" s="294" t="str">
        <f>IFERROR(VLOOKUP(AT39,'Seguridad Información'!$I$61:$J$65,2,0),"")</f>
        <v/>
      </c>
      <c r="AV39" s="79"/>
      <c r="AW39" s="78" t="str">
        <f t="shared" si="1"/>
        <v/>
      </c>
      <c r="AX39" s="77" t="str">
        <f t="shared" si="2"/>
        <v/>
      </c>
      <c r="AY39" s="21" t="str">
        <f>IFERROR(VLOOKUP((CONCATENATE(AM39,AX39)),Listados!$U$3:$V$11,2,FALSE),"")</f>
        <v/>
      </c>
      <c r="AZ39" s="48">
        <f t="shared" si="10"/>
        <v>100</v>
      </c>
      <c r="BA39" s="355"/>
      <c r="BB39" s="357"/>
      <c r="BC39" s="173">
        <f>+IF(AND(W39="Preventivo",BB37="Fuerte"),2,IF(AND(W39="Preventivo",BB37="Moderado"),1,0))</f>
        <v>0</v>
      </c>
      <c r="BD39" s="64">
        <f>+IF(AND(W39="Detectivo/Correctivo",$BB37="Fuerte"),2,IF(AND(W39="Detectivo/Correctivo",$BB39="Moderado"),1,IF(AND(W39="Preventivo",$BB37="Fuerte"),1,0)))</f>
        <v>0</v>
      </c>
      <c r="BE39" s="173" t="e">
        <f>+N37-BC39</f>
        <v>#N/A</v>
      </c>
      <c r="BF39" s="173" t="e">
        <f>+P37-BD39</f>
        <v>#N/A</v>
      </c>
      <c r="BG39" s="346"/>
      <c r="BH39" s="346"/>
      <c r="BI39" s="346"/>
      <c r="BJ39" s="538"/>
      <c r="BK39" s="538"/>
      <c r="BL39" s="538"/>
      <c r="BM39" s="538"/>
    </row>
    <row r="40" spans="1:65" ht="65.099999999999994" customHeight="1" thickBot="1">
      <c r="A40" s="329"/>
      <c r="B40" s="514"/>
      <c r="C40" s="364"/>
      <c r="D40" s="233"/>
      <c r="E40" s="233"/>
      <c r="F40" s="433"/>
      <c r="G40" s="367"/>
      <c r="H40" s="100"/>
      <c r="I40" s="237"/>
      <c r="J40" s="100"/>
      <c r="K40" s="236"/>
      <c r="L40" s="222"/>
      <c r="M40" s="370"/>
      <c r="N40" s="349"/>
      <c r="O40" s="352"/>
      <c r="P40" s="349"/>
      <c r="Q40" s="353"/>
      <c r="R40" s="346"/>
      <c r="S40" s="208"/>
      <c r="T40" s="97"/>
      <c r="U40" s="47" t="s">
        <v>627</v>
      </c>
      <c r="V40" s="215"/>
      <c r="W40" s="215"/>
      <c r="X40" s="215"/>
      <c r="Y40" s="95" t="str">
        <f t="shared" si="3"/>
        <v/>
      </c>
      <c r="Z40" s="215"/>
      <c r="AA40" s="95" t="str">
        <f t="shared" si="4"/>
        <v/>
      </c>
      <c r="AB40" s="208"/>
      <c r="AC40" s="95" t="str">
        <f t="shared" si="5"/>
        <v/>
      </c>
      <c r="AD40" s="208"/>
      <c r="AE40" s="95" t="str">
        <f t="shared" si="6"/>
        <v/>
      </c>
      <c r="AF40" s="208"/>
      <c r="AG40" s="95" t="str">
        <f t="shared" si="7"/>
        <v/>
      </c>
      <c r="AH40" s="208"/>
      <c r="AI40" s="95" t="str">
        <f t="shared" si="8"/>
        <v/>
      </c>
      <c r="AJ40" s="208"/>
      <c r="AK40" s="27" t="str">
        <f t="shared" si="0"/>
        <v/>
      </c>
      <c r="AL40" s="48" t="str">
        <f t="shared" si="11"/>
        <v/>
      </c>
      <c r="AM40" s="48" t="str">
        <f t="shared" si="9"/>
        <v/>
      </c>
      <c r="AN40" s="293"/>
      <c r="AO40" s="293"/>
      <c r="AP40" s="293"/>
      <c r="AQ40" s="293"/>
      <c r="AR40" s="293"/>
      <c r="AS40" s="293"/>
      <c r="AT40" s="293"/>
      <c r="AU40" s="294" t="str">
        <f>IFERROR(VLOOKUP(AT40,'Seguridad Información'!$I$61:$J$65,2,0),"")</f>
        <v/>
      </c>
      <c r="AV40" s="79"/>
      <c r="AW40" s="78" t="str">
        <f t="shared" si="1"/>
        <v/>
      </c>
      <c r="AX40" s="77" t="str">
        <f t="shared" si="2"/>
        <v/>
      </c>
      <c r="AY40" s="21" t="str">
        <f>IFERROR(VLOOKUP((CONCATENATE(AM40,AX40)),Listados!$U$3:$V$11,2,FALSE),"")</f>
        <v/>
      </c>
      <c r="AZ40" s="48">
        <f t="shared" si="10"/>
        <v>100</v>
      </c>
      <c r="BA40" s="355"/>
      <c r="BB40" s="357"/>
      <c r="BC40" s="173">
        <f>+IF(AND(W40="Preventivo",BB37="Fuerte"),2,IF(AND(W40="Preventivo",BB37="Moderado"),1,0))</f>
        <v>0</v>
      </c>
      <c r="BD40" s="64">
        <f>+IF(AND(W40="Detectivo/Correctivo",$BB37="Fuerte"),2,IF(AND(W40="Detectivo/Correctivo",$BB40="Moderado"),1,IF(AND(W40="Preventivo",$BB37="Fuerte"),1,0)))</f>
        <v>0</v>
      </c>
      <c r="BE40" s="173" t="e">
        <f>+N37-BC40</f>
        <v>#N/A</v>
      </c>
      <c r="BF40" s="173" t="e">
        <f>+P37-BD40</f>
        <v>#N/A</v>
      </c>
      <c r="BG40" s="346"/>
      <c r="BH40" s="346"/>
      <c r="BI40" s="346"/>
      <c r="BJ40" s="538"/>
      <c r="BK40" s="538"/>
      <c r="BL40" s="538"/>
      <c r="BM40" s="538"/>
    </row>
    <row r="41" spans="1:65" ht="65.099999999999994" customHeight="1" thickBot="1">
      <c r="A41" s="329"/>
      <c r="B41" s="514"/>
      <c r="C41" s="364"/>
      <c r="D41" s="109"/>
      <c r="E41" s="109"/>
      <c r="F41" s="433"/>
      <c r="G41" s="367"/>
      <c r="H41" s="100"/>
      <c r="I41" s="237"/>
      <c r="J41" s="100"/>
      <c r="K41" s="29"/>
      <c r="L41" s="222"/>
      <c r="M41" s="370"/>
      <c r="N41" s="349"/>
      <c r="O41" s="352"/>
      <c r="P41" s="349"/>
      <c r="Q41" s="353"/>
      <c r="R41" s="346"/>
      <c r="S41" s="208"/>
      <c r="T41" s="195"/>
      <c r="U41" s="47" t="s">
        <v>627</v>
      </c>
      <c r="V41" s="215"/>
      <c r="W41" s="215"/>
      <c r="X41" s="215"/>
      <c r="Y41" s="95" t="str">
        <f t="shared" si="3"/>
        <v/>
      </c>
      <c r="Z41" s="215"/>
      <c r="AA41" s="95" t="str">
        <f t="shared" si="4"/>
        <v/>
      </c>
      <c r="AB41" s="208"/>
      <c r="AC41" s="95" t="str">
        <f t="shared" si="5"/>
        <v/>
      </c>
      <c r="AD41" s="208"/>
      <c r="AE41" s="95" t="str">
        <f t="shared" si="6"/>
        <v/>
      </c>
      <c r="AF41" s="208"/>
      <c r="AG41" s="95" t="str">
        <f t="shared" si="7"/>
        <v/>
      </c>
      <c r="AH41" s="208"/>
      <c r="AI41" s="95" t="str">
        <f t="shared" si="8"/>
        <v/>
      </c>
      <c r="AJ41" s="208"/>
      <c r="AK41" s="27" t="str">
        <f t="shared" si="0"/>
        <v/>
      </c>
      <c r="AL41" s="48" t="str">
        <f t="shared" si="11"/>
        <v/>
      </c>
      <c r="AM41" s="48" t="str">
        <f t="shared" si="9"/>
        <v/>
      </c>
      <c r="AN41" s="293"/>
      <c r="AO41" s="293"/>
      <c r="AP41" s="293"/>
      <c r="AQ41" s="293"/>
      <c r="AR41" s="293"/>
      <c r="AS41" s="293"/>
      <c r="AT41" s="293"/>
      <c r="AU41" s="294" t="str">
        <f>IFERROR(VLOOKUP(AT41,'Seguridad Información'!$I$61:$J$65,2,0),"")</f>
        <v/>
      </c>
      <c r="AV41" s="79"/>
      <c r="AW41" s="78" t="str">
        <f t="shared" si="1"/>
        <v/>
      </c>
      <c r="AX41" s="77" t="str">
        <f t="shared" si="2"/>
        <v/>
      </c>
      <c r="AY41" s="21" t="str">
        <f>IFERROR(VLOOKUP((CONCATENATE(AM41,AX41)),Listados!$U$3:$V$11,2,FALSE),"")</f>
        <v/>
      </c>
      <c r="AZ41" s="48">
        <f t="shared" si="10"/>
        <v>100</v>
      </c>
      <c r="BA41" s="355"/>
      <c r="BB41" s="357"/>
      <c r="BC41" s="173">
        <f>+IF(AND(W41="Preventivo",BB37="Fuerte"),2,IF(AND(W41="Preventivo",BB37="Moderado"),1,0))</f>
        <v>0</v>
      </c>
      <c r="BD41" s="64">
        <f>+IF(AND(W41="Detectivo/Correctivo",$BB37="Fuerte"),2,IF(AND(W41="Detectivo/Correctivo",$BB41="Moderado"),1,IF(AND(W41="Preventivo",$BB37="Fuerte"),1,0)))</f>
        <v>0</v>
      </c>
      <c r="BE41" s="173" t="e">
        <f>+N37-BC41</f>
        <v>#N/A</v>
      </c>
      <c r="BF41" s="173" t="e">
        <f>+P37-BD41</f>
        <v>#N/A</v>
      </c>
      <c r="BG41" s="346"/>
      <c r="BH41" s="346"/>
      <c r="BI41" s="346"/>
      <c r="BJ41" s="538"/>
      <c r="BK41" s="538"/>
      <c r="BL41" s="538"/>
      <c r="BM41" s="538"/>
    </row>
    <row r="42" spans="1:65" ht="65.099999999999994" customHeight="1" thickBot="1">
      <c r="A42" s="330"/>
      <c r="B42" s="514"/>
      <c r="C42" s="365"/>
      <c r="D42" s="106"/>
      <c r="E42" s="106"/>
      <c r="F42" s="434"/>
      <c r="G42" s="368"/>
      <c r="H42" s="100"/>
      <c r="I42" s="237"/>
      <c r="J42" s="100"/>
      <c r="K42" s="31"/>
      <c r="L42" s="222"/>
      <c r="M42" s="370"/>
      <c r="N42" s="350"/>
      <c r="O42" s="352"/>
      <c r="P42" s="350"/>
      <c r="Q42" s="353"/>
      <c r="R42" s="347"/>
      <c r="S42" s="208"/>
      <c r="T42" s="98"/>
      <c r="U42" s="47" t="s">
        <v>627</v>
      </c>
      <c r="V42" s="215"/>
      <c r="W42" s="215"/>
      <c r="X42" s="215"/>
      <c r="Y42" s="95" t="str">
        <f t="shared" si="3"/>
        <v/>
      </c>
      <c r="Z42" s="215"/>
      <c r="AA42" s="95" t="str">
        <f t="shared" si="4"/>
        <v/>
      </c>
      <c r="AB42" s="208"/>
      <c r="AC42" s="95" t="str">
        <f t="shared" si="5"/>
        <v/>
      </c>
      <c r="AD42" s="208"/>
      <c r="AE42" s="95" t="str">
        <f t="shared" si="6"/>
        <v/>
      </c>
      <c r="AF42" s="208"/>
      <c r="AG42" s="95" t="str">
        <f t="shared" si="7"/>
        <v/>
      </c>
      <c r="AH42" s="208"/>
      <c r="AI42" s="95" t="str">
        <f t="shared" si="8"/>
        <v/>
      </c>
      <c r="AJ42" s="208"/>
      <c r="AK42" s="27" t="str">
        <f t="shared" si="0"/>
        <v/>
      </c>
      <c r="AL42" s="48" t="str">
        <f t="shared" si="11"/>
        <v/>
      </c>
      <c r="AM42" s="48" t="str">
        <f t="shared" si="9"/>
        <v/>
      </c>
      <c r="AN42" s="293"/>
      <c r="AO42" s="293"/>
      <c r="AP42" s="293"/>
      <c r="AQ42" s="293"/>
      <c r="AR42" s="293"/>
      <c r="AS42" s="293"/>
      <c r="AT42" s="293"/>
      <c r="AU42" s="294" t="str">
        <f>IFERROR(VLOOKUP(AT42,'Seguridad Información'!$I$61:$J$65,2,0),"")</f>
        <v/>
      </c>
      <c r="AV42" s="79"/>
      <c r="AW42" s="78" t="str">
        <f t="shared" si="1"/>
        <v/>
      </c>
      <c r="AX42" s="77" t="str">
        <f t="shared" si="2"/>
        <v/>
      </c>
      <c r="AY42" s="21" t="str">
        <f>IFERROR(VLOOKUP((CONCATENATE(AM42,AX42)),Listados!$U$3:$V$11,2,FALSE),"")</f>
        <v/>
      </c>
      <c r="AZ42" s="48">
        <f t="shared" si="10"/>
        <v>100</v>
      </c>
      <c r="BA42" s="356"/>
      <c r="BB42" s="357"/>
      <c r="BC42" s="173">
        <f>+IF(AND(W42="Preventivo",BB37="Fuerte"),2,IF(AND(W42="Preventivo",BB37="Moderado"),1,0))</f>
        <v>0</v>
      </c>
      <c r="BD42" s="64">
        <f>+IF(AND(W42="Detectivo/Correctivo",$BB37="Fuerte"),2,IF(AND(W42="Detectivo/Correctivo",$BB42="Moderado"),1,IF(AND(W42="Preventivo",$BB37="Fuerte"),1,0)))</f>
        <v>0</v>
      </c>
      <c r="BE42" s="173" t="e">
        <f>+N37-BC42</f>
        <v>#N/A</v>
      </c>
      <c r="BF42" s="173" t="e">
        <f>+P37-BD42</f>
        <v>#N/A</v>
      </c>
      <c r="BG42" s="347"/>
      <c r="BH42" s="347"/>
      <c r="BI42" s="347"/>
      <c r="BJ42" s="539"/>
      <c r="BK42" s="539"/>
      <c r="BL42" s="539"/>
      <c r="BM42" s="539"/>
    </row>
    <row r="43" spans="1:65" ht="65.099999999999994" customHeight="1" thickBot="1">
      <c r="A43" s="328">
        <v>7</v>
      </c>
      <c r="B43" s="519"/>
      <c r="C43" s="371" t="str">
        <f>IFERROR(VLOOKUP(B43,Listados!B$3:C$20,2,FALSE),"")</f>
        <v/>
      </c>
      <c r="D43" s="107"/>
      <c r="E43" s="107"/>
      <c r="F43" s="432"/>
      <c r="G43" s="372"/>
      <c r="H43" s="100"/>
      <c r="I43" s="237"/>
      <c r="J43" s="100"/>
      <c r="K43" s="103"/>
      <c r="L43" s="17"/>
      <c r="M43" s="369"/>
      <c r="N43" s="348" t="e">
        <f>+VLOOKUP(M43,Listados!$K$8:$L$12,2,0)</f>
        <v>#N/A</v>
      </c>
      <c r="O43" s="351"/>
      <c r="P43" s="348" t="e">
        <f>+VLOOKUP(O43,Listados!$K$13:$L$17,2,0)</f>
        <v>#N/A</v>
      </c>
      <c r="Q43" s="347" t="str">
        <f>IF(AND(M43&lt;&gt;"",O43&lt;&gt;""),VLOOKUP(M43&amp;O43,Listados!$M$3:$N$27,2,FALSE),"")</f>
        <v/>
      </c>
      <c r="R43" s="345" t="e">
        <f>+VLOOKUP(Q43,Listados!$P$3:$Q$6,2,FALSE)</f>
        <v>#N/A</v>
      </c>
      <c r="S43" s="208"/>
      <c r="T43" s="94"/>
      <c r="U43" s="47" t="s">
        <v>627</v>
      </c>
      <c r="V43" s="215"/>
      <c r="W43" s="215"/>
      <c r="X43" s="215"/>
      <c r="Y43" s="95" t="str">
        <f t="shared" si="3"/>
        <v/>
      </c>
      <c r="Z43" s="215"/>
      <c r="AA43" s="95" t="str">
        <f t="shared" si="4"/>
        <v/>
      </c>
      <c r="AB43" s="208"/>
      <c r="AC43" s="95" t="str">
        <f t="shared" si="5"/>
        <v/>
      </c>
      <c r="AD43" s="208"/>
      <c r="AE43" s="95" t="str">
        <f t="shared" si="6"/>
        <v/>
      </c>
      <c r="AF43" s="208"/>
      <c r="AG43" s="95" t="str">
        <f t="shared" si="7"/>
        <v/>
      </c>
      <c r="AH43" s="208"/>
      <c r="AI43" s="95" t="str">
        <f t="shared" si="8"/>
        <v/>
      </c>
      <c r="AJ43" s="208"/>
      <c r="AK43" s="27" t="str">
        <f t="shared" si="0"/>
        <v/>
      </c>
      <c r="AL43" s="48" t="str">
        <f t="shared" si="11"/>
        <v/>
      </c>
      <c r="AM43" s="48" t="str">
        <f t="shared" si="9"/>
        <v/>
      </c>
      <c r="AN43" s="293"/>
      <c r="AO43" s="293"/>
      <c r="AP43" s="293"/>
      <c r="AQ43" s="293"/>
      <c r="AR43" s="293"/>
      <c r="AS43" s="293"/>
      <c r="AT43" s="293"/>
      <c r="AU43" s="294" t="str">
        <f>IFERROR(VLOOKUP(AT43,'Seguridad Información'!$I$61:$J$65,2,0),"")</f>
        <v/>
      </c>
      <c r="AV43" s="79"/>
      <c r="AW43" s="78" t="str">
        <f t="shared" si="1"/>
        <v/>
      </c>
      <c r="AX43" s="77" t="str">
        <f t="shared" si="2"/>
        <v/>
      </c>
      <c r="AY43" s="21" t="str">
        <f>IFERROR(VLOOKUP((CONCATENATE(AM43,AX43)),Listados!$U$3:$V$11,2,FALSE),"")</f>
        <v/>
      </c>
      <c r="AZ43" s="48">
        <f t="shared" si="10"/>
        <v>100</v>
      </c>
      <c r="BA43" s="354">
        <f>AVERAGE(AZ43:AZ48)</f>
        <v>100</v>
      </c>
      <c r="BB43" s="356" t="str">
        <f>IF(BA43&lt;=50, "Débil", IF(BA43&lt;=99,"Moderado","Fuerte"))</f>
        <v>Fuerte</v>
      </c>
      <c r="BC43" s="173">
        <f>+IF(AND(W43="Preventivo",BB43="Fuerte"),2,IF(AND(W43="Preventivo",BB43="Moderado"),1,0))</f>
        <v>0</v>
      </c>
      <c r="BD43" s="64">
        <f>+IF(AND(W43="Detectivo/Correctivo",$BB43="Fuerte"),2,IF(AND(W43="Detectivo/Correctivo",$BB43="Moderado"),1,IF(AND(W43="Preventivo",$BB43="Fuerte"),1,0)))</f>
        <v>0</v>
      </c>
      <c r="BE43" s="173" t="e">
        <f>+N43-BC43</f>
        <v>#N/A</v>
      </c>
      <c r="BF43" s="173" t="e">
        <f>+P43-BD43</f>
        <v>#N/A</v>
      </c>
      <c r="BG43" s="345" t="e">
        <f>+VLOOKUP(MIN(BE43,BE44,BE45,BE46,BE47,BE48),Listados!$J$18:$K$24,2,TRUE)</f>
        <v>#N/A</v>
      </c>
      <c r="BH43" s="345" t="e">
        <f>+VLOOKUP(MIN(BF43,BF44,BF45,BF46,BF47,BF48),Listados!$J$26:$K$32,2,TRUE)</f>
        <v>#N/A</v>
      </c>
      <c r="BI43" s="345" t="e">
        <f>IF(AND(BG43&lt;&gt;"",BH43&lt;&gt;""),VLOOKUP(BG43&amp;BH43,Listados!$M$3:$N$27,2,FALSE),"")</f>
        <v>#N/A</v>
      </c>
      <c r="BJ43" s="537" t="e">
        <f>+IF($R43="Asumir el riesgo","NA","")</f>
        <v>#N/A</v>
      </c>
      <c r="BK43" s="537" t="e">
        <f>+IF($R43="Asumir el riesgo","NA","")</f>
        <v>#N/A</v>
      </c>
      <c r="BL43" s="537" t="e">
        <f>+IF($R43="Asumir el riesgo","NA","")</f>
        <v>#N/A</v>
      </c>
      <c r="BM43" s="537" t="e">
        <f>+IF($R43="Asumir el riesgo","NA","")</f>
        <v>#N/A</v>
      </c>
    </row>
    <row r="44" spans="1:65" ht="65.099999999999994" customHeight="1" thickBot="1">
      <c r="A44" s="329"/>
      <c r="B44" s="514"/>
      <c r="C44" s="364"/>
      <c r="D44" s="233"/>
      <c r="E44" s="233"/>
      <c r="F44" s="433"/>
      <c r="G44" s="367"/>
      <c r="H44" s="100"/>
      <c r="I44" s="237"/>
      <c r="J44" s="100"/>
      <c r="K44" s="236"/>
      <c r="L44" s="222"/>
      <c r="M44" s="370"/>
      <c r="N44" s="349"/>
      <c r="O44" s="352"/>
      <c r="P44" s="349"/>
      <c r="Q44" s="353"/>
      <c r="R44" s="346"/>
      <c r="S44" s="208"/>
      <c r="T44" s="195"/>
      <c r="U44" s="47" t="s">
        <v>627</v>
      </c>
      <c r="V44" s="215"/>
      <c r="W44" s="215"/>
      <c r="X44" s="215"/>
      <c r="Y44" s="95" t="str">
        <f t="shared" si="3"/>
        <v/>
      </c>
      <c r="Z44" s="215"/>
      <c r="AA44" s="95" t="str">
        <f t="shared" si="4"/>
        <v/>
      </c>
      <c r="AB44" s="208"/>
      <c r="AC44" s="95" t="str">
        <f t="shared" si="5"/>
        <v/>
      </c>
      <c r="AD44" s="208"/>
      <c r="AE44" s="95" t="str">
        <f t="shared" si="6"/>
        <v/>
      </c>
      <c r="AF44" s="208"/>
      <c r="AG44" s="95" t="str">
        <f t="shared" si="7"/>
        <v/>
      </c>
      <c r="AH44" s="208"/>
      <c r="AI44" s="95" t="str">
        <f t="shared" si="8"/>
        <v/>
      </c>
      <c r="AJ44" s="208"/>
      <c r="AK44" s="27" t="str">
        <f t="shared" si="0"/>
        <v/>
      </c>
      <c r="AL44" s="48" t="str">
        <f t="shared" si="11"/>
        <v/>
      </c>
      <c r="AM44" s="48" t="str">
        <f t="shared" si="9"/>
        <v/>
      </c>
      <c r="AN44" s="293"/>
      <c r="AO44" s="293"/>
      <c r="AP44" s="293"/>
      <c r="AQ44" s="293"/>
      <c r="AR44" s="293"/>
      <c r="AS44" s="293"/>
      <c r="AT44" s="293"/>
      <c r="AU44" s="294" t="str">
        <f>IFERROR(VLOOKUP(AT44,'Seguridad Información'!$I$61:$J$65,2,0),"")</f>
        <v/>
      </c>
      <c r="AV44" s="79"/>
      <c r="AW44" s="78" t="str">
        <f t="shared" si="1"/>
        <v/>
      </c>
      <c r="AX44" s="77" t="str">
        <f t="shared" si="2"/>
        <v/>
      </c>
      <c r="AY44" s="21" t="str">
        <f>IFERROR(VLOOKUP((CONCATENATE(AM44,AX44)),Listados!$U$3:$V$11,2,FALSE),"")</f>
        <v/>
      </c>
      <c r="AZ44" s="48">
        <f t="shared" si="10"/>
        <v>100</v>
      </c>
      <c r="BA44" s="355"/>
      <c r="BB44" s="357"/>
      <c r="BC44" s="173">
        <f>+IF(AND(W44="Preventivo",BB43="Fuerte"),2,IF(AND(W44="Preventivo",BB43="Moderado"),1,0))</f>
        <v>0</v>
      </c>
      <c r="BD44" s="64">
        <f>+IF(AND(W44="Detectivo/Correctivo",$BB43="Fuerte"),2,IF(AND(W44="Detectivo/Correctivo",$BB44="Moderado"),1,IF(AND(W44="Preventivo",$BB43="Fuerte"),1,0)))</f>
        <v>0</v>
      </c>
      <c r="BE44" s="173" t="e">
        <f>+N43-BC44</f>
        <v>#N/A</v>
      </c>
      <c r="BF44" s="173" t="e">
        <f>+P43-BD44</f>
        <v>#N/A</v>
      </c>
      <c r="BG44" s="346"/>
      <c r="BH44" s="346"/>
      <c r="BI44" s="346"/>
      <c r="BJ44" s="538"/>
      <c r="BK44" s="538"/>
      <c r="BL44" s="538"/>
      <c r="BM44" s="538"/>
    </row>
    <row r="45" spans="1:65" ht="65.099999999999994" customHeight="1" thickBot="1">
      <c r="A45" s="329"/>
      <c r="B45" s="514"/>
      <c r="C45" s="364"/>
      <c r="D45" s="233"/>
      <c r="E45" s="233"/>
      <c r="F45" s="433"/>
      <c r="G45" s="367"/>
      <c r="H45" s="100"/>
      <c r="I45" s="237"/>
      <c r="J45" s="100"/>
      <c r="K45" s="236"/>
      <c r="L45" s="222"/>
      <c r="M45" s="370"/>
      <c r="N45" s="349"/>
      <c r="O45" s="352"/>
      <c r="P45" s="349"/>
      <c r="Q45" s="353"/>
      <c r="R45" s="346"/>
      <c r="S45" s="208"/>
      <c r="T45" s="96"/>
      <c r="U45" s="47" t="s">
        <v>627</v>
      </c>
      <c r="V45" s="215"/>
      <c r="W45" s="215"/>
      <c r="X45" s="215"/>
      <c r="Y45" s="95" t="str">
        <f t="shared" si="3"/>
        <v/>
      </c>
      <c r="Z45" s="215"/>
      <c r="AA45" s="95" t="str">
        <f t="shared" si="4"/>
        <v/>
      </c>
      <c r="AB45" s="208"/>
      <c r="AC45" s="95" t="str">
        <f t="shared" si="5"/>
        <v/>
      </c>
      <c r="AD45" s="208"/>
      <c r="AE45" s="95" t="str">
        <f t="shared" si="6"/>
        <v/>
      </c>
      <c r="AF45" s="208"/>
      <c r="AG45" s="95" t="str">
        <f t="shared" si="7"/>
        <v/>
      </c>
      <c r="AH45" s="208"/>
      <c r="AI45" s="95" t="str">
        <f t="shared" si="8"/>
        <v/>
      </c>
      <c r="AJ45" s="208"/>
      <c r="AK45" s="27" t="str">
        <f t="shared" si="0"/>
        <v/>
      </c>
      <c r="AL45" s="48" t="str">
        <f t="shared" si="11"/>
        <v/>
      </c>
      <c r="AM45" s="48" t="str">
        <f t="shared" si="9"/>
        <v/>
      </c>
      <c r="AN45" s="293"/>
      <c r="AO45" s="293"/>
      <c r="AP45" s="293"/>
      <c r="AQ45" s="293"/>
      <c r="AR45" s="293"/>
      <c r="AS45" s="293"/>
      <c r="AT45" s="293"/>
      <c r="AU45" s="294" t="str">
        <f>IFERROR(VLOOKUP(AT45,'Seguridad Información'!$I$61:$J$65,2,0),"")</f>
        <v/>
      </c>
      <c r="AV45" s="79"/>
      <c r="AW45" s="78" t="str">
        <f t="shared" si="1"/>
        <v/>
      </c>
      <c r="AX45" s="77" t="str">
        <f t="shared" si="2"/>
        <v/>
      </c>
      <c r="AY45" s="21" t="str">
        <f>IFERROR(VLOOKUP((CONCATENATE(AM45,AX45)),Listados!$U$3:$V$11,2,FALSE),"")</f>
        <v/>
      </c>
      <c r="AZ45" s="48">
        <f t="shared" si="10"/>
        <v>100</v>
      </c>
      <c r="BA45" s="355"/>
      <c r="BB45" s="357"/>
      <c r="BC45" s="173">
        <f>+IF(AND(W45="Preventivo",BB43="Fuerte"),2,IF(AND(W45="Preventivo",BB43="Moderado"),1,0))</f>
        <v>0</v>
      </c>
      <c r="BD45" s="64">
        <f>+IF(AND(W45="Detectivo/Correctivo",$BB43="Fuerte"),2,IF(AND(W45="Detectivo/Correctivo",$BB45="Moderado"),1,IF(AND(W45="Preventivo",$BB43="Fuerte"),1,0)))</f>
        <v>0</v>
      </c>
      <c r="BE45" s="173" t="e">
        <f>+N43-BC45</f>
        <v>#N/A</v>
      </c>
      <c r="BF45" s="173" t="e">
        <f>+P43-BD45</f>
        <v>#N/A</v>
      </c>
      <c r="BG45" s="346"/>
      <c r="BH45" s="346"/>
      <c r="BI45" s="346"/>
      <c r="BJ45" s="538"/>
      <c r="BK45" s="538"/>
      <c r="BL45" s="538"/>
      <c r="BM45" s="538"/>
    </row>
    <row r="46" spans="1:65" ht="65.099999999999994" customHeight="1" thickBot="1">
      <c r="A46" s="329"/>
      <c r="B46" s="514"/>
      <c r="C46" s="364"/>
      <c r="D46" s="233"/>
      <c r="E46" s="233"/>
      <c r="F46" s="433"/>
      <c r="G46" s="367"/>
      <c r="H46" s="100"/>
      <c r="I46" s="237"/>
      <c r="J46" s="100"/>
      <c r="K46" s="236"/>
      <c r="L46" s="222"/>
      <c r="M46" s="370"/>
      <c r="N46" s="349"/>
      <c r="O46" s="352"/>
      <c r="P46" s="349"/>
      <c r="Q46" s="353"/>
      <c r="R46" s="346"/>
      <c r="S46" s="208"/>
      <c r="T46" s="97"/>
      <c r="U46" s="47" t="s">
        <v>627</v>
      </c>
      <c r="V46" s="215"/>
      <c r="W46" s="215"/>
      <c r="X46" s="215"/>
      <c r="Y46" s="95" t="str">
        <f t="shared" si="3"/>
        <v/>
      </c>
      <c r="Z46" s="215"/>
      <c r="AA46" s="95" t="str">
        <f t="shared" si="4"/>
        <v/>
      </c>
      <c r="AB46" s="208"/>
      <c r="AC46" s="95" t="str">
        <f t="shared" si="5"/>
        <v/>
      </c>
      <c r="AD46" s="208"/>
      <c r="AE46" s="95" t="str">
        <f t="shared" si="6"/>
        <v/>
      </c>
      <c r="AF46" s="208"/>
      <c r="AG46" s="95" t="str">
        <f t="shared" si="7"/>
        <v/>
      </c>
      <c r="AH46" s="208"/>
      <c r="AI46" s="95" t="str">
        <f t="shared" si="8"/>
        <v/>
      </c>
      <c r="AJ46" s="208"/>
      <c r="AK46" s="27" t="str">
        <f t="shared" si="0"/>
        <v/>
      </c>
      <c r="AL46" s="48" t="str">
        <f t="shared" si="11"/>
        <v/>
      </c>
      <c r="AM46" s="48" t="str">
        <f t="shared" si="9"/>
        <v/>
      </c>
      <c r="AN46" s="293"/>
      <c r="AO46" s="293"/>
      <c r="AP46" s="293"/>
      <c r="AQ46" s="293"/>
      <c r="AR46" s="293"/>
      <c r="AS46" s="293"/>
      <c r="AT46" s="293"/>
      <c r="AU46" s="294" t="str">
        <f>IFERROR(VLOOKUP(AT46,'Seguridad Información'!$I$61:$J$65,2,0),"")</f>
        <v/>
      </c>
      <c r="AV46" s="79"/>
      <c r="AW46" s="78" t="str">
        <f t="shared" si="1"/>
        <v/>
      </c>
      <c r="AX46" s="77" t="str">
        <f t="shared" si="2"/>
        <v/>
      </c>
      <c r="AY46" s="21" t="str">
        <f>IFERROR(VLOOKUP((CONCATENATE(AM46,AX46)),Listados!$U$3:$V$11,2,FALSE),"")</f>
        <v/>
      </c>
      <c r="AZ46" s="48">
        <f t="shared" si="10"/>
        <v>100</v>
      </c>
      <c r="BA46" s="355"/>
      <c r="BB46" s="357"/>
      <c r="BC46" s="173">
        <f>+IF(AND(W46="Preventivo",BB43="Fuerte"),2,IF(AND(W46="Preventivo",BB43="Moderado"),1,0))</f>
        <v>0</v>
      </c>
      <c r="BD46" s="64">
        <f>+IF(AND(W46="Detectivo/Correctivo",$BB43="Fuerte"),2,IF(AND(W46="Detectivo/Correctivo",$BB46="Moderado"),1,IF(AND(W46="Preventivo",$BB43="Fuerte"),1,0)))</f>
        <v>0</v>
      </c>
      <c r="BE46" s="173" t="e">
        <f>+N43-BC46</f>
        <v>#N/A</v>
      </c>
      <c r="BF46" s="173" t="e">
        <f>+P43-BD46</f>
        <v>#N/A</v>
      </c>
      <c r="BG46" s="346"/>
      <c r="BH46" s="346"/>
      <c r="BI46" s="346"/>
      <c r="BJ46" s="538"/>
      <c r="BK46" s="538"/>
      <c r="BL46" s="538"/>
      <c r="BM46" s="538"/>
    </row>
    <row r="47" spans="1:65" ht="65.099999999999994" customHeight="1" thickBot="1">
      <c r="A47" s="329"/>
      <c r="B47" s="514"/>
      <c r="C47" s="364"/>
      <c r="D47" s="109"/>
      <c r="E47" s="109"/>
      <c r="F47" s="433"/>
      <c r="G47" s="367"/>
      <c r="H47" s="100"/>
      <c r="I47" s="237"/>
      <c r="J47" s="100"/>
      <c r="K47" s="29"/>
      <c r="L47" s="222"/>
      <c r="M47" s="370"/>
      <c r="N47" s="349"/>
      <c r="O47" s="352"/>
      <c r="P47" s="349"/>
      <c r="Q47" s="353"/>
      <c r="R47" s="346"/>
      <c r="S47" s="208"/>
      <c r="T47" s="195"/>
      <c r="U47" s="47" t="s">
        <v>627</v>
      </c>
      <c r="V47" s="215"/>
      <c r="W47" s="215"/>
      <c r="X47" s="215"/>
      <c r="Y47" s="95" t="str">
        <f t="shared" si="3"/>
        <v/>
      </c>
      <c r="Z47" s="215"/>
      <c r="AA47" s="95" t="str">
        <f t="shared" si="4"/>
        <v/>
      </c>
      <c r="AB47" s="208"/>
      <c r="AC47" s="95" t="str">
        <f t="shared" si="5"/>
        <v/>
      </c>
      <c r="AD47" s="208"/>
      <c r="AE47" s="95" t="str">
        <f t="shared" si="6"/>
        <v/>
      </c>
      <c r="AF47" s="208"/>
      <c r="AG47" s="95" t="str">
        <f t="shared" si="7"/>
        <v/>
      </c>
      <c r="AH47" s="208"/>
      <c r="AI47" s="95" t="str">
        <f t="shared" si="8"/>
        <v/>
      </c>
      <c r="AJ47" s="208"/>
      <c r="AK47" s="27" t="str">
        <f t="shared" si="0"/>
        <v/>
      </c>
      <c r="AL47" s="48" t="str">
        <f t="shared" si="11"/>
        <v/>
      </c>
      <c r="AM47" s="48" t="str">
        <f t="shared" si="9"/>
        <v/>
      </c>
      <c r="AN47" s="293"/>
      <c r="AO47" s="293"/>
      <c r="AP47" s="293"/>
      <c r="AQ47" s="293"/>
      <c r="AR47" s="293"/>
      <c r="AS47" s="293"/>
      <c r="AT47" s="293"/>
      <c r="AU47" s="294" t="str">
        <f>IFERROR(VLOOKUP(AT47,'Seguridad Información'!$I$61:$J$65,2,0),"")</f>
        <v/>
      </c>
      <c r="AV47" s="79"/>
      <c r="AW47" s="78" t="str">
        <f t="shared" si="1"/>
        <v/>
      </c>
      <c r="AX47" s="77" t="str">
        <f t="shared" si="2"/>
        <v/>
      </c>
      <c r="AY47" s="21" t="str">
        <f>IFERROR(VLOOKUP((CONCATENATE(AM47,AX47)),Listados!$U$3:$V$11,2,FALSE),"")</f>
        <v/>
      </c>
      <c r="AZ47" s="48">
        <f t="shared" si="10"/>
        <v>100</v>
      </c>
      <c r="BA47" s="355"/>
      <c r="BB47" s="357"/>
      <c r="BC47" s="173">
        <f>+IF(AND(W47="Preventivo",BB43="Fuerte"),2,IF(AND(W47="Preventivo",BB43="Moderado"),1,0))</f>
        <v>0</v>
      </c>
      <c r="BD47" s="64">
        <f>+IF(AND(W47="Detectivo/Correctivo",$BB43="Fuerte"),2,IF(AND(W47="Detectivo/Correctivo",$BB47="Moderado"),1,IF(AND(W47="Preventivo",$BB43="Fuerte"),1,0)))</f>
        <v>0</v>
      </c>
      <c r="BE47" s="173" t="e">
        <f>+N43-BC47</f>
        <v>#N/A</v>
      </c>
      <c r="BF47" s="173" t="e">
        <f>+P43-BD47</f>
        <v>#N/A</v>
      </c>
      <c r="BG47" s="346"/>
      <c r="BH47" s="346"/>
      <c r="BI47" s="346"/>
      <c r="BJ47" s="538"/>
      <c r="BK47" s="538"/>
      <c r="BL47" s="538"/>
      <c r="BM47" s="538"/>
    </row>
    <row r="48" spans="1:65" ht="65.099999999999994" customHeight="1" thickBot="1">
      <c r="A48" s="330"/>
      <c r="B48" s="514"/>
      <c r="C48" s="365"/>
      <c r="D48" s="106"/>
      <c r="E48" s="106"/>
      <c r="F48" s="434"/>
      <c r="G48" s="368"/>
      <c r="H48" s="100"/>
      <c r="I48" s="237"/>
      <c r="J48" s="100"/>
      <c r="K48" s="31"/>
      <c r="L48" s="222"/>
      <c r="M48" s="370"/>
      <c r="N48" s="350"/>
      <c r="O48" s="352"/>
      <c r="P48" s="350"/>
      <c r="Q48" s="353"/>
      <c r="R48" s="347"/>
      <c r="S48" s="208"/>
      <c r="T48" s="98"/>
      <c r="U48" s="47" t="s">
        <v>627</v>
      </c>
      <c r="V48" s="215"/>
      <c r="W48" s="215"/>
      <c r="X48" s="215"/>
      <c r="Y48" s="95" t="str">
        <f t="shared" si="3"/>
        <v/>
      </c>
      <c r="Z48" s="215"/>
      <c r="AA48" s="95" t="str">
        <f t="shared" si="4"/>
        <v/>
      </c>
      <c r="AB48" s="208"/>
      <c r="AC48" s="95" t="str">
        <f t="shared" si="5"/>
        <v/>
      </c>
      <c r="AD48" s="208"/>
      <c r="AE48" s="95" t="str">
        <f t="shared" si="6"/>
        <v/>
      </c>
      <c r="AF48" s="208"/>
      <c r="AG48" s="95" t="str">
        <f t="shared" si="7"/>
        <v/>
      </c>
      <c r="AH48" s="208"/>
      <c r="AI48" s="95" t="str">
        <f t="shared" si="8"/>
        <v/>
      </c>
      <c r="AJ48" s="208"/>
      <c r="AK48" s="27" t="str">
        <f t="shared" si="0"/>
        <v/>
      </c>
      <c r="AL48" s="48" t="str">
        <f t="shared" si="11"/>
        <v/>
      </c>
      <c r="AM48" s="48" t="str">
        <f t="shared" si="9"/>
        <v/>
      </c>
      <c r="AN48" s="293"/>
      <c r="AO48" s="293"/>
      <c r="AP48" s="293"/>
      <c r="AQ48" s="293"/>
      <c r="AR48" s="293"/>
      <c r="AS48" s="293"/>
      <c r="AT48" s="293"/>
      <c r="AU48" s="294" t="str">
        <f>IFERROR(VLOOKUP(AT48,'Seguridad Información'!$I$61:$J$65,2,0),"")</f>
        <v/>
      </c>
      <c r="AV48" s="79"/>
      <c r="AW48" s="78" t="str">
        <f t="shared" si="1"/>
        <v/>
      </c>
      <c r="AX48" s="77" t="str">
        <f t="shared" si="2"/>
        <v/>
      </c>
      <c r="AY48" s="21" t="str">
        <f>IFERROR(VLOOKUP((CONCATENATE(AM48,AX48)),Listados!$U$3:$V$11,2,FALSE),"")</f>
        <v/>
      </c>
      <c r="AZ48" s="48">
        <f t="shared" si="10"/>
        <v>100</v>
      </c>
      <c r="BA48" s="356"/>
      <c r="BB48" s="357"/>
      <c r="BC48" s="173">
        <f>+IF(AND(W48="Preventivo",BB43="Fuerte"),2,IF(AND(W48="Preventivo",BB43="Moderado"),1,0))</f>
        <v>0</v>
      </c>
      <c r="BD48" s="64">
        <f>+IF(AND(W48="Detectivo/Correctivo",$BB43="Fuerte"),2,IF(AND(W48="Detectivo/Correctivo",$BB48="Moderado"),1,IF(AND(W48="Preventivo",$BB43="Fuerte"),1,0)))</f>
        <v>0</v>
      </c>
      <c r="BE48" s="173" t="e">
        <f>+N43-BC48</f>
        <v>#N/A</v>
      </c>
      <c r="BF48" s="173" t="e">
        <f>+P43-BD48</f>
        <v>#N/A</v>
      </c>
      <c r="BG48" s="347"/>
      <c r="BH48" s="347"/>
      <c r="BI48" s="347"/>
      <c r="BJ48" s="539"/>
      <c r="BK48" s="539"/>
      <c r="BL48" s="539"/>
      <c r="BM48" s="539"/>
    </row>
    <row r="49" spans="1:65" ht="65.099999999999994" customHeight="1" thickBot="1">
      <c r="A49" s="328">
        <v>8</v>
      </c>
      <c r="B49" s="519"/>
      <c r="C49" s="371" t="str">
        <f>IFERROR(VLOOKUP(B49,Listados!B$3:C$20,2,FALSE),"")</f>
        <v/>
      </c>
      <c r="D49" s="107"/>
      <c r="E49" s="107"/>
      <c r="F49" s="432"/>
      <c r="G49" s="372"/>
      <c r="H49" s="100"/>
      <c r="I49" s="237"/>
      <c r="J49" s="100"/>
      <c r="K49" s="103"/>
      <c r="L49" s="17"/>
      <c r="M49" s="369"/>
      <c r="N49" s="348" t="e">
        <f>+VLOOKUP(M49,Listados!$K$8:$L$12,2,0)</f>
        <v>#N/A</v>
      </c>
      <c r="O49" s="351"/>
      <c r="P49" s="348" t="e">
        <f>+VLOOKUP(O49,Listados!$K$13:$L$17,2,0)</f>
        <v>#N/A</v>
      </c>
      <c r="Q49" s="347" t="str">
        <f>IF(AND(M49&lt;&gt;"",O49&lt;&gt;""),VLOOKUP(M49&amp;O49,Listados!$M$3:$N$27,2,FALSE),"")</f>
        <v/>
      </c>
      <c r="R49" s="345" t="e">
        <f>+VLOOKUP(Q49,Listados!$P$3:$Q$6,2,FALSE)</f>
        <v>#N/A</v>
      </c>
      <c r="S49" s="208"/>
      <c r="T49" s="94"/>
      <c r="U49" s="47" t="s">
        <v>627</v>
      </c>
      <c r="V49" s="215"/>
      <c r="W49" s="215"/>
      <c r="X49" s="215"/>
      <c r="Y49" s="95" t="str">
        <f t="shared" si="3"/>
        <v/>
      </c>
      <c r="Z49" s="215"/>
      <c r="AA49" s="95" t="str">
        <f t="shared" si="4"/>
        <v/>
      </c>
      <c r="AB49" s="208"/>
      <c r="AC49" s="95" t="str">
        <f t="shared" si="5"/>
        <v/>
      </c>
      <c r="AD49" s="208"/>
      <c r="AE49" s="95" t="str">
        <f t="shared" si="6"/>
        <v/>
      </c>
      <c r="AF49" s="208"/>
      <c r="AG49" s="95" t="str">
        <f t="shared" si="7"/>
        <v/>
      </c>
      <c r="AH49" s="208"/>
      <c r="AI49" s="95" t="str">
        <f t="shared" si="8"/>
        <v/>
      </c>
      <c r="AJ49" s="208"/>
      <c r="AK49" s="27" t="str">
        <f t="shared" si="0"/>
        <v/>
      </c>
      <c r="AL49" s="48" t="str">
        <f t="shared" si="11"/>
        <v/>
      </c>
      <c r="AM49" s="48" t="str">
        <f t="shared" si="9"/>
        <v/>
      </c>
      <c r="AN49" s="293"/>
      <c r="AO49" s="293"/>
      <c r="AP49" s="293"/>
      <c r="AQ49" s="293"/>
      <c r="AR49" s="293"/>
      <c r="AS49" s="293"/>
      <c r="AT49" s="293"/>
      <c r="AU49" s="294" t="str">
        <f>IFERROR(VLOOKUP(AT49,'Seguridad Información'!$I$61:$J$65,2,0),"")</f>
        <v/>
      </c>
      <c r="AV49" s="79"/>
      <c r="AW49" s="78" t="str">
        <f t="shared" si="1"/>
        <v/>
      </c>
      <c r="AX49" s="77" t="str">
        <f t="shared" si="2"/>
        <v/>
      </c>
      <c r="AY49" s="21" t="str">
        <f>IFERROR(VLOOKUP((CONCATENATE(AM49,AX49)),Listados!$U$3:$V$11,2,FALSE),"")</f>
        <v/>
      </c>
      <c r="AZ49" s="48">
        <f t="shared" si="10"/>
        <v>100</v>
      </c>
      <c r="BA49" s="354">
        <f>AVERAGE(AZ49:AZ54)</f>
        <v>100</v>
      </c>
      <c r="BB49" s="356" t="str">
        <f>IF(BA49&lt;=50, "Débil", IF(BA49&lt;=99,"Moderado","Fuerte"))</f>
        <v>Fuerte</v>
      </c>
      <c r="BC49" s="173">
        <f>+IF(AND(W49="Preventivo",BB49="Fuerte"),2,IF(AND(W49="Preventivo",BB49="Moderado"),1,0))</f>
        <v>0</v>
      </c>
      <c r="BD49" s="64">
        <f>+IF(AND(W49="Detectivo/Correctivo",$BB49="Fuerte"),2,IF(AND(W49="Detectivo/Correctivo",$BB49="Moderado"),1,IF(AND(W49="Preventivo",$BB49="Fuerte"),1,0)))</f>
        <v>0</v>
      </c>
      <c r="BE49" s="173" t="e">
        <f>+N49-BC49</f>
        <v>#N/A</v>
      </c>
      <c r="BF49" s="173" t="e">
        <f>+P49-BD49</f>
        <v>#N/A</v>
      </c>
      <c r="BG49" s="345" t="e">
        <f>+VLOOKUP(MIN(BE49,BE50,BE51,BE52,BE53,BE54),Listados!$J$18:$K$24,2,TRUE)</f>
        <v>#N/A</v>
      </c>
      <c r="BH49" s="345" t="e">
        <f>+VLOOKUP(MIN(BF49,BF50,BF51,BF52,BF53,BF54),Listados!$J$27:$K$32,2,TRUE)</f>
        <v>#N/A</v>
      </c>
      <c r="BI49" s="345" t="e">
        <f>IF(AND(BG49&lt;&gt;"",BH49&lt;&gt;""),VLOOKUP(BG49&amp;BH49,Listados!$M$3:$N$27,2,FALSE),"")</f>
        <v>#N/A</v>
      </c>
      <c r="BJ49" s="537" t="e">
        <f>+IF($R49="Asumir el riesgo","NA","")</f>
        <v>#N/A</v>
      </c>
      <c r="BK49" s="537" t="e">
        <f>+IF($R49="Asumir el riesgo","NA","")</f>
        <v>#N/A</v>
      </c>
      <c r="BL49" s="537" t="e">
        <f>+IF($R49="Asumir el riesgo","NA","")</f>
        <v>#N/A</v>
      </c>
      <c r="BM49" s="537" t="e">
        <f>+IF($R49="Asumir el riesgo","NA","")</f>
        <v>#N/A</v>
      </c>
    </row>
    <row r="50" spans="1:65" ht="65.099999999999994" customHeight="1" thickBot="1">
      <c r="A50" s="329"/>
      <c r="B50" s="514"/>
      <c r="C50" s="364"/>
      <c r="D50" s="233"/>
      <c r="E50" s="233"/>
      <c r="F50" s="433"/>
      <c r="G50" s="367"/>
      <c r="H50" s="100"/>
      <c r="I50" s="237"/>
      <c r="J50" s="100"/>
      <c r="K50" s="236"/>
      <c r="L50" s="222"/>
      <c r="M50" s="370"/>
      <c r="N50" s="349"/>
      <c r="O50" s="352"/>
      <c r="P50" s="349"/>
      <c r="Q50" s="353"/>
      <c r="R50" s="346"/>
      <c r="S50" s="208"/>
      <c r="T50" s="195"/>
      <c r="U50" s="47" t="s">
        <v>627</v>
      </c>
      <c r="V50" s="215"/>
      <c r="W50" s="215"/>
      <c r="X50" s="215"/>
      <c r="Y50" s="95" t="str">
        <f t="shared" si="3"/>
        <v/>
      </c>
      <c r="Z50" s="215"/>
      <c r="AA50" s="95" t="str">
        <f t="shared" si="4"/>
        <v/>
      </c>
      <c r="AB50" s="208"/>
      <c r="AC50" s="95" t="str">
        <f t="shared" si="5"/>
        <v/>
      </c>
      <c r="AD50" s="208"/>
      <c r="AE50" s="95" t="str">
        <f t="shared" si="6"/>
        <v/>
      </c>
      <c r="AF50" s="208"/>
      <c r="AG50" s="95" t="str">
        <f t="shared" si="7"/>
        <v/>
      </c>
      <c r="AH50" s="208"/>
      <c r="AI50" s="95" t="str">
        <f t="shared" si="8"/>
        <v/>
      </c>
      <c r="AJ50" s="208"/>
      <c r="AK50" s="27" t="str">
        <f t="shared" si="0"/>
        <v/>
      </c>
      <c r="AL50" s="48" t="str">
        <f t="shared" si="11"/>
        <v/>
      </c>
      <c r="AM50" s="48" t="str">
        <f t="shared" si="9"/>
        <v/>
      </c>
      <c r="AN50" s="293"/>
      <c r="AO50" s="293"/>
      <c r="AP50" s="293"/>
      <c r="AQ50" s="293"/>
      <c r="AR50" s="293"/>
      <c r="AS50" s="293"/>
      <c r="AT50" s="293"/>
      <c r="AU50" s="294" t="str">
        <f>IFERROR(VLOOKUP(AT50,'Seguridad Información'!$I$61:$J$65,2,0),"")</f>
        <v/>
      </c>
      <c r="AV50" s="79"/>
      <c r="AW50" s="78" t="str">
        <f t="shared" si="1"/>
        <v/>
      </c>
      <c r="AX50" s="77" t="str">
        <f t="shared" si="2"/>
        <v/>
      </c>
      <c r="AY50" s="21" t="str">
        <f>IFERROR(VLOOKUP((CONCATENATE(AM50,AX50)),Listados!$U$3:$V$11,2,FALSE),"")</f>
        <v/>
      </c>
      <c r="AZ50" s="48">
        <f t="shared" si="10"/>
        <v>100</v>
      </c>
      <c r="BA50" s="355"/>
      <c r="BB50" s="357"/>
      <c r="BC50" s="173">
        <f>+IF(AND(W50="Preventivo",BB49="Fuerte"),2,IF(AND(W50="Preventivo",BB49="Moderado"),1,0))</f>
        <v>0</v>
      </c>
      <c r="BD50" s="64">
        <f>+IF(AND(W50="Detectivo/Correctivo",$BB49="Fuerte"),2,IF(AND(W50="Detectivo/Correctivo",$BB50="Moderado"),1,IF(AND(W50="Preventivo",$BB49="Fuerte"),1,0)))</f>
        <v>0</v>
      </c>
      <c r="BE50" s="173" t="e">
        <f>+N49-BC50</f>
        <v>#N/A</v>
      </c>
      <c r="BF50" s="173" t="e">
        <f>+P49-BD50</f>
        <v>#N/A</v>
      </c>
      <c r="BG50" s="346"/>
      <c r="BH50" s="346"/>
      <c r="BI50" s="346"/>
      <c r="BJ50" s="538"/>
      <c r="BK50" s="538"/>
      <c r="BL50" s="538"/>
      <c r="BM50" s="538"/>
    </row>
    <row r="51" spans="1:65" ht="65.099999999999994" customHeight="1" thickBot="1">
      <c r="A51" s="329"/>
      <c r="B51" s="514"/>
      <c r="C51" s="364"/>
      <c r="D51" s="233"/>
      <c r="E51" s="233"/>
      <c r="F51" s="433"/>
      <c r="G51" s="367"/>
      <c r="H51" s="100"/>
      <c r="I51" s="237"/>
      <c r="J51" s="100"/>
      <c r="K51" s="236"/>
      <c r="L51" s="222"/>
      <c r="M51" s="370"/>
      <c r="N51" s="349"/>
      <c r="O51" s="352"/>
      <c r="P51" s="349"/>
      <c r="Q51" s="353"/>
      <c r="R51" s="346"/>
      <c r="S51" s="208"/>
      <c r="T51" s="96"/>
      <c r="U51" s="47" t="s">
        <v>627</v>
      </c>
      <c r="V51" s="215"/>
      <c r="W51" s="215"/>
      <c r="X51" s="215"/>
      <c r="Y51" s="95" t="str">
        <f t="shared" si="3"/>
        <v/>
      </c>
      <c r="Z51" s="215"/>
      <c r="AA51" s="95" t="str">
        <f t="shared" si="4"/>
        <v/>
      </c>
      <c r="AB51" s="208"/>
      <c r="AC51" s="95" t="str">
        <f t="shared" si="5"/>
        <v/>
      </c>
      <c r="AD51" s="208"/>
      <c r="AE51" s="95" t="str">
        <f t="shared" si="6"/>
        <v/>
      </c>
      <c r="AF51" s="208"/>
      <c r="AG51" s="95" t="str">
        <f t="shared" si="7"/>
        <v/>
      </c>
      <c r="AH51" s="208"/>
      <c r="AI51" s="95" t="str">
        <f t="shared" si="8"/>
        <v/>
      </c>
      <c r="AJ51" s="208"/>
      <c r="AK51" s="27" t="str">
        <f t="shared" si="0"/>
        <v/>
      </c>
      <c r="AL51" s="48" t="str">
        <f t="shared" si="11"/>
        <v/>
      </c>
      <c r="AM51" s="48" t="str">
        <f t="shared" si="9"/>
        <v/>
      </c>
      <c r="AN51" s="293"/>
      <c r="AO51" s="293"/>
      <c r="AP51" s="293"/>
      <c r="AQ51" s="293"/>
      <c r="AR51" s="293"/>
      <c r="AS51" s="293"/>
      <c r="AT51" s="293"/>
      <c r="AU51" s="294" t="str">
        <f>IFERROR(VLOOKUP(AT51,'Seguridad Información'!$I$61:$J$65,2,0),"")</f>
        <v/>
      </c>
      <c r="AV51" s="79"/>
      <c r="AW51" s="78" t="str">
        <f t="shared" si="1"/>
        <v/>
      </c>
      <c r="AX51" s="77" t="str">
        <f t="shared" si="2"/>
        <v/>
      </c>
      <c r="AY51" s="21" t="str">
        <f>IFERROR(VLOOKUP((CONCATENATE(AM51,AX51)),Listados!$U$3:$V$11,2,FALSE),"")</f>
        <v/>
      </c>
      <c r="AZ51" s="48">
        <f t="shared" si="10"/>
        <v>100</v>
      </c>
      <c r="BA51" s="355"/>
      <c r="BB51" s="357"/>
      <c r="BC51" s="173">
        <f>+IF(AND(W51="Preventivo",BB49="Fuerte"),2,IF(AND(W51="Preventivo",BB49="Moderado"),1,0))</f>
        <v>0</v>
      </c>
      <c r="BD51" s="64">
        <f>+IF(AND(W51="Detectivo/Correctivo",$BB49="Fuerte"),2,IF(AND(W51="Detectivo/Correctivo",$BB51="Moderado"),1,IF(AND(W51="Preventivo",$BB49="Fuerte"),1,0)))</f>
        <v>0</v>
      </c>
      <c r="BE51" s="173" t="e">
        <f>+N49-BC51</f>
        <v>#N/A</v>
      </c>
      <c r="BF51" s="173" t="e">
        <f>+P49-BD51</f>
        <v>#N/A</v>
      </c>
      <c r="BG51" s="346"/>
      <c r="BH51" s="346"/>
      <c r="BI51" s="346"/>
      <c r="BJ51" s="538"/>
      <c r="BK51" s="538"/>
      <c r="BL51" s="538"/>
      <c r="BM51" s="538"/>
    </row>
    <row r="52" spans="1:65" ht="65.099999999999994" customHeight="1" thickBot="1">
      <c r="A52" s="329"/>
      <c r="B52" s="514"/>
      <c r="C52" s="364"/>
      <c r="D52" s="233"/>
      <c r="E52" s="233"/>
      <c r="F52" s="433"/>
      <c r="G52" s="367"/>
      <c r="H52" s="100"/>
      <c r="I52" s="237"/>
      <c r="J52" s="100"/>
      <c r="K52" s="236"/>
      <c r="L52" s="222"/>
      <c r="M52" s="370"/>
      <c r="N52" s="349"/>
      <c r="O52" s="352"/>
      <c r="P52" s="349"/>
      <c r="Q52" s="353"/>
      <c r="R52" s="346"/>
      <c r="S52" s="208"/>
      <c r="T52" s="97"/>
      <c r="U52" s="47" t="s">
        <v>627</v>
      </c>
      <c r="V52" s="215"/>
      <c r="W52" s="215"/>
      <c r="X52" s="215"/>
      <c r="Y52" s="95" t="str">
        <f t="shared" si="3"/>
        <v/>
      </c>
      <c r="Z52" s="215"/>
      <c r="AA52" s="95" t="str">
        <f t="shared" si="4"/>
        <v/>
      </c>
      <c r="AB52" s="208"/>
      <c r="AC52" s="95" t="str">
        <f t="shared" si="5"/>
        <v/>
      </c>
      <c r="AD52" s="208"/>
      <c r="AE52" s="95" t="str">
        <f t="shared" si="6"/>
        <v/>
      </c>
      <c r="AF52" s="208"/>
      <c r="AG52" s="95" t="str">
        <f t="shared" si="7"/>
        <v/>
      </c>
      <c r="AH52" s="208"/>
      <c r="AI52" s="95" t="str">
        <f t="shared" si="8"/>
        <v/>
      </c>
      <c r="AJ52" s="208"/>
      <c r="AK52" s="27" t="str">
        <f t="shared" si="0"/>
        <v/>
      </c>
      <c r="AL52" s="48" t="str">
        <f t="shared" si="11"/>
        <v/>
      </c>
      <c r="AM52" s="48" t="str">
        <f t="shared" si="9"/>
        <v/>
      </c>
      <c r="AN52" s="293"/>
      <c r="AO52" s="293"/>
      <c r="AP52" s="293"/>
      <c r="AQ52" s="293"/>
      <c r="AR52" s="293"/>
      <c r="AS52" s="293"/>
      <c r="AT52" s="293"/>
      <c r="AU52" s="294" t="str">
        <f>IFERROR(VLOOKUP(AT52,'Seguridad Información'!$I$61:$J$65,2,0),"")</f>
        <v/>
      </c>
      <c r="AV52" s="79"/>
      <c r="AW52" s="78" t="str">
        <f t="shared" si="1"/>
        <v/>
      </c>
      <c r="AX52" s="77" t="str">
        <f t="shared" si="2"/>
        <v/>
      </c>
      <c r="AY52" s="21" t="str">
        <f>IFERROR(VLOOKUP((CONCATENATE(AM52,AX52)),Listados!$U$3:$V$11,2,FALSE),"")</f>
        <v/>
      </c>
      <c r="AZ52" s="48">
        <f t="shared" si="10"/>
        <v>100</v>
      </c>
      <c r="BA52" s="355"/>
      <c r="BB52" s="357"/>
      <c r="BC52" s="173">
        <f>+IF(AND(W52="Preventivo",BB49="Fuerte"),2,IF(AND(W52="Preventivo",BB49="Moderado"),1,0))</f>
        <v>0</v>
      </c>
      <c r="BD52" s="64">
        <f>+IF(AND(W52="Detectivo/Correctivo",$BB49="Fuerte"),2,IF(AND(W52="Detectivo/Correctivo",$BB52="Moderado"),1,IF(AND(W52="Preventivo",$BB49="Fuerte"),1,0)))</f>
        <v>0</v>
      </c>
      <c r="BE52" s="173" t="e">
        <f>+N49-BC52</f>
        <v>#N/A</v>
      </c>
      <c r="BF52" s="173" t="e">
        <f>+P49-BD52</f>
        <v>#N/A</v>
      </c>
      <c r="BG52" s="346"/>
      <c r="BH52" s="346"/>
      <c r="BI52" s="346"/>
      <c r="BJ52" s="538"/>
      <c r="BK52" s="538"/>
      <c r="BL52" s="538"/>
      <c r="BM52" s="538"/>
    </row>
    <row r="53" spans="1:65" ht="65.099999999999994" customHeight="1" thickBot="1">
      <c r="A53" s="329"/>
      <c r="B53" s="514"/>
      <c r="C53" s="364"/>
      <c r="D53" s="109"/>
      <c r="E53" s="109"/>
      <c r="F53" s="433"/>
      <c r="G53" s="367"/>
      <c r="H53" s="100"/>
      <c r="I53" s="237"/>
      <c r="J53" s="100"/>
      <c r="K53" s="29"/>
      <c r="L53" s="222"/>
      <c r="M53" s="370"/>
      <c r="N53" s="349"/>
      <c r="O53" s="352"/>
      <c r="P53" s="349"/>
      <c r="Q53" s="353"/>
      <c r="R53" s="346"/>
      <c r="S53" s="208"/>
      <c r="T53" s="195"/>
      <c r="U53" s="47" t="s">
        <v>627</v>
      </c>
      <c r="V53" s="215"/>
      <c r="W53" s="215"/>
      <c r="X53" s="215"/>
      <c r="Y53" s="95" t="str">
        <f t="shared" si="3"/>
        <v/>
      </c>
      <c r="Z53" s="215"/>
      <c r="AA53" s="95" t="str">
        <f t="shared" si="4"/>
        <v/>
      </c>
      <c r="AB53" s="208"/>
      <c r="AC53" s="95" t="str">
        <f t="shared" si="5"/>
        <v/>
      </c>
      <c r="AD53" s="208"/>
      <c r="AE53" s="95" t="str">
        <f t="shared" si="6"/>
        <v/>
      </c>
      <c r="AF53" s="208"/>
      <c r="AG53" s="95" t="str">
        <f t="shared" si="7"/>
        <v/>
      </c>
      <c r="AH53" s="208"/>
      <c r="AI53" s="95" t="str">
        <f t="shared" si="8"/>
        <v/>
      </c>
      <c r="AJ53" s="208"/>
      <c r="AK53" s="27" t="str">
        <f t="shared" si="0"/>
        <v/>
      </c>
      <c r="AL53" s="48" t="str">
        <f t="shared" si="11"/>
        <v/>
      </c>
      <c r="AM53" s="48" t="str">
        <f t="shared" si="9"/>
        <v/>
      </c>
      <c r="AN53" s="293"/>
      <c r="AO53" s="293"/>
      <c r="AP53" s="293"/>
      <c r="AQ53" s="293"/>
      <c r="AR53" s="293"/>
      <c r="AS53" s="293"/>
      <c r="AT53" s="293"/>
      <c r="AU53" s="294" t="str">
        <f>IFERROR(VLOOKUP(AT53,'Seguridad Información'!$I$61:$J$65,2,0),"")</f>
        <v/>
      </c>
      <c r="AV53" s="79"/>
      <c r="AW53" s="78" t="str">
        <f t="shared" si="1"/>
        <v/>
      </c>
      <c r="AX53" s="77" t="str">
        <f t="shared" si="2"/>
        <v/>
      </c>
      <c r="AY53" s="21" t="str">
        <f>IFERROR(VLOOKUP((CONCATENATE(AM53,AX53)),Listados!$U$3:$V$11,2,FALSE),"")</f>
        <v/>
      </c>
      <c r="AZ53" s="48">
        <f t="shared" si="10"/>
        <v>100</v>
      </c>
      <c r="BA53" s="355"/>
      <c r="BB53" s="357"/>
      <c r="BC53" s="173">
        <f>+IF(AND(W53="Preventivo",BB49="Fuerte"),2,IF(AND(W53="Preventivo",BB49="Moderado"),1,0))</f>
        <v>0</v>
      </c>
      <c r="BD53" s="64">
        <f>+IF(AND(W53="Detectivo/Correctivo",$BB49="Fuerte"),2,IF(AND(W53="Detectivo/Correctivo",$BB53="Moderado"),1,IF(AND(W53="Preventivo",$BB49="Fuerte"),1,0)))</f>
        <v>0</v>
      </c>
      <c r="BE53" s="173" t="e">
        <f>+N49-BC53</f>
        <v>#N/A</v>
      </c>
      <c r="BF53" s="173" t="e">
        <f>+P49-BD53</f>
        <v>#N/A</v>
      </c>
      <c r="BG53" s="346"/>
      <c r="BH53" s="346"/>
      <c r="BI53" s="346"/>
      <c r="BJ53" s="538"/>
      <c r="BK53" s="538"/>
      <c r="BL53" s="538"/>
      <c r="BM53" s="538"/>
    </row>
    <row r="54" spans="1:65" ht="65.099999999999994" customHeight="1" thickBot="1">
      <c r="A54" s="330"/>
      <c r="B54" s="514"/>
      <c r="C54" s="365"/>
      <c r="D54" s="106"/>
      <c r="E54" s="106"/>
      <c r="F54" s="434"/>
      <c r="G54" s="368"/>
      <c r="H54" s="100"/>
      <c r="I54" s="237"/>
      <c r="J54" s="100"/>
      <c r="K54" s="31"/>
      <c r="L54" s="222"/>
      <c r="M54" s="370"/>
      <c r="N54" s="350"/>
      <c r="O54" s="352"/>
      <c r="P54" s="350"/>
      <c r="Q54" s="353"/>
      <c r="R54" s="347"/>
      <c r="S54" s="208"/>
      <c r="T54" s="98"/>
      <c r="U54" s="47" t="s">
        <v>627</v>
      </c>
      <c r="V54" s="215"/>
      <c r="W54" s="215"/>
      <c r="X54" s="215"/>
      <c r="Y54" s="95" t="str">
        <f t="shared" si="3"/>
        <v/>
      </c>
      <c r="Z54" s="215"/>
      <c r="AA54" s="95" t="str">
        <f t="shared" si="4"/>
        <v/>
      </c>
      <c r="AB54" s="208"/>
      <c r="AC54" s="95" t="str">
        <f t="shared" si="5"/>
        <v/>
      </c>
      <c r="AD54" s="208"/>
      <c r="AE54" s="95" t="str">
        <f t="shared" si="6"/>
        <v/>
      </c>
      <c r="AF54" s="208"/>
      <c r="AG54" s="95" t="str">
        <f t="shared" si="7"/>
        <v/>
      </c>
      <c r="AH54" s="208"/>
      <c r="AI54" s="95" t="str">
        <f t="shared" si="8"/>
        <v/>
      </c>
      <c r="AJ54" s="208"/>
      <c r="AK54" s="27" t="str">
        <f t="shared" si="0"/>
        <v/>
      </c>
      <c r="AL54" s="48" t="str">
        <f t="shared" si="11"/>
        <v/>
      </c>
      <c r="AM54" s="48" t="str">
        <f t="shared" si="9"/>
        <v/>
      </c>
      <c r="AN54" s="293"/>
      <c r="AO54" s="293"/>
      <c r="AP54" s="293"/>
      <c r="AQ54" s="293"/>
      <c r="AR54" s="293"/>
      <c r="AS54" s="293"/>
      <c r="AT54" s="293"/>
      <c r="AU54" s="294" t="str">
        <f>IFERROR(VLOOKUP(AT54,'Seguridad Información'!$I$61:$J$65,2,0),"")</f>
        <v/>
      </c>
      <c r="AV54" s="79"/>
      <c r="AW54" s="78" t="str">
        <f t="shared" si="1"/>
        <v/>
      </c>
      <c r="AX54" s="77" t="str">
        <f t="shared" si="2"/>
        <v/>
      </c>
      <c r="AY54" s="21" t="str">
        <f>IFERROR(VLOOKUP((CONCATENATE(AM54,AX54)),Listados!$U$3:$V$11,2,FALSE),"")</f>
        <v/>
      </c>
      <c r="AZ54" s="48">
        <f t="shared" si="10"/>
        <v>100</v>
      </c>
      <c r="BA54" s="356"/>
      <c r="BB54" s="357"/>
      <c r="BC54" s="173">
        <f>+IF(AND(W54="Preventivo",BB49="Fuerte"),2,IF(AND(W54="Preventivo",BB49="Moderado"),1,0))</f>
        <v>0</v>
      </c>
      <c r="BD54" s="64">
        <f>+IF(AND(W54="Detectivo/Correctivo",$BB49="Fuerte"),2,IF(AND(W54="Detectivo/Correctivo",$BB54="Moderado"),1,IF(AND(W54="Preventivo",$BB49="Fuerte"),1,0)))</f>
        <v>0</v>
      </c>
      <c r="BE54" s="173" t="e">
        <f>+N49-BC54</f>
        <v>#N/A</v>
      </c>
      <c r="BF54" s="173" t="e">
        <f>+P49-BD54</f>
        <v>#N/A</v>
      </c>
      <c r="BG54" s="347"/>
      <c r="BH54" s="347"/>
      <c r="BI54" s="347"/>
      <c r="BJ54" s="539"/>
      <c r="BK54" s="539"/>
      <c r="BL54" s="539"/>
      <c r="BM54" s="539"/>
    </row>
    <row r="55" spans="1:65" ht="65.099999999999994" customHeight="1" thickBot="1">
      <c r="A55" s="328">
        <v>9</v>
      </c>
      <c r="B55" s="519"/>
      <c r="C55" s="371" t="str">
        <f>IFERROR(VLOOKUP(B55,Listados!B$3:C$20,2,FALSE),"")</f>
        <v/>
      </c>
      <c r="D55" s="107"/>
      <c r="E55" s="107"/>
      <c r="F55" s="432"/>
      <c r="G55" s="372"/>
      <c r="H55" s="100"/>
      <c r="I55" s="237"/>
      <c r="J55" s="100"/>
      <c r="K55" s="103"/>
      <c r="L55" s="17"/>
      <c r="M55" s="369"/>
      <c r="N55" s="348" t="e">
        <f>+VLOOKUP(M55,Listados!$K$8:$L$12,2,0)</f>
        <v>#N/A</v>
      </c>
      <c r="O55" s="351"/>
      <c r="P55" s="348" t="e">
        <f>+VLOOKUP(O55,Listados!$K$13:$L$17,2,0)</f>
        <v>#N/A</v>
      </c>
      <c r="Q55" s="347" t="str">
        <f>IF(AND(M55&lt;&gt;"",O55&lt;&gt;""),VLOOKUP(M55&amp;O55,Listados!$M$3:$N$27,2,FALSE),"")</f>
        <v/>
      </c>
      <c r="R55" s="345" t="e">
        <f>+VLOOKUP(Q55,Listados!$P$3:$Q$6,2,FALSE)</f>
        <v>#N/A</v>
      </c>
      <c r="S55" s="208"/>
      <c r="T55" s="94"/>
      <c r="U55" s="47" t="s">
        <v>627</v>
      </c>
      <c r="V55" s="215"/>
      <c r="W55" s="215"/>
      <c r="X55" s="215"/>
      <c r="Y55" s="95" t="str">
        <f t="shared" si="3"/>
        <v/>
      </c>
      <c r="Z55" s="215"/>
      <c r="AA55" s="95" t="str">
        <f t="shared" si="4"/>
        <v/>
      </c>
      <c r="AB55" s="208"/>
      <c r="AC55" s="95" t="str">
        <f t="shared" si="5"/>
        <v/>
      </c>
      <c r="AD55" s="208"/>
      <c r="AE55" s="95" t="str">
        <f t="shared" si="6"/>
        <v/>
      </c>
      <c r="AF55" s="208"/>
      <c r="AG55" s="95" t="str">
        <f t="shared" si="7"/>
        <v/>
      </c>
      <c r="AH55" s="208"/>
      <c r="AI55" s="95" t="str">
        <f t="shared" si="8"/>
        <v/>
      </c>
      <c r="AJ55" s="208"/>
      <c r="AK55" s="27" t="str">
        <f t="shared" si="0"/>
        <v/>
      </c>
      <c r="AL55" s="48" t="str">
        <f t="shared" si="11"/>
        <v/>
      </c>
      <c r="AM55" s="48" t="str">
        <f t="shared" si="9"/>
        <v/>
      </c>
      <c r="AN55" s="293"/>
      <c r="AO55" s="293"/>
      <c r="AP55" s="293"/>
      <c r="AQ55" s="293"/>
      <c r="AR55" s="293"/>
      <c r="AS55" s="293"/>
      <c r="AT55" s="293"/>
      <c r="AU55" s="294" t="str">
        <f>IFERROR(VLOOKUP(AT55,'Seguridad Información'!$I$61:$J$65,2,0),"")</f>
        <v/>
      </c>
      <c r="AV55" s="79"/>
      <c r="AW55" s="78" t="str">
        <f t="shared" si="1"/>
        <v/>
      </c>
      <c r="AX55" s="77" t="str">
        <f t="shared" si="2"/>
        <v/>
      </c>
      <c r="AY55" s="21" t="str">
        <f>IFERROR(VLOOKUP((CONCATENATE(AM55,AX55)),Listados!$U$3:$V$11,2,FALSE),"")</f>
        <v/>
      </c>
      <c r="AZ55" s="48">
        <f t="shared" si="10"/>
        <v>100</v>
      </c>
      <c r="BA55" s="354">
        <f>AVERAGE(AZ55:AZ60)</f>
        <v>100</v>
      </c>
      <c r="BB55" s="356" t="str">
        <f>IF(BA55&lt;=50, "Débil", IF(BA55&lt;=99,"Moderado","Fuerte"))</f>
        <v>Fuerte</v>
      </c>
      <c r="BC55" s="173">
        <f>+IF(AND(W55="Preventivo",BB55="Fuerte"),2,IF(AND(W55="Preventivo",BB55="Moderado"),1,0))</f>
        <v>0</v>
      </c>
      <c r="BD55" s="64">
        <f>+IF(AND(W55="Detectivo/Correctivo",$BB55="Fuerte"),2,IF(AND(W55="Detectivo/Correctivo",$BB55="Moderado"),1,IF(AND(W55="Preventivo",$BB55="Fuerte"),1,0)))</f>
        <v>0</v>
      </c>
      <c r="BE55" s="173" t="e">
        <f>+N55-BC55</f>
        <v>#N/A</v>
      </c>
      <c r="BF55" s="173" t="e">
        <f>+P55-BD55</f>
        <v>#N/A</v>
      </c>
      <c r="BG55" s="345" t="e">
        <f>+VLOOKUP(MIN(BE55,BE56,BE57,BE58,BE59,BE60),Listados!$J$18:$K$24,2,TRUE)</f>
        <v>#N/A</v>
      </c>
      <c r="BH55" s="345" t="e">
        <f>+VLOOKUP(MIN(BF55,BF56,BF57,BF58,BF59,BF60),Listados!$J$27:$K$32,2,TRUE)</f>
        <v>#N/A</v>
      </c>
      <c r="BI55" s="345" t="e">
        <f>IF(AND(BG55&lt;&gt;"",BH55&lt;&gt;""),VLOOKUP(BG55&amp;BH55,Listados!$M$3:$N$27,2,FALSE),"")</f>
        <v>#N/A</v>
      </c>
      <c r="BJ55" s="537" t="e">
        <f>+IF($R55="Asumir el riesgo","NA","")</f>
        <v>#N/A</v>
      </c>
      <c r="BK55" s="537" t="e">
        <f>+IF($R55="Asumir el riesgo","NA","")</f>
        <v>#N/A</v>
      </c>
      <c r="BL55" s="537" t="e">
        <f>+IF($R55="Asumir el riesgo","NA","")</f>
        <v>#N/A</v>
      </c>
      <c r="BM55" s="537" t="e">
        <f>+IF($R55="Asumir el riesgo","NA","")</f>
        <v>#N/A</v>
      </c>
    </row>
    <row r="56" spans="1:65" ht="65.099999999999994" customHeight="1" thickBot="1">
      <c r="A56" s="329"/>
      <c r="B56" s="514"/>
      <c r="C56" s="364"/>
      <c r="D56" s="233"/>
      <c r="E56" s="233"/>
      <c r="F56" s="433"/>
      <c r="G56" s="367"/>
      <c r="H56" s="100"/>
      <c r="I56" s="237"/>
      <c r="J56" s="100"/>
      <c r="K56" s="236"/>
      <c r="L56" s="222"/>
      <c r="M56" s="370"/>
      <c r="N56" s="349"/>
      <c r="O56" s="352"/>
      <c r="P56" s="349"/>
      <c r="Q56" s="353"/>
      <c r="R56" s="346"/>
      <c r="S56" s="208"/>
      <c r="T56" s="195"/>
      <c r="U56" s="47" t="s">
        <v>627</v>
      </c>
      <c r="V56" s="215"/>
      <c r="W56" s="215"/>
      <c r="X56" s="215"/>
      <c r="Y56" s="95" t="str">
        <f t="shared" si="3"/>
        <v/>
      </c>
      <c r="Z56" s="215"/>
      <c r="AA56" s="95" t="str">
        <f t="shared" si="4"/>
        <v/>
      </c>
      <c r="AB56" s="208"/>
      <c r="AC56" s="95" t="str">
        <f t="shared" si="5"/>
        <v/>
      </c>
      <c r="AD56" s="208"/>
      <c r="AE56" s="95" t="str">
        <f t="shared" si="6"/>
        <v/>
      </c>
      <c r="AF56" s="208"/>
      <c r="AG56" s="95" t="str">
        <f t="shared" si="7"/>
        <v/>
      </c>
      <c r="AH56" s="208"/>
      <c r="AI56" s="95" t="str">
        <f t="shared" si="8"/>
        <v/>
      </c>
      <c r="AJ56" s="208"/>
      <c r="AK56" s="27" t="str">
        <f t="shared" si="0"/>
        <v/>
      </c>
      <c r="AL56" s="48" t="str">
        <f t="shared" si="11"/>
        <v/>
      </c>
      <c r="AM56" s="48" t="str">
        <f t="shared" si="9"/>
        <v/>
      </c>
      <c r="AN56" s="293"/>
      <c r="AO56" s="293"/>
      <c r="AP56" s="293"/>
      <c r="AQ56" s="293"/>
      <c r="AR56" s="293"/>
      <c r="AS56" s="293"/>
      <c r="AT56" s="293"/>
      <c r="AU56" s="294" t="str">
        <f>IFERROR(VLOOKUP(AT56,'Seguridad Información'!$I$61:$J$65,2,0),"")</f>
        <v/>
      </c>
      <c r="AV56" s="79"/>
      <c r="AW56" s="78" t="str">
        <f t="shared" si="1"/>
        <v/>
      </c>
      <c r="AX56" s="77" t="str">
        <f t="shared" si="2"/>
        <v/>
      </c>
      <c r="AY56" s="21" t="str">
        <f>IFERROR(VLOOKUP((CONCATENATE(AM56,AX56)),Listados!$U$3:$V$11,2,FALSE),"")</f>
        <v/>
      </c>
      <c r="AZ56" s="48">
        <f t="shared" si="10"/>
        <v>100</v>
      </c>
      <c r="BA56" s="355"/>
      <c r="BB56" s="357"/>
      <c r="BC56" s="173">
        <f>+IF(AND(W56="Preventivo",BB55="Fuerte"),2,IF(AND(W56="Preventivo",BB55="Moderado"),1,0))</f>
        <v>0</v>
      </c>
      <c r="BD56" s="64">
        <f>+IF(AND(W56="Detectivo/Correctivo",$BB55="Fuerte"),2,IF(AND(W56="Detectivo/Correctivo",$BB56="Moderado"),1,IF(AND(W56="Preventivo",$BB55="Fuerte"),1,0)))</f>
        <v>0</v>
      </c>
      <c r="BE56" s="173" t="e">
        <f>+N55-BC56</f>
        <v>#N/A</v>
      </c>
      <c r="BF56" s="173" t="e">
        <f>+P55-BD56</f>
        <v>#N/A</v>
      </c>
      <c r="BG56" s="346"/>
      <c r="BH56" s="346"/>
      <c r="BI56" s="346"/>
      <c r="BJ56" s="538"/>
      <c r="BK56" s="538"/>
      <c r="BL56" s="538"/>
      <c r="BM56" s="538"/>
    </row>
    <row r="57" spans="1:65" ht="65.099999999999994" customHeight="1" thickBot="1">
      <c r="A57" s="329"/>
      <c r="B57" s="514"/>
      <c r="C57" s="364"/>
      <c r="D57" s="233"/>
      <c r="E57" s="233"/>
      <c r="F57" s="433"/>
      <c r="G57" s="367"/>
      <c r="H57" s="100"/>
      <c r="I57" s="237"/>
      <c r="J57" s="100"/>
      <c r="K57" s="236"/>
      <c r="L57" s="222"/>
      <c r="M57" s="370"/>
      <c r="N57" s="349"/>
      <c r="O57" s="352"/>
      <c r="P57" s="349"/>
      <c r="Q57" s="353"/>
      <c r="R57" s="346"/>
      <c r="S57" s="208"/>
      <c r="T57" s="96"/>
      <c r="U57" s="47" t="s">
        <v>627</v>
      </c>
      <c r="V57" s="215"/>
      <c r="W57" s="215"/>
      <c r="X57" s="215"/>
      <c r="Y57" s="95" t="str">
        <f t="shared" si="3"/>
        <v/>
      </c>
      <c r="Z57" s="215"/>
      <c r="AA57" s="95" t="str">
        <f t="shared" si="4"/>
        <v/>
      </c>
      <c r="AB57" s="208"/>
      <c r="AC57" s="95" t="str">
        <f t="shared" si="5"/>
        <v/>
      </c>
      <c r="AD57" s="208"/>
      <c r="AE57" s="95" t="str">
        <f t="shared" si="6"/>
        <v/>
      </c>
      <c r="AF57" s="208"/>
      <c r="AG57" s="95" t="str">
        <f t="shared" si="7"/>
        <v/>
      </c>
      <c r="AH57" s="208"/>
      <c r="AI57" s="95" t="str">
        <f t="shared" si="8"/>
        <v/>
      </c>
      <c r="AJ57" s="208"/>
      <c r="AK57" s="27" t="str">
        <f t="shared" si="0"/>
        <v/>
      </c>
      <c r="AL57" s="48" t="str">
        <f t="shared" si="11"/>
        <v/>
      </c>
      <c r="AM57" s="48" t="str">
        <f t="shared" si="9"/>
        <v/>
      </c>
      <c r="AN57" s="293"/>
      <c r="AO57" s="293"/>
      <c r="AP57" s="293"/>
      <c r="AQ57" s="293"/>
      <c r="AR57" s="293"/>
      <c r="AS57" s="293"/>
      <c r="AT57" s="293"/>
      <c r="AU57" s="294" t="str">
        <f>IFERROR(VLOOKUP(AT57,'Seguridad Información'!$I$61:$J$65,2,0),"")</f>
        <v/>
      </c>
      <c r="AV57" s="79"/>
      <c r="AW57" s="78" t="str">
        <f t="shared" si="1"/>
        <v/>
      </c>
      <c r="AX57" s="77" t="str">
        <f t="shared" si="2"/>
        <v/>
      </c>
      <c r="AY57" s="21" t="str">
        <f>IFERROR(VLOOKUP((CONCATENATE(AM57,AX57)),Listados!$U$3:$V$11,2,FALSE),"")</f>
        <v/>
      </c>
      <c r="AZ57" s="48">
        <f t="shared" si="10"/>
        <v>100</v>
      </c>
      <c r="BA57" s="355"/>
      <c r="BB57" s="357"/>
      <c r="BC57" s="173">
        <f>+IF(AND(W57="Preventivo",BB55="Fuerte"),2,IF(AND(W57="Preventivo",BB55="Moderado"),1,0))</f>
        <v>0</v>
      </c>
      <c r="BD57" s="64">
        <f>+IF(AND(W57="Detectivo/Correctivo",$BB55="Fuerte"),2,IF(AND(W57="Detectivo/Correctivo",$BB57="Moderado"),1,IF(AND(W57="Preventivo",$BB55="Fuerte"),1,0)))</f>
        <v>0</v>
      </c>
      <c r="BE57" s="173" t="e">
        <f>+N55-BC57</f>
        <v>#N/A</v>
      </c>
      <c r="BF57" s="173" t="e">
        <f>+P55-BD57</f>
        <v>#N/A</v>
      </c>
      <c r="BG57" s="346"/>
      <c r="BH57" s="346"/>
      <c r="BI57" s="346"/>
      <c r="BJ57" s="538"/>
      <c r="BK57" s="538"/>
      <c r="BL57" s="538"/>
      <c r="BM57" s="538"/>
    </row>
    <row r="58" spans="1:65" ht="65.099999999999994" customHeight="1" thickBot="1">
      <c r="A58" s="329"/>
      <c r="B58" s="514"/>
      <c r="C58" s="364"/>
      <c r="D58" s="233"/>
      <c r="E58" s="233"/>
      <c r="F58" s="433"/>
      <c r="G58" s="367"/>
      <c r="H58" s="100"/>
      <c r="I58" s="237"/>
      <c r="J58" s="100"/>
      <c r="K58" s="236"/>
      <c r="L58" s="222"/>
      <c r="M58" s="370"/>
      <c r="N58" s="349"/>
      <c r="O58" s="352"/>
      <c r="P58" s="349"/>
      <c r="Q58" s="353"/>
      <c r="R58" s="346"/>
      <c r="S58" s="208"/>
      <c r="T58" s="97"/>
      <c r="U58" s="47" t="s">
        <v>627</v>
      </c>
      <c r="V58" s="215"/>
      <c r="W58" s="215"/>
      <c r="X58" s="215"/>
      <c r="Y58" s="95" t="str">
        <f t="shared" si="3"/>
        <v/>
      </c>
      <c r="Z58" s="215"/>
      <c r="AA58" s="95" t="str">
        <f t="shared" si="4"/>
        <v/>
      </c>
      <c r="AB58" s="208"/>
      <c r="AC58" s="95" t="str">
        <f t="shared" si="5"/>
        <v/>
      </c>
      <c r="AD58" s="208"/>
      <c r="AE58" s="95" t="str">
        <f t="shared" si="6"/>
        <v/>
      </c>
      <c r="AF58" s="208"/>
      <c r="AG58" s="95" t="str">
        <f t="shared" si="7"/>
        <v/>
      </c>
      <c r="AH58" s="208"/>
      <c r="AI58" s="95" t="str">
        <f t="shared" si="8"/>
        <v/>
      </c>
      <c r="AJ58" s="208"/>
      <c r="AK58" s="27" t="str">
        <f t="shared" si="0"/>
        <v/>
      </c>
      <c r="AL58" s="48" t="str">
        <f t="shared" si="11"/>
        <v/>
      </c>
      <c r="AM58" s="48" t="str">
        <f t="shared" si="9"/>
        <v/>
      </c>
      <c r="AN58" s="293"/>
      <c r="AO58" s="293"/>
      <c r="AP58" s="293"/>
      <c r="AQ58" s="293"/>
      <c r="AR58" s="293"/>
      <c r="AS58" s="293"/>
      <c r="AT58" s="293"/>
      <c r="AU58" s="294" t="str">
        <f>IFERROR(VLOOKUP(AT58,'Seguridad Información'!$I$61:$J$65,2,0),"")</f>
        <v/>
      </c>
      <c r="AV58" s="79"/>
      <c r="AW58" s="78" t="str">
        <f t="shared" si="1"/>
        <v/>
      </c>
      <c r="AX58" s="77" t="str">
        <f t="shared" si="2"/>
        <v/>
      </c>
      <c r="AY58" s="21" t="str">
        <f>IFERROR(VLOOKUP((CONCATENATE(AM58,AX58)),Listados!$U$3:$V$11,2,FALSE),"")</f>
        <v/>
      </c>
      <c r="AZ58" s="48">
        <f t="shared" si="10"/>
        <v>100</v>
      </c>
      <c r="BA58" s="355"/>
      <c r="BB58" s="357"/>
      <c r="BC58" s="173">
        <f>+IF(AND(W58="Preventivo",BB55="Fuerte"),2,IF(AND(W58="Preventivo",BB55="Moderado"),1,0))</f>
        <v>0</v>
      </c>
      <c r="BD58" s="64">
        <f>+IF(AND(W58="Detectivo/Correctivo",$BB55="Fuerte"),2,IF(AND(W58="Detectivo/Correctivo",$BB58="Moderado"),1,IF(AND(W58="Preventivo",$BB55="Fuerte"),1,0)))</f>
        <v>0</v>
      </c>
      <c r="BE58" s="173" t="e">
        <f>+N55-BC58</f>
        <v>#N/A</v>
      </c>
      <c r="BF58" s="173" t="e">
        <f>+P55-BD58</f>
        <v>#N/A</v>
      </c>
      <c r="BG58" s="346"/>
      <c r="BH58" s="346"/>
      <c r="BI58" s="346"/>
      <c r="BJ58" s="538"/>
      <c r="BK58" s="538"/>
      <c r="BL58" s="538"/>
      <c r="BM58" s="538"/>
    </row>
    <row r="59" spans="1:65" ht="65.099999999999994" customHeight="1" thickBot="1">
      <c r="A59" s="329"/>
      <c r="B59" s="514"/>
      <c r="C59" s="364"/>
      <c r="D59" s="109"/>
      <c r="E59" s="109"/>
      <c r="F59" s="433"/>
      <c r="G59" s="367"/>
      <c r="H59" s="100"/>
      <c r="I59" s="237"/>
      <c r="J59" s="100"/>
      <c r="K59" s="29"/>
      <c r="L59" s="222"/>
      <c r="M59" s="370"/>
      <c r="N59" s="349"/>
      <c r="O59" s="352"/>
      <c r="P59" s="349"/>
      <c r="Q59" s="353"/>
      <c r="R59" s="346"/>
      <c r="S59" s="208"/>
      <c r="T59" s="195"/>
      <c r="U59" s="47" t="s">
        <v>627</v>
      </c>
      <c r="V59" s="215"/>
      <c r="W59" s="215"/>
      <c r="X59" s="215"/>
      <c r="Y59" s="95" t="str">
        <f t="shared" si="3"/>
        <v/>
      </c>
      <c r="Z59" s="215"/>
      <c r="AA59" s="95" t="str">
        <f t="shared" si="4"/>
        <v/>
      </c>
      <c r="AB59" s="208"/>
      <c r="AC59" s="95" t="str">
        <f t="shared" si="5"/>
        <v/>
      </c>
      <c r="AD59" s="208"/>
      <c r="AE59" s="95" t="str">
        <f t="shared" si="6"/>
        <v/>
      </c>
      <c r="AF59" s="208"/>
      <c r="AG59" s="95" t="str">
        <f t="shared" si="7"/>
        <v/>
      </c>
      <c r="AH59" s="208"/>
      <c r="AI59" s="95" t="str">
        <f t="shared" si="8"/>
        <v/>
      </c>
      <c r="AJ59" s="208"/>
      <c r="AK59" s="27" t="str">
        <f t="shared" si="0"/>
        <v/>
      </c>
      <c r="AL59" s="48" t="str">
        <f t="shared" si="11"/>
        <v/>
      </c>
      <c r="AM59" s="48" t="str">
        <f t="shared" si="9"/>
        <v/>
      </c>
      <c r="AN59" s="293"/>
      <c r="AO59" s="293"/>
      <c r="AP59" s="293"/>
      <c r="AQ59" s="293"/>
      <c r="AR59" s="293"/>
      <c r="AS59" s="293"/>
      <c r="AT59" s="293"/>
      <c r="AU59" s="294" t="str">
        <f>IFERROR(VLOOKUP(AT59,'Seguridad Información'!$I$61:$J$65,2,0),"")</f>
        <v/>
      </c>
      <c r="AV59" s="79"/>
      <c r="AW59" s="78" t="str">
        <f t="shared" si="1"/>
        <v/>
      </c>
      <c r="AX59" s="77" t="str">
        <f t="shared" si="2"/>
        <v/>
      </c>
      <c r="AY59" s="21" t="str">
        <f>IFERROR(VLOOKUP((CONCATENATE(AM59,AX59)),Listados!$U$3:$V$11,2,FALSE),"")</f>
        <v/>
      </c>
      <c r="AZ59" s="48">
        <f t="shared" si="10"/>
        <v>100</v>
      </c>
      <c r="BA59" s="355"/>
      <c r="BB59" s="357"/>
      <c r="BC59" s="173">
        <f>+IF(AND(W59="Preventivo",BB55="Fuerte"),2,IF(AND(W59="Preventivo",BB55="Moderado"),1,0))</f>
        <v>0</v>
      </c>
      <c r="BD59" s="64">
        <f>+IF(AND(W59="Detectivo/Correctivo",$BB55="Fuerte"),2,IF(AND(W59="Detectivo/Correctivo",$BB59="Moderado"),1,IF(AND(W59="Preventivo",$BB55="Fuerte"),1,0)))</f>
        <v>0</v>
      </c>
      <c r="BE59" s="173" t="e">
        <f>+N55-BC59</f>
        <v>#N/A</v>
      </c>
      <c r="BF59" s="173" t="e">
        <f>+P55-BD59</f>
        <v>#N/A</v>
      </c>
      <c r="BG59" s="346"/>
      <c r="BH59" s="346"/>
      <c r="BI59" s="346"/>
      <c r="BJ59" s="538"/>
      <c r="BK59" s="538"/>
      <c r="BL59" s="538"/>
      <c r="BM59" s="538"/>
    </row>
    <row r="60" spans="1:65" ht="65.099999999999994" customHeight="1" thickBot="1">
      <c r="A60" s="330"/>
      <c r="B60" s="514"/>
      <c r="C60" s="365"/>
      <c r="D60" s="106"/>
      <c r="E60" s="106"/>
      <c r="F60" s="434"/>
      <c r="G60" s="368"/>
      <c r="H60" s="100"/>
      <c r="I60" s="237"/>
      <c r="J60" s="100"/>
      <c r="K60" s="31"/>
      <c r="L60" s="222"/>
      <c r="M60" s="370"/>
      <c r="N60" s="350"/>
      <c r="O60" s="352"/>
      <c r="P60" s="350"/>
      <c r="Q60" s="353"/>
      <c r="R60" s="347"/>
      <c r="S60" s="208"/>
      <c r="T60" s="98"/>
      <c r="U60" s="47" t="s">
        <v>627</v>
      </c>
      <c r="V60" s="215"/>
      <c r="W60" s="215"/>
      <c r="X60" s="215"/>
      <c r="Y60" s="95" t="str">
        <f t="shared" si="3"/>
        <v/>
      </c>
      <c r="Z60" s="215"/>
      <c r="AA60" s="95" t="str">
        <f t="shared" si="4"/>
        <v/>
      </c>
      <c r="AB60" s="208"/>
      <c r="AC60" s="95" t="str">
        <f t="shared" si="5"/>
        <v/>
      </c>
      <c r="AD60" s="208"/>
      <c r="AE60" s="95" t="str">
        <f t="shared" si="6"/>
        <v/>
      </c>
      <c r="AF60" s="208"/>
      <c r="AG60" s="95" t="str">
        <f t="shared" si="7"/>
        <v/>
      </c>
      <c r="AH60" s="208"/>
      <c r="AI60" s="95" t="str">
        <f t="shared" si="8"/>
        <v/>
      </c>
      <c r="AJ60" s="208"/>
      <c r="AK60" s="27" t="str">
        <f t="shared" si="0"/>
        <v/>
      </c>
      <c r="AL60" s="48" t="str">
        <f t="shared" si="11"/>
        <v/>
      </c>
      <c r="AM60" s="48" t="str">
        <f t="shared" si="9"/>
        <v/>
      </c>
      <c r="AN60" s="293"/>
      <c r="AO60" s="293"/>
      <c r="AP60" s="293"/>
      <c r="AQ60" s="293"/>
      <c r="AR60" s="293"/>
      <c r="AS60" s="293"/>
      <c r="AT60" s="293"/>
      <c r="AU60" s="294" t="str">
        <f>IFERROR(VLOOKUP(AT60,'Seguridad Información'!$I$61:$J$65,2,0),"")</f>
        <v/>
      </c>
      <c r="AV60" s="79"/>
      <c r="AW60" s="78" t="str">
        <f t="shared" si="1"/>
        <v/>
      </c>
      <c r="AX60" s="77" t="str">
        <f t="shared" si="2"/>
        <v/>
      </c>
      <c r="AY60" s="21" t="str">
        <f>IFERROR(VLOOKUP((CONCATENATE(AM60,AX60)),Listados!$U$3:$V$11,2,FALSE),"")</f>
        <v/>
      </c>
      <c r="AZ60" s="48">
        <f t="shared" si="10"/>
        <v>100</v>
      </c>
      <c r="BA60" s="356"/>
      <c r="BB60" s="357"/>
      <c r="BC60" s="173">
        <f>+IF(AND(W60="Preventivo",BB55="Fuerte"),2,IF(AND(W60="Preventivo",BB55="Moderado"),1,0))</f>
        <v>0</v>
      </c>
      <c r="BD60" s="64">
        <f>+IF(AND(W60="Detectivo/Correctivo",$BB55="Fuerte"),2,IF(AND(W60="Detectivo/Correctivo",$BB60="Moderado"),1,IF(AND(W60="Preventivo",$BB55="Fuerte"),1,0)))</f>
        <v>0</v>
      </c>
      <c r="BE60" s="173" t="e">
        <f>+N55-BC60</f>
        <v>#N/A</v>
      </c>
      <c r="BF60" s="173" t="e">
        <f>+P55-BD60</f>
        <v>#N/A</v>
      </c>
      <c r="BG60" s="347"/>
      <c r="BH60" s="347"/>
      <c r="BI60" s="347"/>
      <c r="BJ60" s="539"/>
      <c r="BK60" s="539"/>
      <c r="BL60" s="539"/>
      <c r="BM60" s="539"/>
    </row>
    <row r="61" spans="1:65" ht="65.099999999999994" customHeight="1" thickBot="1">
      <c r="A61" s="328">
        <v>10</v>
      </c>
      <c r="B61" s="519"/>
      <c r="C61" s="371" t="str">
        <f>IFERROR(VLOOKUP(B61,Listados!B$3:C$20,2,FALSE),"")</f>
        <v/>
      </c>
      <c r="D61" s="107"/>
      <c r="E61" s="107"/>
      <c r="F61" s="432"/>
      <c r="G61" s="372"/>
      <c r="H61" s="100"/>
      <c r="I61" s="237"/>
      <c r="J61" s="100"/>
      <c r="K61" s="103"/>
      <c r="L61" s="17"/>
      <c r="M61" s="369"/>
      <c r="N61" s="348" t="e">
        <f>+VLOOKUP(M61,Listados!$K$8:$L$12,2,0)</f>
        <v>#N/A</v>
      </c>
      <c r="O61" s="351"/>
      <c r="P61" s="348" t="e">
        <f>+VLOOKUP(O61,Listados!$K$13:$L$17,2,0)</f>
        <v>#N/A</v>
      </c>
      <c r="Q61" s="347" t="str">
        <f>IF(AND(M61&lt;&gt;"",O61&lt;&gt;""),VLOOKUP(M61&amp;O61,Listados!$M$3:$N$27,2,FALSE),"")</f>
        <v/>
      </c>
      <c r="R61" s="345" t="e">
        <f>+VLOOKUP(Q61,Listados!$P$3:$Q$6,2,FALSE)</f>
        <v>#N/A</v>
      </c>
      <c r="S61" s="208"/>
      <c r="T61" s="94"/>
      <c r="U61" s="47" t="s">
        <v>627</v>
      </c>
      <c r="V61" s="215"/>
      <c r="W61" s="215"/>
      <c r="X61" s="215"/>
      <c r="Y61" s="95" t="str">
        <f t="shared" si="3"/>
        <v/>
      </c>
      <c r="Z61" s="215"/>
      <c r="AA61" s="95" t="str">
        <f t="shared" si="4"/>
        <v/>
      </c>
      <c r="AB61" s="208"/>
      <c r="AC61" s="95" t="str">
        <f t="shared" si="5"/>
        <v/>
      </c>
      <c r="AD61" s="208"/>
      <c r="AE61" s="95" t="str">
        <f t="shared" si="6"/>
        <v/>
      </c>
      <c r="AF61" s="208"/>
      <c r="AG61" s="95" t="str">
        <f t="shared" si="7"/>
        <v/>
      </c>
      <c r="AH61" s="208"/>
      <c r="AI61" s="95" t="str">
        <f t="shared" si="8"/>
        <v/>
      </c>
      <c r="AJ61" s="208"/>
      <c r="AK61" s="27" t="str">
        <f t="shared" si="0"/>
        <v/>
      </c>
      <c r="AL61" s="48" t="str">
        <f t="shared" si="11"/>
        <v/>
      </c>
      <c r="AM61" s="48" t="str">
        <f t="shared" si="9"/>
        <v/>
      </c>
      <c r="AN61" s="293"/>
      <c r="AO61" s="293"/>
      <c r="AP61" s="293"/>
      <c r="AQ61" s="293"/>
      <c r="AR61" s="293"/>
      <c r="AS61" s="293"/>
      <c r="AT61" s="293"/>
      <c r="AU61" s="294" t="str">
        <f>IFERROR(VLOOKUP(AT61,'Seguridad Información'!$I$61:$J$65,2,0),"")</f>
        <v/>
      </c>
      <c r="AV61" s="79"/>
      <c r="AW61" s="78" t="str">
        <f t="shared" si="1"/>
        <v/>
      </c>
      <c r="AX61" s="77" t="str">
        <f t="shared" si="2"/>
        <v/>
      </c>
      <c r="AY61" s="21" t="str">
        <f>IFERROR(VLOOKUP((CONCATENATE(AM61,AX61)),Listados!$U$3:$V$11,2,FALSE),"")</f>
        <v/>
      </c>
      <c r="AZ61" s="48">
        <f t="shared" si="10"/>
        <v>100</v>
      </c>
      <c r="BA61" s="354">
        <f>AVERAGE(AZ61:AZ66)</f>
        <v>100</v>
      </c>
      <c r="BB61" s="356" t="str">
        <f>IF(BA61&lt;=50, "Débil", IF(BA61&lt;=99,"Moderado","Fuerte"))</f>
        <v>Fuerte</v>
      </c>
      <c r="BC61" s="173">
        <f>+IF(AND(W61="Preventivo",BB61="Fuerte"),2,IF(AND(W61="Preventivo",BB61="Moderado"),1,0))</f>
        <v>0</v>
      </c>
      <c r="BD61" s="64">
        <f>+IF(AND(W61="Detectivo/Correctivo",$BB61="Fuerte"),2,IF(AND(W61="Detectivo/Correctivo",$BB61="Moderado"),1,IF(AND(W61="Preventivo",$BB61="Fuerte"),1,0)))</f>
        <v>0</v>
      </c>
      <c r="BE61" s="173" t="e">
        <f>+N61-BC61</f>
        <v>#N/A</v>
      </c>
      <c r="BF61" s="173" t="e">
        <f>+P61-BD61</f>
        <v>#N/A</v>
      </c>
      <c r="BG61" s="345" t="e">
        <f>+VLOOKUP(MIN(BE61,BE62,BE63,BE64,BE65,BE66),Listados!$J$18:$K$24,2,TRUE)</f>
        <v>#N/A</v>
      </c>
      <c r="BH61" s="345" t="e">
        <f>+VLOOKUP(MIN(BF61,BF62,BF63,BF64,BF65,BF66),Listados!$J$27:$K$32,2,TRUE)</f>
        <v>#N/A</v>
      </c>
      <c r="BI61" s="345" t="e">
        <f>IF(AND(BG61&lt;&gt;"",BH61&lt;&gt;""),VLOOKUP(BG61&amp;BH61,Listados!$M$3:$N$27,2,FALSE),"")</f>
        <v>#N/A</v>
      </c>
      <c r="BJ61" s="537" t="e">
        <f>+IF($R61="Asumir el riesgo","NA","")</f>
        <v>#N/A</v>
      </c>
      <c r="BK61" s="537" t="e">
        <f>+IF($R61="Asumir el riesgo","NA","")</f>
        <v>#N/A</v>
      </c>
      <c r="BL61" s="537" t="e">
        <f>+IF($R61="Asumir el riesgo","NA","")</f>
        <v>#N/A</v>
      </c>
      <c r="BM61" s="537" t="e">
        <f>+IF($R61="Asumir el riesgo","NA","")</f>
        <v>#N/A</v>
      </c>
    </row>
    <row r="62" spans="1:65" ht="65.099999999999994" customHeight="1" thickBot="1">
      <c r="A62" s="329"/>
      <c r="B62" s="514"/>
      <c r="C62" s="364"/>
      <c r="D62" s="233"/>
      <c r="E62" s="233"/>
      <c r="F62" s="433"/>
      <c r="G62" s="367"/>
      <c r="H62" s="100"/>
      <c r="I62" s="237"/>
      <c r="J62" s="100"/>
      <c r="K62" s="236"/>
      <c r="L62" s="222"/>
      <c r="M62" s="370"/>
      <c r="N62" s="349"/>
      <c r="O62" s="352"/>
      <c r="P62" s="349"/>
      <c r="Q62" s="353"/>
      <c r="R62" s="346"/>
      <c r="S62" s="208"/>
      <c r="T62" s="195"/>
      <c r="U62" s="47" t="s">
        <v>627</v>
      </c>
      <c r="V62" s="215"/>
      <c r="W62" s="215"/>
      <c r="X62" s="215"/>
      <c r="Y62" s="95" t="str">
        <f t="shared" si="3"/>
        <v/>
      </c>
      <c r="Z62" s="215"/>
      <c r="AA62" s="95" t="str">
        <f t="shared" si="4"/>
        <v/>
      </c>
      <c r="AB62" s="208"/>
      <c r="AC62" s="95" t="str">
        <f t="shared" si="5"/>
        <v/>
      </c>
      <c r="AD62" s="208"/>
      <c r="AE62" s="95" t="str">
        <f t="shared" si="6"/>
        <v/>
      </c>
      <c r="AF62" s="208"/>
      <c r="AG62" s="95" t="str">
        <f t="shared" si="7"/>
        <v/>
      </c>
      <c r="AH62" s="208"/>
      <c r="AI62" s="95" t="str">
        <f t="shared" si="8"/>
        <v/>
      </c>
      <c r="AJ62" s="208"/>
      <c r="AK62" s="27" t="str">
        <f t="shared" si="0"/>
        <v/>
      </c>
      <c r="AL62" s="48" t="str">
        <f t="shared" si="11"/>
        <v/>
      </c>
      <c r="AM62" s="48" t="str">
        <f t="shared" si="9"/>
        <v/>
      </c>
      <c r="AN62" s="293"/>
      <c r="AO62" s="293"/>
      <c r="AP62" s="293"/>
      <c r="AQ62" s="293"/>
      <c r="AR62" s="293"/>
      <c r="AS62" s="293"/>
      <c r="AT62" s="293"/>
      <c r="AU62" s="294" t="str">
        <f>IFERROR(VLOOKUP(AT62,'Seguridad Información'!$I$61:$J$65,2,0),"")</f>
        <v/>
      </c>
      <c r="AV62" s="79"/>
      <c r="AW62" s="78" t="str">
        <f t="shared" si="1"/>
        <v/>
      </c>
      <c r="AX62" s="77" t="str">
        <f t="shared" si="2"/>
        <v/>
      </c>
      <c r="AY62" s="21" t="str">
        <f>IFERROR(VLOOKUP((CONCATENATE(AM62,AX62)),Listados!$U$3:$V$11,2,FALSE),"")</f>
        <v/>
      </c>
      <c r="AZ62" s="48">
        <f t="shared" si="10"/>
        <v>100</v>
      </c>
      <c r="BA62" s="355"/>
      <c r="BB62" s="357"/>
      <c r="BC62" s="173">
        <f>+IF(AND(W62="Preventivo",BB61="Fuerte"),2,IF(AND(W62="Preventivo",BB61="Moderado"),1,0))</f>
        <v>0</v>
      </c>
      <c r="BD62" s="64">
        <f>+IF(AND(W62="Detectivo/Correctivo",$BB61="Fuerte"),2,IF(AND(W62="Detectivo/Correctivo",$BB62="Moderado"),1,IF(AND(W62="Preventivo",$BB61="Fuerte"),1,0)))</f>
        <v>0</v>
      </c>
      <c r="BE62" s="173" t="e">
        <f>+N61-BC62</f>
        <v>#N/A</v>
      </c>
      <c r="BF62" s="173" t="e">
        <f>+P61-BD62</f>
        <v>#N/A</v>
      </c>
      <c r="BG62" s="346"/>
      <c r="BH62" s="346"/>
      <c r="BI62" s="346"/>
      <c r="BJ62" s="538"/>
      <c r="BK62" s="538"/>
      <c r="BL62" s="538"/>
      <c r="BM62" s="538"/>
    </row>
    <row r="63" spans="1:65" ht="65.099999999999994" customHeight="1" thickBot="1">
      <c r="A63" s="329"/>
      <c r="B63" s="514"/>
      <c r="C63" s="364"/>
      <c r="D63" s="233"/>
      <c r="E63" s="233"/>
      <c r="F63" s="433"/>
      <c r="G63" s="367"/>
      <c r="H63" s="100"/>
      <c r="I63" s="237"/>
      <c r="J63" s="100"/>
      <c r="K63" s="236"/>
      <c r="L63" s="222"/>
      <c r="M63" s="370"/>
      <c r="N63" s="349"/>
      <c r="O63" s="352"/>
      <c r="P63" s="349"/>
      <c r="Q63" s="353"/>
      <c r="R63" s="346"/>
      <c r="S63" s="208"/>
      <c r="T63" s="96"/>
      <c r="U63" s="47" t="s">
        <v>627</v>
      </c>
      <c r="V63" s="215"/>
      <c r="W63" s="215"/>
      <c r="X63" s="215"/>
      <c r="Y63" s="95" t="str">
        <f t="shared" si="3"/>
        <v/>
      </c>
      <c r="Z63" s="215"/>
      <c r="AA63" s="95" t="str">
        <f t="shared" si="4"/>
        <v/>
      </c>
      <c r="AB63" s="208"/>
      <c r="AC63" s="95" t="str">
        <f t="shared" si="5"/>
        <v/>
      </c>
      <c r="AD63" s="208"/>
      <c r="AE63" s="95" t="str">
        <f t="shared" si="6"/>
        <v/>
      </c>
      <c r="AF63" s="208"/>
      <c r="AG63" s="95" t="str">
        <f t="shared" si="7"/>
        <v/>
      </c>
      <c r="AH63" s="208"/>
      <c r="AI63" s="95" t="str">
        <f t="shared" si="8"/>
        <v/>
      </c>
      <c r="AJ63" s="208"/>
      <c r="AK63" s="27" t="str">
        <f t="shared" si="0"/>
        <v/>
      </c>
      <c r="AL63" s="48" t="str">
        <f t="shared" si="11"/>
        <v/>
      </c>
      <c r="AM63" s="48" t="str">
        <f t="shared" si="9"/>
        <v/>
      </c>
      <c r="AN63" s="293"/>
      <c r="AO63" s="293"/>
      <c r="AP63" s="293"/>
      <c r="AQ63" s="293"/>
      <c r="AR63" s="293"/>
      <c r="AS63" s="293"/>
      <c r="AT63" s="293"/>
      <c r="AU63" s="294" t="str">
        <f>IFERROR(VLOOKUP(AT63,'Seguridad Información'!$I$61:$J$65,2,0),"")</f>
        <v/>
      </c>
      <c r="AV63" s="79"/>
      <c r="AW63" s="78" t="str">
        <f t="shared" si="1"/>
        <v/>
      </c>
      <c r="AX63" s="77" t="str">
        <f t="shared" si="2"/>
        <v/>
      </c>
      <c r="AY63" s="21" t="str">
        <f>IFERROR(VLOOKUP((CONCATENATE(AM63,AX63)),Listados!$U$3:$V$11,2,FALSE),"")</f>
        <v/>
      </c>
      <c r="AZ63" s="48">
        <f t="shared" si="10"/>
        <v>100</v>
      </c>
      <c r="BA63" s="355"/>
      <c r="BB63" s="357"/>
      <c r="BC63" s="173">
        <f>+IF(AND(W63="Preventivo",BB61="Fuerte"),2,IF(AND(W63="Preventivo",BB61="Moderado"),1,0))</f>
        <v>0</v>
      </c>
      <c r="BD63" s="64">
        <f>+IF(AND(W63="Detectivo/Correctivo",$BB61="Fuerte"),2,IF(AND(W63="Detectivo/Correctivo",$BB63="Moderado"),1,IF(AND(W63="Preventivo",$BB61="Fuerte"),1,0)))</f>
        <v>0</v>
      </c>
      <c r="BE63" s="173" t="e">
        <f>+N61-BC63</f>
        <v>#N/A</v>
      </c>
      <c r="BF63" s="173" t="e">
        <f>+P61-BD63</f>
        <v>#N/A</v>
      </c>
      <c r="BG63" s="346"/>
      <c r="BH63" s="346"/>
      <c r="BI63" s="346"/>
      <c r="BJ63" s="538"/>
      <c r="BK63" s="538"/>
      <c r="BL63" s="538"/>
      <c r="BM63" s="538"/>
    </row>
    <row r="64" spans="1:65" ht="65.099999999999994" customHeight="1" thickBot="1">
      <c r="A64" s="329"/>
      <c r="B64" s="514"/>
      <c r="C64" s="364"/>
      <c r="D64" s="233"/>
      <c r="E64" s="233"/>
      <c r="F64" s="433"/>
      <c r="G64" s="367"/>
      <c r="H64" s="100"/>
      <c r="I64" s="237"/>
      <c r="J64" s="100"/>
      <c r="K64" s="236"/>
      <c r="L64" s="222"/>
      <c r="M64" s="370"/>
      <c r="N64" s="349"/>
      <c r="O64" s="352"/>
      <c r="P64" s="349"/>
      <c r="Q64" s="353"/>
      <c r="R64" s="346"/>
      <c r="S64" s="208"/>
      <c r="T64" s="97"/>
      <c r="U64" s="47" t="s">
        <v>627</v>
      </c>
      <c r="V64" s="215"/>
      <c r="W64" s="215"/>
      <c r="X64" s="215"/>
      <c r="Y64" s="95" t="str">
        <f t="shared" si="3"/>
        <v/>
      </c>
      <c r="Z64" s="215"/>
      <c r="AA64" s="95" t="str">
        <f t="shared" si="4"/>
        <v/>
      </c>
      <c r="AB64" s="208"/>
      <c r="AC64" s="95" t="str">
        <f t="shared" si="5"/>
        <v/>
      </c>
      <c r="AD64" s="208"/>
      <c r="AE64" s="95" t="str">
        <f t="shared" si="6"/>
        <v/>
      </c>
      <c r="AF64" s="208"/>
      <c r="AG64" s="95" t="str">
        <f t="shared" si="7"/>
        <v/>
      </c>
      <c r="AH64" s="208"/>
      <c r="AI64" s="95" t="str">
        <f t="shared" si="8"/>
        <v/>
      </c>
      <c r="AJ64" s="208"/>
      <c r="AK64" s="27" t="str">
        <f t="shared" si="0"/>
        <v/>
      </c>
      <c r="AL64" s="48" t="str">
        <f t="shared" si="11"/>
        <v/>
      </c>
      <c r="AM64" s="48" t="str">
        <f t="shared" si="9"/>
        <v/>
      </c>
      <c r="AN64" s="293"/>
      <c r="AO64" s="293"/>
      <c r="AP64" s="293"/>
      <c r="AQ64" s="293"/>
      <c r="AR64" s="293"/>
      <c r="AS64" s="293"/>
      <c r="AT64" s="293"/>
      <c r="AU64" s="294" t="str">
        <f>IFERROR(VLOOKUP(AT64,'Seguridad Información'!$I$61:$J$65,2,0),"")</f>
        <v/>
      </c>
      <c r="AV64" s="79"/>
      <c r="AW64" s="78" t="str">
        <f t="shared" si="1"/>
        <v/>
      </c>
      <c r="AX64" s="77" t="str">
        <f t="shared" si="2"/>
        <v/>
      </c>
      <c r="AY64" s="21" t="str">
        <f>IFERROR(VLOOKUP((CONCATENATE(AM64,AX64)),Listados!$U$3:$V$11,2,FALSE),"")</f>
        <v/>
      </c>
      <c r="AZ64" s="48">
        <f t="shared" si="10"/>
        <v>100</v>
      </c>
      <c r="BA64" s="355"/>
      <c r="BB64" s="357"/>
      <c r="BC64" s="173">
        <f>+IF(AND(W64="Preventivo",BB61="Fuerte"),2,IF(AND(W64="Preventivo",BB61="Moderado"),1,0))</f>
        <v>0</v>
      </c>
      <c r="BD64" s="64">
        <f>+IF(AND(W64="Detectivo/Correctivo",$BB61="Fuerte"),2,IF(AND(W64="Detectivo/Correctivo",$BB64="Moderado"),1,IF(AND(W64="Preventivo",$BB61="Fuerte"),1,0)))</f>
        <v>0</v>
      </c>
      <c r="BE64" s="173" t="e">
        <f>+N61-BC64</f>
        <v>#N/A</v>
      </c>
      <c r="BF64" s="173" t="e">
        <f>+P61-BD64</f>
        <v>#N/A</v>
      </c>
      <c r="BG64" s="346"/>
      <c r="BH64" s="346"/>
      <c r="BI64" s="346"/>
      <c r="BJ64" s="538"/>
      <c r="BK64" s="538"/>
      <c r="BL64" s="538"/>
      <c r="BM64" s="538"/>
    </row>
    <row r="65" spans="1:65" ht="65.099999999999994" customHeight="1" thickBot="1">
      <c r="A65" s="329"/>
      <c r="B65" s="514"/>
      <c r="C65" s="364"/>
      <c r="D65" s="109"/>
      <c r="E65" s="109"/>
      <c r="F65" s="433"/>
      <c r="G65" s="367"/>
      <c r="H65" s="100"/>
      <c r="I65" s="237"/>
      <c r="J65" s="100"/>
      <c r="K65" s="29"/>
      <c r="L65" s="222"/>
      <c r="M65" s="370"/>
      <c r="N65" s="349"/>
      <c r="O65" s="352"/>
      <c r="P65" s="349"/>
      <c r="Q65" s="353"/>
      <c r="R65" s="346"/>
      <c r="S65" s="208"/>
      <c r="T65" s="195"/>
      <c r="U65" s="47" t="s">
        <v>627</v>
      </c>
      <c r="V65" s="215"/>
      <c r="W65" s="215"/>
      <c r="X65" s="215"/>
      <c r="Y65" s="95" t="str">
        <f t="shared" si="3"/>
        <v/>
      </c>
      <c r="Z65" s="215"/>
      <c r="AA65" s="95" t="str">
        <f t="shared" si="4"/>
        <v/>
      </c>
      <c r="AB65" s="208"/>
      <c r="AC65" s="95" t="str">
        <f t="shared" si="5"/>
        <v/>
      </c>
      <c r="AD65" s="208"/>
      <c r="AE65" s="95" t="str">
        <f t="shared" si="6"/>
        <v/>
      </c>
      <c r="AF65" s="208"/>
      <c r="AG65" s="95" t="str">
        <f t="shared" si="7"/>
        <v/>
      </c>
      <c r="AH65" s="208"/>
      <c r="AI65" s="95" t="str">
        <f t="shared" si="8"/>
        <v/>
      </c>
      <c r="AJ65" s="208"/>
      <c r="AK65" s="27" t="str">
        <f t="shared" si="0"/>
        <v/>
      </c>
      <c r="AL65" s="48" t="str">
        <f t="shared" si="11"/>
        <v/>
      </c>
      <c r="AM65" s="48" t="str">
        <f t="shared" si="9"/>
        <v/>
      </c>
      <c r="AN65" s="293"/>
      <c r="AO65" s="293"/>
      <c r="AP65" s="293"/>
      <c r="AQ65" s="293"/>
      <c r="AR65" s="293"/>
      <c r="AS65" s="293"/>
      <c r="AT65" s="293"/>
      <c r="AU65" s="294" t="str">
        <f>IFERROR(VLOOKUP(AT65,'Seguridad Información'!$I$61:$J$65,2,0),"")</f>
        <v/>
      </c>
      <c r="AV65" s="79"/>
      <c r="AW65" s="78" t="str">
        <f t="shared" si="1"/>
        <v/>
      </c>
      <c r="AX65" s="77" t="str">
        <f t="shared" si="2"/>
        <v/>
      </c>
      <c r="AY65" s="21" t="str">
        <f>IFERROR(VLOOKUP((CONCATENATE(AM65,AX65)),Listados!$U$3:$V$11,2,FALSE),"")</f>
        <v/>
      </c>
      <c r="AZ65" s="48">
        <f t="shared" si="10"/>
        <v>100</v>
      </c>
      <c r="BA65" s="355"/>
      <c r="BB65" s="357"/>
      <c r="BC65" s="173">
        <f>+IF(AND(W65="Preventivo",BB61="Fuerte"),2,IF(AND(W65="Preventivo",BB61="Moderado"),1,0))</f>
        <v>0</v>
      </c>
      <c r="BD65" s="64">
        <f>+IF(AND(W65="Detectivo/Correctivo",$BB61="Fuerte"),2,IF(AND(W65="Detectivo/Correctivo",$BB65="Moderado"),1,IF(AND(W65="Preventivo",$BB61="Fuerte"),1,0)))</f>
        <v>0</v>
      </c>
      <c r="BE65" s="173" t="e">
        <f>+N61-BC65</f>
        <v>#N/A</v>
      </c>
      <c r="BF65" s="173" t="e">
        <f>+P61-BD65</f>
        <v>#N/A</v>
      </c>
      <c r="BG65" s="346"/>
      <c r="BH65" s="346"/>
      <c r="BI65" s="346"/>
      <c r="BJ65" s="538"/>
      <c r="BK65" s="538"/>
      <c r="BL65" s="538"/>
      <c r="BM65" s="538"/>
    </row>
    <row r="66" spans="1:65" ht="65.099999999999994" customHeight="1" thickBot="1">
      <c r="A66" s="330"/>
      <c r="B66" s="514"/>
      <c r="C66" s="365"/>
      <c r="D66" s="106"/>
      <c r="E66" s="106"/>
      <c r="F66" s="434"/>
      <c r="G66" s="368"/>
      <c r="H66" s="100"/>
      <c r="I66" s="237"/>
      <c r="J66" s="100"/>
      <c r="K66" s="31"/>
      <c r="L66" s="222"/>
      <c r="M66" s="370"/>
      <c r="N66" s="350"/>
      <c r="O66" s="352"/>
      <c r="P66" s="350"/>
      <c r="Q66" s="353"/>
      <c r="R66" s="347"/>
      <c r="S66" s="208"/>
      <c r="T66" s="98"/>
      <c r="U66" s="47" t="s">
        <v>627</v>
      </c>
      <c r="V66" s="215"/>
      <c r="W66" s="215"/>
      <c r="X66" s="215"/>
      <c r="Y66" s="95" t="str">
        <f t="shared" si="3"/>
        <v/>
      </c>
      <c r="Z66" s="215"/>
      <c r="AA66" s="95" t="str">
        <f t="shared" si="4"/>
        <v/>
      </c>
      <c r="AB66" s="208"/>
      <c r="AC66" s="95" t="str">
        <f t="shared" si="5"/>
        <v/>
      </c>
      <c r="AD66" s="208"/>
      <c r="AE66" s="95" t="str">
        <f t="shared" si="6"/>
        <v/>
      </c>
      <c r="AF66" s="208"/>
      <c r="AG66" s="95" t="str">
        <f t="shared" si="7"/>
        <v/>
      </c>
      <c r="AH66" s="208"/>
      <c r="AI66" s="95" t="str">
        <f t="shared" si="8"/>
        <v/>
      </c>
      <c r="AJ66" s="208"/>
      <c r="AK66" s="27" t="str">
        <f t="shared" si="0"/>
        <v/>
      </c>
      <c r="AL66" s="48" t="str">
        <f t="shared" si="11"/>
        <v/>
      </c>
      <c r="AM66" s="48" t="str">
        <f t="shared" si="9"/>
        <v/>
      </c>
      <c r="AN66" s="293"/>
      <c r="AO66" s="293"/>
      <c r="AP66" s="293"/>
      <c r="AQ66" s="293"/>
      <c r="AR66" s="293"/>
      <c r="AS66" s="293"/>
      <c r="AT66" s="293"/>
      <c r="AU66" s="294" t="str">
        <f>IFERROR(VLOOKUP(AT66,'Seguridad Información'!$I$61:$J$65,2,0),"")</f>
        <v/>
      </c>
      <c r="AV66" s="79"/>
      <c r="AW66" s="78" t="str">
        <f t="shared" si="1"/>
        <v/>
      </c>
      <c r="AX66" s="77" t="str">
        <f t="shared" si="2"/>
        <v/>
      </c>
      <c r="AY66" s="21" t="str">
        <f>IFERROR(VLOOKUP((CONCATENATE(AM66,AX66)),Listados!$U$3:$V$11,2,FALSE),"")</f>
        <v/>
      </c>
      <c r="AZ66" s="48">
        <f t="shared" si="10"/>
        <v>100</v>
      </c>
      <c r="BA66" s="356"/>
      <c r="BB66" s="357"/>
      <c r="BC66" s="173">
        <f>+IF(AND(W66="Preventivo",BB61="Fuerte"),2,IF(AND(W66="Preventivo",BB61="Moderado"),1,0))</f>
        <v>0</v>
      </c>
      <c r="BD66" s="64">
        <f>+IF(AND(W66="Detectivo/Correctivo",$BB61="Fuerte"),2,IF(AND(W66="Detectivo/Correctivo",$BB66="Moderado"),1,IF(AND(W66="Preventivo",$BB61="Fuerte"),1,0)))</f>
        <v>0</v>
      </c>
      <c r="BE66" s="173" t="e">
        <f>+N61-BC66</f>
        <v>#N/A</v>
      </c>
      <c r="BF66" s="173" t="e">
        <f>+P61-BD66</f>
        <v>#N/A</v>
      </c>
      <c r="BG66" s="347"/>
      <c r="BH66" s="347"/>
      <c r="BI66" s="347"/>
      <c r="BJ66" s="539"/>
      <c r="BK66" s="539"/>
      <c r="BL66" s="539"/>
      <c r="BM66" s="539"/>
    </row>
    <row r="67" spans="1:65" ht="65.099999999999994" customHeight="1" thickBot="1">
      <c r="A67" s="328">
        <v>11</v>
      </c>
      <c r="B67" s="519"/>
      <c r="C67" s="371" t="str">
        <f>IFERROR(VLOOKUP(B67,Listados!B$3:C$20,2,FALSE),"")</f>
        <v/>
      </c>
      <c r="D67" s="107"/>
      <c r="E67" s="107"/>
      <c r="F67" s="432"/>
      <c r="G67" s="372"/>
      <c r="H67" s="100"/>
      <c r="I67" s="237"/>
      <c r="J67" s="100"/>
      <c r="K67" s="103"/>
      <c r="L67" s="17"/>
      <c r="M67" s="369"/>
      <c r="N67" s="348" t="e">
        <f>+VLOOKUP(M67,Listados!$K$8:$L$12,2,0)</f>
        <v>#N/A</v>
      </c>
      <c r="O67" s="351"/>
      <c r="P67" s="348" t="e">
        <f>+VLOOKUP(O67,Listados!$K$13:$L$17,2,0)</f>
        <v>#N/A</v>
      </c>
      <c r="Q67" s="347" t="str">
        <f>IF(AND(M67&lt;&gt;"",O67&lt;&gt;""),VLOOKUP(M67&amp;O67,Listados!$M$3:$N$27,2,FALSE),"")</f>
        <v/>
      </c>
      <c r="R67" s="345" t="e">
        <f>+VLOOKUP(Q67,Listados!$P$3:$Q$6,2,FALSE)</f>
        <v>#N/A</v>
      </c>
      <c r="S67" s="208"/>
      <c r="T67" s="94"/>
      <c r="U67" s="47" t="s">
        <v>627</v>
      </c>
      <c r="V67" s="215"/>
      <c r="W67" s="215"/>
      <c r="X67" s="215"/>
      <c r="Y67" s="95" t="str">
        <f t="shared" si="3"/>
        <v/>
      </c>
      <c r="Z67" s="215"/>
      <c r="AA67" s="95" t="str">
        <f t="shared" si="4"/>
        <v/>
      </c>
      <c r="AB67" s="208"/>
      <c r="AC67" s="95" t="str">
        <f t="shared" si="5"/>
        <v/>
      </c>
      <c r="AD67" s="208"/>
      <c r="AE67" s="95" t="str">
        <f t="shared" si="6"/>
        <v/>
      </c>
      <c r="AF67" s="208"/>
      <c r="AG67" s="95" t="str">
        <f t="shared" si="7"/>
        <v/>
      </c>
      <c r="AH67" s="208"/>
      <c r="AI67" s="95" t="str">
        <f t="shared" si="8"/>
        <v/>
      </c>
      <c r="AJ67" s="208"/>
      <c r="AK67" s="27" t="str">
        <f t="shared" si="0"/>
        <v/>
      </c>
      <c r="AL67" s="48" t="str">
        <f t="shared" si="11"/>
        <v/>
      </c>
      <c r="AM67" s="48" t="str">
        <f t="shared" si="9"/>
        <v/>
      </c>
      <c r="AN67" s="293"/>
      <c r="AO67" s="293"/>
      <c r="AP67" s="293"/>
      <c r="AQ67" s="293"/>
      <c r="AR67" s="293"/>
      <c r="AS67" s="293"/>
      <c r="AT67" s="293"/>
      <c r="AU67" s="294" t="str">
        <f>IFERROR(VLOOKUP(AT67,'Seguridad Información'!$I$61:$J$65,2,0),"")</f>
        <v/>
      </c>
      <c r="AV67" s="79"/>
      <c r="AW67" s="78" t="str">
        <f t="shared" si="1"/>
        <v/>
      </c>
      <c r="AX67" s="77" t="str">
        <f t="shared" si="2"/>
        <v/>
      </c>
      <c r="AY67" s="21" t="str">
        <f>IFERROR(VLOOKUP((CONCATENATE(AM67,AX67)),Listados!$U$3:$V$11,2,FALSE),"")</f>
        <v/>
      </c>
      <c r="AZ67" s="48">
        <f t="shared" si="10"/>
        <v>100</v>
      </c>
      <c r="BA67" s="354">
        <f>AVERAGE(AZ67:AZ72)</f>
        <v>100</v>
      </c>
      <c r="BB67" s="356" t="str">
        <f>IF(BA67&lt;=50, "Débil", IF(BA67&lt;=99,"Moderado","Fuerte"))</f>
        <v>Fuerte</v>
      </c>
      <c r="BC67" s="173">
        <f>+IF(AND(W67="Preventivo",BB67="Fuerte"),2,IF(AND(W67="Preventivo",BB67="Moderado"),1,0))</f>
        <v>0</v>
      </c>
      <c r="BD67" s="64">
        <f>+IF(AND(W67="Detectivo/Correctivo",$BB67="Fuerte"),2,IF(AND(W67="Detectivo/Correctivo",$BB67="Moderado"),1,IF(AND(W67="Preventivo",$BB67="Fuerte"),1,0)))</f>
        <v>0</v>
      </c>
      <c r="BE67" s="173" t="e">
        <f>+N67-BC67</f>
        <v>#N/A</v>
      </c>
      <c r="BF67" s="173" t="e">
        <f>+P67-BD67</f>
        <v>#N/A</v>
      </c>
      <c r="BG67" s="345" t="e">
        <f>+VLOOKUP(MIN(BE67,BE68,BE69,BE70,BE71,BE72),Listados!$J$18:$K$24,2,TRUE)</f>
        <v>#N/A</v>
      </c>
      <c r="BH67" s="345" t="e">
        <f>+VLOOKUP(MIN(BF67,BF68,BF69,BF70,BF71,BF72),Listados!$J$27:$K$32,2,TRUE)</f>
        <v>#N/A</v>
      </c>
      <c r="BI67" s="345" t="e">
        <f>IF(AND(BG67&lt;&gt;"",BH67&lt;&gt;""),VLOOKUP(BG67&amp;BH67,Listados!$M$3:$N$27,2,FALSE),"")</f>
        <v>#N/A</v>
      </c>
      <c r="BJ67" s="537" t="e">
        <f>+IF($R67="Asumir el riesgo","NA","")</f>
        <v>#N/A</v>
      </c>
      <c r="BK67" s="537" t="e">
        <f>+IF($R67="Asumir el riesgo","NA","")</f>
        <v>#N/A</v>
      </c>
      <c r="BL67" s="537" t="e">
        <f>+IF($R67="Asumir el riesgo","NA","")</f>
        <v>#N/A</v>
      </c>
      <c r="BM67" s="537" t="e">
        <f>+IF($R67="Asumir el riesgo","NA","")</f>
        <v>#N/A</v>
      </c>
    </row>
    <row r="68" spans="1:65" ht="65.099999999999994" customHeight="1" thickBot="1">
      <c r="A68" s="329"/>
      <c r="B68" s="514"/>
      <c r="C68" s="364"/>
      <c r="D68" s="233"/>
      <c r="E68" s="233"/>
      <c r="F68" s="433"/>
      <c r="G68" s="367"/>
      <c r="H68" s="100"/>
      <c r="I68" s="237"/>
      <c r="J68" s="100"/>
      <c r="K68" s="236"/>
      <c r="L68" s="222"/>
      <c r="M68" s="370"/>
      <c r="N68" s="349"/>
      <c r="O68" s="352"/>
      <c r="P68" s="349"/>
      <c r="Q68" s="353"/>
      <c r="R68" s="346"/>
      <c r="S68" s="208"/>
      <c r="T68" s="195"/>
      <c r="U68" s="47" t="s">
        <v>627</v>
      </c>
      <c r="V68" s="215"/>
      <c r="W68" s="215"/>
      <c r="X68" s="215"/>
      <c r="Y68" s="95" t="str">
        <f t="shared" si="3"/>
        <v/>
      </c>
      <c r="Z68" s="215"/>
      <c r="AA68" s="95" t="str">
        <f t="shared" si="4"/>
        <v/>
      </c>
      <c r="AB68" s="208"/>
      <c r="AC68" s="95" t="str">
        <f t="shared" si="5"/>
        <v/>
      </c>
      <c r="AD68" s="208"/>
      <c r="AE68" s="95" t="str">
        <f t="shared" si="6"/>
        <v/>
      </c>
      <c r="AF68" s="208"/>
      <c r="AG68" s="95" t="str">
        <f t="shared" si="7"/>
        <v/>
      </c>
      <c r="AH68" s="208"/>
      <c r="AI68" s="95" t="str">
        <f t="shared" si="8"/>
        <v/>
      </c>
      <c r="AJ68" s="208"/>
      <c r="AK68" s="27" t="str">
        <f t="shared" si="0"/>
        <v/>
      </c>
      <c r="AL68" s="48" t="str">
        <f t="shared" si="11"/>
        <v/>
      </c>
      <c r="AM68" s="48" t="str">
        <f t="shared" si="9"/>
        <v/>
      </c>
      <c r="AN68" s="293"/>
      <c r="AO68" s="293"/>
      <c r="AP68" s="293"/>
      <c r="AQ68" s="293"/>
      <c r="AR68" s="293"/>
      <c r="AS68" s="293"/>
      <c r="AT68" s="293"/>
      <c r="AU68" s="294" t="str">
        <f>IFERROR(VLOOKUP(AT68,'Seguridad Información'!$I$61:$J$65,2,0),"")</f>
        <v/>
      </c>
      <c r="AV68" s="79"/>
      <c r="AW68" s="78" t="str">
        <f t="shared" si="1"/>
        <v/>
      </c>
      <c r="AX68" s="77" t="str">
        <f t="shared" si="2"/>
        <v/>
      </c>
      <c r="AY68" s="21" t="str">
        <f>IFERROR(VLOOKUP((CONCATENATE(AM68,AX68)),Listados!$U$3:$V$11,2,FALSE),"")</f>
        <v/>
      </c>
      <c r="AZ68" s="48">
        <f t="shared" si="10"/>
        <v>100</v>
      </c>
      <c r="BA68" s="355"/>
      <c r="BB68" s="357"/>
      <c r="BC68" s="173">
        <f>+IF(AND(W68="Preventivo",BB67="Fuerte"),2,IF(AND(W68="Preventivo",BB67="Moderado"),1,0))</f>
        <v>0</v>
      </c>
      <c r="BD68" s="64">
        <f>+IF(AND(W68="Detectivo/Correctivo",$BB67="Fuerte"),2,IF(AND(W68="Detectivo/Correctivo",$BB68="Moderado"),1,IF(AND(W68="Preventivo",$BB67="Fuerte"),1,0)))</f>
        <v>0</v>
      </c>
      <c r="BE68" s="173" t="e">
        <f>+N67-BC68</f>
        <v>#N/A</v>
      </c>
      <c r="BF68" s="173" t="e">
        <f>+P67-BD68</f>
        <v>#N/A</v>
      </c>
      <c r="BG68" s="346"/>
      <c r="BH68" s="346"/>
      <c r="BI68" s="346"/>
      <c r="BJ68" s="538"/>
      <c r="BK68" s="538"/>
      <c r="BL68" s="538"/>
      <c r="BM68" s="538"/>
    </row>
    <row r="69" spans="1:65" ht="65.099999999999994" customHeight="1" thickBot="1">
      <c r="A69" s="329"/>
      <c r="B69" s="514"/>
      <c r="C69" s="364"/>
      <c r="D69" s="233"/>
      <c r="E69" s="233"/>
      <c r="F69" s="433"/>
      <c r="G69" s="367"/>
      <c r="H69" s="100"/>
      <c r="I69" s="237"/>
      <c r="J69" s="100"/>
      <c r="K69" s="236"/>
      <c r="L69" s="222"/>
      <c r="M69" s="370"/>
      <c r="N69" s="349"/>
      <c r="O69" s="352"/>
      <c r="P69" s="349"/>
      <c r="Q69" s="353"/>
      <c r="R69" s="346"/>
      <c r="S69" s="208"/>
      <c r="T69" s="96"/>
      <c r="U69" s="47" t="s">
        <v>627</v>
      </c>
      <c r="V69" s="215"/>
      <c r="W69" s="215"/>
      <c r="X69" s="215"/>
      <c r="Y69" s="95" t="str">
        <f t="shared" si="3"/>
        <v/>
      </c>
      <c r="Z69" s="215"/>
      <c r="AA69" s="95" t="str">
        <f t="shared" si="4"/>
        <v/>
      </c>
      <c r="AB69" s="208"/>
      <c r="AC69" s="95" t="str">
        <f t="shared" si="5"/>
        <v/>
      </c>
      <c r="AD69" s="208"/>
      <c r="AE69" s="95" t="str">
        <f t="shared" si="6"/>
        <v/>
      </c>
      <c r="AF69" s="208"/>
      <c r="AG69" s="95" t="str">
        <f t="shared" si="7"/>
        <v/>
      </c>
      <c r="AH69" s="208"/>
      <c r="AI69" s="95" t="str">
        <f t="shared" si="8"/>
        <v/>
      </c>
      <c r="AJ69" s="208"/>
      <c r="AK69" s="27" t="str">
        <f t="shared" si="0"/>
        <v/>
      </c>
      <c r="AL69" s="48" t="str">
        <f t="shared" si="11"/>
        <v/>
      </c>
      <c r="AM69" s="48" t="str">
        <f t="shared" si="9"/>
        <v/>
      </c>
      <c r="AN69" s="293"/>
      <c r="AO69" s="293"/>
      <c r="AP69" s="293"/>
      <c r="AQ69" s="293"/>
      <c r="AR69" s="293"/>
      <c r="AS69" s="293"/>
      <c r="AT69" s="293"/>
      <c r="AU69" s="294" t="str">
        <f>IFERROR(VLOOKUP(AT69,'Seguridad Información'!$I$61:$J$65,2,0),"")</f>
        <v/>
      </c>
      <c r="AV69" s="79"/>
      <c r="AW69" s="78" t="str">
        <f t="shared" si="1"/>
        <v/>
      </c>
      <c r="AX69" s="77" t="str">
        <f t="shared" si="2"/>
        <v/>
      </c>
      <c r="AY69" s="21" t="str">
        <f>IFERROR(VLOOKUP((CONCATENATE(AM69,AX69)),Listados!$U$3:$V$11,2,FALSE),"")</f>
        <v/>
      </c>
      <c r="AZ69" s="48">
        <f t="shared" si="10"/>
        <v>100</v>
      </c>
      <c r="BA69" s="355"/>
      <c r="BB69" s="357"/>
      <c r="BC69" s="173">
        <f>+IF(AND(W69="Preventivo",BB67="Fuerte"),2,IF(AND(W69="Preventivo",BB67="Moderado"),1,0))</f>
        <v>0</v>
      </c>
      <c r="BD69" s="64">
        <f>+IF(AND(W69="Detectivo/Correctivo",$BB67="Fuerte"),2,IF(AND(W69="Detectivo/Correctivo",$BB69="Moderado"),1,IF(AND(W69="Preventivo",$BB67="Fuerte"),1,0)))</f>
        <v>0</v>
      </c>
      <c r="BE69" s="173" t="e">
        <f>+N67-BC69</f>
        <v>#N/A</v>
      </c>
      <c r="BF69" s="173" t="e">
        <f>+P67-BD69</f>
        <v>#N/A</v>
      </c>
      <c r="BG69" s="346"/>
      <c r="BH69" s="346"/>
      <c r="BI69" s="346"/>
      <c r="BJ69" s="538"/>
      <c r="BK69" s="538"/>
      <c r="BL69" s="538"/>
      <c r="BM69" s="538"/>
    </row>
    <row r="70" spans="1:65" ht="65.099999999999994" customHeight="1" thickBot="1">
      <c r="A70" s="329"/>
      <c r="B70" s="514"/>
      <c r="C70" s="364"/>
      <c r="D70" s="233"/>
      <c r="E70" s="233"/>
      <c r="F70" s="433"/>
      <c r="G70" s="367"/>
      <c r="H70" s="100"/>
      <c r="I70" s="237"/>
      <c r="J70" s="100"/>
      <c r="K70" s="236"/>
      <c r="L70" s="222"/>
      <c r="M70" s="370"/>
      <c r="N70" s="349"/>
      <c r="O70" s="352"/>
      <c r="P70" s="349"/>
      <c r="Q70" s="353"/>
      <c r="R70" s="346"/>
      <c r="S70" s="208"/>
      <c r="T70" s="97"/>
      <c r="U70" s="47" t="s">
        <v>627</v>
      </c>
      <c r="V70" s="215"/>
      <c r="W70" s="215"/>
      <c r="X70" s="215"/>
      <c r="Y70" s="95" t="str">
        <f t="shared" si="3"/>
        <v/>
      </c>
      <c r="Z70" s="215"/>
      <c r="AA70" s="95" t="str">
        <f t="shared" si="4"/>
        <v/>
      </c>
      <c r="AB70" s="208"/>
      <c r="AC70" s="95" t="str">
        <f t="shared" si="5"/>
        <v/>
      </c>
      <c r="AD70" s="208"/>
      <c r="AE70" s="95" t="str">
        <f t="shared" si="6"/>
        <v/>
      </c>
      <c r="AF70" s="208"/>
      <c r="AG70" s="95" t="str">
        <f t="shared" si="7"/>
        <v/>
      </c>
      <c r="AH70" s="208"/>
      <c r="AI70" s="95" t="str">
        <f t="shared" si="8"/>
        <v/>
      </c>
      <c r="AJ70" s="208"/>
      <c r="AK70" s="27" t="str">
        <f t="shared" si="0"/>
        <v/>
      </c>
      <c r="AL70" s="48" t="str">
        <f t="shared" si="11"/>
        <v/>
      </c>
      <c r="AM70" s="48" t="str">
        <f t="shared" si="9"/>
        <v/>
      </c>
      <c r="AN70" s="293"/>
      <c r="AO70" s="293"/>
      <c r="AP70" s="293"/>
      <c r="AQ70" s="293"/>
      <c r="AR70" s="293"/>
      <c r="AS70" s="293"/>
      <c r="AT70" s="293"/>
      <c r="AU70" s="294" t="str">
        <f>IFERROR(VLOOKUP(AT70,'Seguridad Información'!$I$61:$J$65,2,0),"")</f>
        <v/>
      </c>
      <c r="AV70" s="79"/>
      <c r="AW70" s="78" t="str">
        <f t="shared" si="1"/>
        <v/>
      </c>
      <c r="AX70" s="77" t="str">
        <f t="shared" si="2"/>
        <v/>
      </c>
      <c r="AY70" s="21" t="str">
        <f>IFERROR(VLOOKUP((CONCATENATE(AM70,AX70)),Listados!$U$3:$V$11,2,FALSE),"")</f>
        <v/>
      </c>
      <c r="AZ70" s="48">
        <f t="shared" si="10"/>
        <v>100</v>
      </c>
      <c r="BA70" s="355"/>
      <c r="BB70" s="357"/>
      <c r="BC70" s="173">
        <f>+IF(AND(W70="Preventivo",BB67="Fuerte"),2,IF(AND(W70="Preventivo",BB67="Moderado"),1,0))</f>
        <v>0</v>
      </c>
      <c r="BD70" s="64">
        <f>+IF(AND(W70="Detectivo/Correctivo",$BB67="Fuerte"),2,IF(AND(W70="Detectivo/Correctivo",$BB70="Moderado"),1,IF(AND(W70="Preventivo",$BB67="Fuerte"),1,0)))</f>
        <v>0</v>
      </c>
      <c r="BE70" s="173" t="e">
        <f>+N67-BC70</f>
        <v>#N/A</v>
      </c>
      <c r="BF70" s="173" t="e">
        <f>+P67-BD70</f>
        <v>#N/A</v>
      </c>
      <c r="BG70" s="346"/>
      <c r="BH70" s="346"/>
      <c r="BI70" s="346"/>
      <c r="BJ70" s="538"/>
      <c r="BK70" s="538"/>
      <c r="BL70" s="538"/>
      <c r="BM70" s="538"/>
    </row>
    <row r="71" spans="1:65" ht="65.099999999999994" customHeight="1" thickBot="1">
      <c r="A71" s="329"/>
      <c r="B71" s="514"/>
      <c r="C71" s="364"/>
      <c r="D71" s="109"/>
      <c r="E71" s="109"/>
      <c r="F71" s="433"/>
      <c r="G71" s="367"/>
      <c r="H71" s="100"/>
      <c r="I71" s="237"/>
      <c r="J71" s="100"/>
      <c r="K71" s="29"/>
      <c r="L71" s="222"/>
      <c r="M71" s="370"/>
      <c r="N71" s="349"/>
      <c r="O71" s="352"/>
      <c r="P71" s="349"/>
      <c r="Q71" s="353"/>
      <c r="R71" s="346"/>
      <c r="S71" s="208"/>
      <c r="T71" s="195"/>
      <c r="U71" s="47" t="s">
        <v>627</v>
      </c>
      <c r="V71" s="215"/>
      <c r="W71" s="215"/>
      <c r="X71" s="215"/>
      <c r="Y71" s="95" t="str">
        <f t="shared" si="3"/>
        <v/>
      </c>
      <c r="Z71" s="215"/>
      <c r="AA71" s="95" t="str">
        <f t="shared" si="4"/>
        <v/>
      </c>
      <c r="AB71" s="208"/>
      <c r="AC71" s="95" t="str">
        <f t="shared" si="5"/>
        <v/>
      </c>
      <c r="AD71" s="208"/>
      <c r="AE71" s="95" t="str">
        <f t="shared" si="6"/>
        <v/>
      </c>
      <c r="AF71" s="208"/>
      <c r="AG71" s="95" t="str">
        <f t="shared" si="7"/>
        <v/>
      </c>
      <c r="AH71" s="208"/>
      <c r="AI71" s="95" t="str">
        <f t="shared" si="8"/>
        <v/>
      </c>
      <c r="AJ71" s="208"/>
      <c r="AK71" s="27" t="str">
        <f t="shared" si="0"/>
        <v/>
      </c>
      <c r="AL71" s="48" t="str">
        <f t="shared" si="11"/>
        <v/>
      </c>
      <c r="AM71" s="48" t="str">
        <f t="shared" si="9"/>
        <v/>
      </c>
      <c r="AN71" s="293"/>
      <c r="AO71" s="293"/>
      <c r="AP71" s="293"/>
      <c r="AQ71" s="293"/>
      <c r="AR71" s="293"/>
      <c r="AS71" s="293"/>
      <c r="AT71" s="293"/>
      <c r="AU71" s="294" t="str">
        <f>IFERROR(VLOOKUP(AT71,'Seguridad Información'!$I$61:$J$65,2,0),"")</f>
        <v/>
      </c>
      <c r="AV71" s="79"/>
      <c r="AW71" s="78" t="str">
        <f t="shared" ref="AW71:AW134" si="12">IFERROR(AVERAGE(AO71,AQ71,AS71,AU71),"")</f>
        <v/>
      </c>
      <c r="AX71" s="77" t="str">
        <f t="shared" si="2"/>
        <v/>
      </c>
      <c r="AY71" s="21" t="str">
        <f>IFERROR(VLOOKUP((CONCATENATE(AM71,AX71)),Listados!$U$3:$V$11,2,FALSE),"")</f>
        <v/>
      </c>
      <c r="AZ71" s="48">
        <f t="shared" si="10"/>
        <v>100</v>
      </c>
      <c r="BA71" s="355"/>
      <c r="BB71" s="357"/>
      <c r="BC71" s="173">
        <f>+IF(AND(W71="Preventivo",BB67="Fuerte"),2,IF(AND(W71="Preventivo",BB67="Moderado"),1,0))</f>
        <v>0</v>
      </c>
      <c r="BD71" s="64">
        <f>+IF(AND(W71="Detectivo/Correctivo",$BB67="Fuerte"),2,IF(AND(W71="Detectivo/Correctivo",$BB71="Moderado"),1,IF(AND(W71="Preventivo",$BB67="Fuerte"),1,0)))</f>
        <v>0</v>
      </c>
      <c r="BE71" s="173" t="e">
        <f>+N67-BC71</f>
        <v>#N/A</v>
      </c>
      <c r="BF71" s="173" t="e">
        <f>+P67-BD71</f>
        <v>#N/A</v>
      </c>
      <c r="BG71" s="346"/>
      <c r="BH71" s="346"/>
      <c r="BI71" s="346"/>
      <c r="BJ71" s="538"/>
      <c r="BK71" s="538"/>
      <c r="BL71" s="538"/>
      <c r="BM71" s="538"/>
    </row>
    <row r="72" spans="1:65" ht="65.099999999999994" customHeight="1" thickBot="1">
      <c r="A72" s="330"/>
      <c r="B72" s="514"/>
      <c r="C72" s="365"/>
      <c r="D72" s="106"/>
      <c r="E72" s="106"/>
      <c r="F72" s="434"/>
      <c r="G72" s="368"/>
      <c r="H72" s="100"/>
      <c r="I72" s="237"/>
      <c r="J72" s="100"/>
      <c r="K72" s="31"/>
      <c r="L72" s="222"/>
      <c r="M72" s="370"/>
      <c r="N72" s="350"/>
      <c r="O72" s="352"/>
      <c r="P72" s="350"/>
      <c r="Q72" s="353"/>
      <c r="R72" s="347"/>
      <c r="S72" s="208"/>
      <c r="T72" s="98"/>
      <c r="U72" s="47" t="s">
        <v>627</v>
      </c>
      <c r="V72" s="215"/>
      <c r="W72" s="215"/>
      <c r="X72" s="215"/>
      <c r="Y72" s="95" t="str">
        <f t="shared" ref="Y72:Y135" si="13">+IF(X72="si",15,"")</f>
        <v/>
      </c>
      <c r="Z72" s="215"/>
      <c r="AA72" s="95" t="str">
        <f t="shared" ref="AA72:AA135" si="14">+IF(Z72="si",15,"")</f>
        <v/>
      </c>
      <c r="AB72" s="208"/>
      <c r="AC72" s="95" t="str">
        <f t="shared" ref="AC72:AC135" si="15">+IF(AB72="si",15,"")</f>
        <v/>
      </c>
      <c r="AD72" s="208"/>
      <c r="AE72" s="95" t="str">
        <f t="shared" ref="AE72:AE135" si="16">+IF(AD72="si",15,"")</f>
        <v/>
      </c>
      <c r="AF72" s="208"/>
      <c r="AG72" s="95" t="str">
        <f t="shared" ref="AG72:AG135" si="17">+IF(AF72="si",15,"")</f>
        <v/>
      </c>
      <c r="AH72" s="208"/>
      <c r="AI72" s="95" t="str">
        <f t="shared" ref="AI72:AI135" si="18">+IF(AH72="si",15,"")</f>
        <v/>
      </c>
      <c r="AJ72" s="208"/>
      <c r="AK72" s="27" t="str">
        <f t="shared" ref="AK72:AK135" si="19">+IF(AJ72="Completa",10,IF(AJ72="Incompleta",5,""))</f>
        <v/>
      </c>
      <c r="AL72" s="48" t="str">
        <f t="shared" ref="AL72:AL135" si="20">IF((SUM(Y72,AA72,AC72,AE72,AG72,AI72,AK72)=0),"",(SUM(Y72,AA72,AC72,AE72,AG72,AI72,AK72)))</f>
        <v/>
      </c>
      <c r="AM72" s="48" t="str">
        <f t="shared" ref="AM72:AM135" si="21">IF(AL72&lt;=85,"Débil",IF(AL72&lt;=95,"Moderado",IF(AL72=100,"Fuerte","")))</f>
        <v/>
      </c>
      <c r="AN72" s="293"/>
      <c r="AO72" s="293"/>
      <c r="AP72" s="293"/>
      <c r="AQ72" s="293"/>
      <c r="AR72" s="293"/>
      <c r="AS72" s="293"/>
      <c r="AT72" s="293"/>
      <c r="AU72" s="294" t="str">
        <f>IFERROR(VLOOKUP(AT72,'Seguridad Información'!$I$61:$J$65,2,0),"")</f>
        <v/>
      </c>
      <c r="AV72" s="79"/>
      <c r="AW72" s="78" t="str">
        <f t="shared" si="12"/>
        <v/>
      </c>
      <c r="AX72" s="77" t="str">
        <f t="shared" ref="AX72:AX135" si="22">IF(AW72&lt;=80,"Débil",IF(AW72&lt;=90,"Moderado",IF(AW72=100,"Fuerte","")))</f>
        <v/>
      </c>
      <c r="AY72" s="21" t="str">
        <f>IFERROR(VLOOKUP((CONCATENATE(AM72,AX72)),Listados!$U$3:$V$11,2,FALSE),"")</f>
        <v/>
      </c>
      <c r="AZ72" s="48">
        <f t="shared" si="10"/>
        <v>100</v>
      </c>
      <c r="BA72" s="356"/>
      <c r="BB72" s="357"/>
      <c r="BC72" s="173">
        <f>+IF(AND(W72="Preventivo",BB67="Fuerte"),2,IF(AND(W72="Preventivo",BB67="Moderado"),1,0))</f>
        <v>0</v>
      </c>
      <c r="BD72" s="64">
        <f>+IF(AND(W72="Detectivo/Correctivo",$BB67="Fuerte"),2,IF(AND(W72="Detectivo/Correctivo",$BB72="Moderado"),1,IF(AND(W72="Preventivo",$BB67="Fuerte"),1,0)))</f>
        <v>0</v>
      </c>
      <c r="BE72" s="173" t="e">
        <f>+N67-BC72</f>
        <v>#N/A</v>
      </c>
      <c r="BF72" s="173" t="e">
        <f>+P67-BD72</f>
        <v>#N/A</v>
      </c>
      <c r="BG72" s="347"/>
      <c r="BH72" s="347"/>
      <c r="BI72" s="347"/>
      <c r="BJ72" s="539"/>
      <c r="BK72" s="539"/>
      <c r="BL72" s="539"/>
      <c r="BM72" s="539"/>
    </row>
    <row r="73" spans="1:65" ht="65.099999999999994" customHeight="1" thickBot="1">
      <c r="A73" s="328">
        <v>12</v>
      </c>
      <c r="B73" s="519"/>
      <c r="C73" s="371" t="str">
        <f>IFERROR(VLOOKUP(B73,Listados!B$3:C$20,2,FALSE),"")</f>
        <v/>
      </c>
      <c r="D73" s="107"/>
      <c r="E73" s="107"/>
      <c r="F73" s="432"/>
      <c r="G73" s="372"/>
      <c r="H73" s="100"/>
      <c r="I73" s="237"/>
      <c r="J73" s="100"/>
      <c r="K73" s="103"/>
      <c r="L73" s="17"/>
      <c r="M73" s="369"/>
      <c r="N73" s="348" t="e">
        <f>+VLOOKUP(M73,Listados!$K$8:$L$12,2,0)</f>
        <v>#N/A</v>
      </c>
      <c r="O73" s="351"/>
      <c r="P73" s="348" t="e">
        <f>+VLOOKUP(O73,Listados!$K$13:$L$17,2,0)</f>
        <v>#N/A</v>
      </c>
      <c r="Q73" s="347" t="str">
        <f>IF(AND(M73&lt;&gt;"",O73&lt;&gt;""),VLOOKUP(M73&amp;O73,Listados!$M$3:$N$27,2,FALSE),"")</f>
        <v/>
      </c>
      <c r="R73" s="345" t="e">
        <f>+VLOOKUP(Q73,Listados!$P$3:$Q$6,2,FALSE)</f>
        <v>#N/A</v>
      </c>
      <c r="S73" s="208"/>
      <c r="T73" s="94"/>
      <c r="U73" s="47" t="s">
        <v>627</v>
      </c>
      <c r="V73" s="215"/>
      <c r="W73" s="215"/>
      <c r="X73" s="215"/>
      <c r="Y73" s="95" t="str">
        <f t="shared" si="13"/>
        <v/>
      </c>
      <c r="Z73" s="215"/>
      <c r="AA73" s="95" t="str">
        <f t="shared" si="14"/>
        <v/>
      </c>
      <c r="AB73" s="208"/>
      <c r="AC73" s="95" t="str">
        <f t="shared" si="15"/>
        <v/>
      </c>
      <c r="AD73" s="208"/>
      <c r="AE73" s="95" t="str">
        <f t="shared" si="16"/>
        <v/>
      </c>
      <c r="AF73" s="208"/>
      <c r="AG73" s="95" t="str">
        <f t="shared" si="17"/>
        <v/>
      </c>
      <c r="AH73" s="208"/>
      <c r="AI73" s="95" t="str">
        <f t="shared" si="18"/>
        <v/>
      </c>
      <c r="AJ73" s="208"/>
      <c r="AK73" s="27" t="str">
        <f t="shared" si="19"/>
        <v/>
      </c>
      <c r="AL73" s="48" t="str">
        <f t="shared" si="20"/>
        <v/>
      </c>
      <c r="AM73" s="48" t="str">
        <f t="shared" si="21"/>
        <v/>
      </c>
      <c r="AN73" s="293"/>
      <c r="AO73" s="293"/>
      <c r="AP73" s="293"/>
      <c r="AQ73" s="293"/>
      <c r="AR73" s="293"/>
      <c r="AS73" s="293"/>
      <c r="AT73" s="293"/>
      <c r="AU73" s="294" t="str">
        <f>IFERROR(VLOOKUP(AT73,'Seguridad Información'!$I$61:$J$65,2,0),"")</f>
        <v/>
      </c>
      <c r="AV73" s="79"/>
      <c r="AW73" s="78" t="str">
        <f t="shared" si="12"/>
        <v/>
      </c>
      <c r="AX73" s="77" t="str">
        <f t="shared" si="22"/>
        <v/>
      </c>
      <c r="AY73" s="21" t="str">
        <f>IFERROR(VLOOKUP((CONCATENATE(AM73,AX73)),Listados!$U$3:$V$11,2,FALSE),"")</f>
        <v/>
      </c>
      <c r="AZ73" s="48">
        <f t="shared" ref="AZ73:AZ136" si="23">IF(ISBLANK(AY73),"",IF(AY73="Débil", 0, IF(AY73="Moderado",50,100)))</f>
        <v>100</v>
      </c>
      <c r="BA73" s="354">
        <f>AVERAGE(AZ73:AZ78)</f>
        <v>100</v>
      </c>
      <c r="BB73" s="356" t="str">
        <f>IF(BA73&lt;=50, "Débil", IF(BA73&lt;=99,"Moderado","Fuerte"))</f>
        <v>Fuerte</v>
      </c>
      <c r="BC73" s="173">
        <f>+IF(AND(W73="Preventivo",BB73="Fuerte"),2,IF(AND(W73="Preventivo",BB73="Moderado"),1,0))</f>
        <v>0</v>
      </c>
      <c r="BD73" s="64">
        <f>+IF(AND(W73="Detectivo/Correctivo",$BB73="Fuerte"),2,IF(AND(W73="Detectivo/Correctivo",$BB73="Moderado"),1,IF(AND(W73="Preventivo",$BB73="Fuerte"),1,0)))</f>
        <v>0</v>
      </c>
      <c r="BE73" s="173" t="e">
        <f>+N73-BC73</f>
        <v>#N/A</v>
      </c>
      <c r="BF73" s="173" t="e">
        <f>+P73-BD73</f>
        <v>#N/A</v>
      </c>
      <c r="BG73" s="345" t="e">
        <f>+VLOOKUP(MIN(BE73,BE74,BE75,BE76,BE77,BE78),Listados!$J$18:$K$24,2,TRUE)</f>
        <v>#N/A</v>
      </c>
      <c r="BH73" s="345" t="e">
        <f>+VLOOKUP(MIN(BF73,BF74,BF75,BF76,BF77,BF78),Listados!$J$27:$K$32,2,TRUE)</f>
        <v>#N/A</v>
      </c>
      <c r="BI73" s="345" t="e">
        <f>IF(AND(BG73&lt;&gt;"",BH73&lt;&gt;""),VLOOKUP(BG73&amp;BH73,Listados!$M$3:$N$27,2,FALSE),"")</f>
        <v>#N/A</v>
      </c>
      <c r="BJ73" s="537" t="e">
        <f>+IF($R73="Asumir el riesgo","NA","")</f>
        <v>#N/A</v>
      </c>
      <c r="BK73" s="537" t="e">
        <f>+IF($R73="Asumir el riesgo","NA","")</f>
        <v>#N/A</v>
      </c>
      <c r="BL73" s="537" t="e">
        <f>+IF($R73="Asumir el riesgo","NA","")</f>
        <v>#N/A</v>
      </c>
      <c r="BM73" s="537" t="e">
        <f>+IF($R73="Asumir el riesgo","NA","")</f>
        <v>#N/A</v>
      </c>
    </row>
    <row r="74" spans="1:65" ht="65.099999999999994" customHeight="1" thickBot="1">
      <c r="A74" s="329"/>
      <c r="B74" s="514"/>
      <c r="C74" s="364"/>
      <c r="D74" s="233"/>
      <c r="E74" s="233"/>
      <c r="F74" s="433"/>
      <c r="G74" s="367"/>
      <c r="H74" s="100"/>
      <c r="I74" s="237"/>
      <c r="J74" s="100"/>
      <c r="K74" s="236"/>
      <c r="L74" s="222"/>
      <c r="M74" s="370"/>
      <c r="N74" s="349"/>
      <c r="O74" s="352"/>
      <c r="P74" s="349"/>
      <c r="Q74" s="353"/>
      <c r="R74" s="346"/>
      <c r="S74" s="208"/>
      <c r="T74" s="195"/>
      <c r="U74" s="47" t="s">
        <v>627</v>
      </c>
      <c r="V74" s="215"/>
      <c r="W74" s="215"/>
      <c r="X74" s="215"/>
      <c r="Y74" s="95" t="str">
        <f t="shared" si="13"/>
        <v/>
      </c>
      <c r="Z74" s="215"/>
      <c r="AA74" s="95" t="str">
        <f t="shared" si="14"/>
        <v/>
      </c>
      <c r="AB74" s="208"/>
      <c r="AC74" s="95" t="str">
        <f t="shared" si="15"/>
        <v/>
      </c>
      <c r="AD74" s="208"/>
      <c r="AE74" s="95" t="str">
        <f t="shared" si="16"/>
        <v/>
      </c>
      <c r="AF74" s="208"/>
      <c r="AG74" s="95" t="str">
        <f t="shared" si="17"/>
        <v/>
      </c>
      <c r="AH74" s="208"/>
      <c r="AI74" s="95" t="str">
        <f t="shared" si="18"/>
        <v/>
      </c>
      <c r="AJ74" s="208"/>
      <c r="AK74" s="27" t="str">
        <f t="shared" si="19"/>
        <v/>
      </c>
      <c r="AL74" s="48" t="str">
        <f t="shared" si="20"/>
        <v/>
      </c>
      <c r="AM74" s="48" t="str">
        <f t="shared" si="21"/>
        <v/>
      </c>
      <c r="AN74" s="293"/>
      <c r="AO74" s="293"/>
      <c r="AP74" s="293"/>
      <c r="AQ74" s="293"/>
      <c r="AR74" s="293"/>
      <c r="AS74" s="293"/>
      <c r="AT74" s="293"/>
      <c r="AU74" s="294" t="str">
        <f>IFERROR(VLOOKUP(AT74,'Seguridad Información'!$I$61:$J$65,2,0),"")</f>
        <v/>
      </c>
      <c r="AV74" s="79"/>
      <c r="AW74" s="78" t="str">
        <f t="shared" si="12"/>
        <v/>
      </c>
      <c r="AX74" s="77" t="str">
        <f t="shared" si="22"/>
        <v/>
      </c>
      <c r="AY74" s="21" t="str">
        <f>IFERROR(VLOOKUP((CONCATENATE(AM74,AX74)),Listados!$U$3:$V$11,2,FALSE),"")</f>
        <v/>
      </c>
      <c r="AZ74" s="48">
        <f t="shared" si="23"/>
        <v>100</v>
      </c>
      <c r="BA74" s="355"/>
      <c r="BB74" s="357"/>
      <c r="BC74" s="173">
        <f>+IF(AND(W74="Preventivo",BB73="Fuerte"),2,IF(AND(W74="Preventivo",BB73="Moderado"),1,0))</f>
        <v>0</v>
      </c>
      <c r="BD74" s="64">
        <f>+IF(AND(W74="Detectivo/Correctivo",$BB73="Fuerte"),2,IF(AND(W74="Detectivo/Correctivo",$BB74="Moderado"),1,IF(AND(W74="Preventivo",$BB73="Fuerte"),1,0)))</f>
        <v>0</v>
      </c>
      <c r="BE74" s="173" t="e">
        <f>+N73-BC74</f>
        <v>#N/A</v>
      </c>
      <c r="BF74" s="173" t="e">
        <f>+P73-BD74</f>
        <v>#N/A</v>
      </c>
      <c r="BG74" s="346"/>
      <c r="BH74" s="346"/>
      <c r="BI74" s="346"/>
      <c r="BJ74" s="538"/>
      <c r="BK74" s="538"/>
      <c r="BL74" s="538"/>
      <c r="BM74" s="538"/>
    </row>
    <row r="75" spans="1:65" ht="65.099999999999994" customHeight="1" thickBot="1">
      <c r="A75" s="329"/>
      <c r="B75" s="514"/>
      <c r="C75" s="364"/>
      <c r="D75" s="233"/>
      <c r="E75" s="233"/>
      <c r="F75" s="433"/>
      <c r="G75" s="367"/>
      <c r="H75" s="100"/>
      <c r="I75" s="237"/>
      <c r="J75" s="100"/>
      <c r="K75" s="236"/>
      <c r="L75" s="222"/>
      <c r="M75" s="370"/>
      <c r="N75" s="349"/>
      <c r="O75" s="352"/>
      <c r="P75" s="349"/>
      <c r="Q75" s="353"/>
      <c r="R75" s="346"/>
      <c r="S75" s="208"/>
      <c r="T75" s="96"/>
      <c r="U75" s="47" t="s">
        <v>627</v>
      </c>
      <c r="V75" s="215"/>
      <c r="W75" s="215"/>
      <c r="X75" s="215"/>
      <c r="Y75" s="95" t="str">
        <f t="shared" si="13"/>
        <v/>
      </c>
      <c r="Z75" s="215"/>
      <c r="AA75" s="95" t="str">
        <f t="shared" si="14"/>
        <v/>
      </c>
      <c r="AB75" s="208"/>
      <c r="AC75" s="95" t="str">
        <f t="shared" si="15"/>
        <v/>
      </c>
      <c r="AD75" s="208"/>
      <c r="AE75" s="95" t="str">
        <f t="shared" si="16"/>
        <v/>
      </c>
      <c r="AF75" s="208"/>
      <c r="AG75" s="95" t="str">
        <f t="shared" si="17"/>
        <v/>
      </c>
      <c r="AH75" s="208"/>
      <c r="AI75" s="95" t="str">
        <f t="shared" si="18"/>
        <v/>
      </c>
      <c r="AJ75" s="208"/>
      <c r="AK75" s="27" t="str">
        <f t="shared" si="19"/>
        <v/>
      </c>
      <c r="AL75" s="48" t="str">
        <f t="shared" si="20"/>
        <v/>
      </c>
      <c r="AM75" s="48" t="str">
        <f t="shared" si="21"/>
        <v/>
      </c>
      <c r="AN75" s="293"/>
      <c r="AO75" s="293"/>
      <c r="AP75" s="293"/>
      <c r="AQ75" s="293"/>
      <c r="AR75" s="293"/>
      <c r="AS75" s="293"/>
      <c r="AT75" s="293"/>
      <c r="AU75" s="294" t="str">
        <f>IFERROR(VLOOKUP(AT75,'Seguridad Información'!$I$61:$J$65,2,0),"")</f>
        <v/>
      </c>
      <c r="AV75" s="79"/>
      <c r="AW75" s="78" t="str">
        <f t="shared" si="12"/>
        <v/>
      </c>
      <c r="AX75" s="77" t="str">
        <f t="shared" si="22"/>
        <v/>
      </c>
      <c r="AY75" s="21" t="str">
        <f>IFERROR(VLOOKUP((CONCATENATE(AM75,AX75)),Listados!$U$3:$V$11,2,FALSE),"")</f>
        <v/>
      </c>
      <c r="AZ75" s="48">
        <f t="shared" si="23"/>
        <v>100</v>
      </c>
      <c r="BA75" s="355"/>
      <c r="BB75" s="357"/>
      <c r="BC75" s="173">
        <f>+IF(AND(W75="Preventivo",BB73="Fuerte"),2,IF(AND(W75="Preventivo",BB73="Moderado"),1,0))</f>
        <v>0</v>
      </c>
      <c r="BD75" s="64">
        <f>+IF(AND(W75="Detectivo/Correctivo",$BB73="Fuerte"),2,IF(AND(W75="Detectivo/Correctivo",$BB75="Moderado"),1,IF(AND(W75="Preventivo",$BB73="Fuerte"),1,0)))</f>
        <v>0</v>
      </c>
      <c r="BE75" s="173" t="e">
        <f>+N73-BC75</f>
        <v>#N/A</v>
      </c>
      <c r="BF75" s="173" t="e">
        <f>+P73-BD75</f>
        <v>#N/A</v>
      </c>
      <c r="BG75" s="346"/>
      <c r="BH75" s="346"/>
      <c r="BI75" s="346"/>
      <c r="BJ75" s="538"/>
      <c r="BK75" s="538"/>
      <c r="BL75" s="538"/>
      <c r="BM75" s="538"/>
    </row>
    <row r="76" spans="1:65" ht="65.099999999999994" customHeight="1" thickBot="1">
      <c r="A76" s="329"/>
      <c r="B76" s="514"/>
      <c r="C76" s="364"/>
      <c r="D76" s="233"/>
      <c r="E76" s="233"/>
      <c r="F76" s="433"/>
      <c r="G76" s="367"/>
      <c r="H76" s="100"/>
      <c r="I76" s="237"/>
      <c r="J76" s="100"/>
      <c r="K76" s="236"/>
      <c r="L76" s="222"/>
      <c r="M76" s="370"/>
      <c r="N76" s="349"/>
      <c r="O76" s="352"/>
      <c r="P76" s="349"/>
      <c r="Q76" s="353"/>
      <c r="R76" s="346"/>
      <c r="S76" s="208"/>
      <c r="T76" s="97"/>
      <c r="U76" s="47" t="s">
        <v>627</v>
      </c>
      <c r="V76" s="215"/>
      <c r="W76" s="215"/>
      <c r="X76" s="215"/>
      <c r="Y76" s="95" t="str">
        <f t="shared" si="13"/>
        <v/>
      </c>
      <c r="Z76" s="215"/>
      <c r="AA76" s="95" t="str">
        <f t="shared" si="14"/>
        <v/>
      </c>
      <c r="AB76" s="208"/>
      <c r="AC76" s="95" t="str">
        <f t="shared" si="15"/>
        <v/>
      </c>
      <c r="AD76" s="208"/>
      <c r="AE76" s="95" t="str">
        <f t="shared" si="16"/>
        <v/>
      </c>
      <c r="AF76" s="208"/>
      <c r="AG76" s="95" t="str">
        <f t="shared" si="17"/>
        <v/>
      </c>
      <c r="AH76" s="208"/>
      <c r="AI76" s="95" t="str">
        <f t="shared" si="18"/>
        <v/>
      </c>
      <c r="AJ76" s="208"/>
      <c r="AK76" s="27" t="str">
        <f t="shared" si="19"/>
        <v/>
      </c>
      <c r="AL76" s="48" t="str">
        <f t="shared" si="20"/>
        <v/>
      </c>
      <c r="AM76" s="48" t="str">
        <f t="shared" si="21"/>
        <v/>
      </c>
      <c r="AN76" s="293"/>
      <c r="AO76" s="293"/>
      <c r="AP76" s="293"/>
      <c r="AQ76" s="293"/>
      <c r="AR76" s="293"/>
      <c r="AS76" s="293"/>
      <c r="AT76" s="293"/>
      <c r="AU76" s="294" t="str">
        <f>IFERROR(VLOOKUP(AT76,'Seguridad Información'!$I$61:$J$65,2,0),"")</f>
        <v/>
      </c>
      <c r="AV76" s="79"/>
      <c r="AW76" s="78" t="str">
        <f t="shared" si="12"/>
        <v/>
      </c>
      <c r="AX76" s="77" t="str">
        <f t="shared" si="22"/>
        <v/>
      </c>
      <c r="AY76" s="21" t="str">
        <f>IFERROR(VLOOKUP((CONCATENATE(AM76,AX76)),Listados!$U$3:$V$11,2,FALSE),"")</f>
        <v/>
      </c>
      <c r="AZ76" s="48">
        <f t="shared" si="23"/>
        <v>100</v>
      </c>
      <c r="BA76" s="355"/>
      <c r="BB76" s="357"/>
      <c r="BC76" s="173">
        <f>+IF(AND(W76="Preventivo",BB73="Fuerte"),2,IF(AND(W76="Preventivo",BB73="Moderado"),1,0))</f>
        <v>0</v>
      </c>
      <c r="BD76" s="64">
        <f>+IF(AND(W76="Detectivo/Correctivo",$BB73="Fuerte"),2,IF(AND(W76="Detectivo/Correctivo",$BB76="Moderado"),1,IF(AND(W76="Preventivo",$BB73="Fuerte"),1,0)))</f>
        <v>0</v>
      </c>
      <c r="BE76" s="173" t="e">
        <f>+N73-BC76</f>
        <v>#N/A</v>
      </c>
      <c r="BF76" s="173" t="e">
        <f>+P73-BD76</f>
        <v>#N/A</v>
      </c>
      <c r="BG76" s="346"/>
      <c r="BH76" s="346"/>
      <c r="BI76" s="346"/>
      <c r="BJ76" s="538"/>
      <c r="BK76" s="538"/>
      <c r="BL76" s="538"/>
      <c r="BM76" s="538"/>
    </row>
    <row r="77" spans="1:65" ht="65.099999999999994" customHeight="1" thickBot="1">
      <c r="A77" s="329"/>
      <c r="B77" s="514"/>
      <c r="C77" s="364"/>
      <c r="D77" s="109"/>
      <c r="E77" s="109"/>
      <c r="F77" s="433"/>
      <c r="G77" s="367"/>
      <c r="H77" s="100"/>
      <c r="I77" s="237"/>
      <c r="J77" s="100"/>
      <c r="K77" s="29"/>
      <c r="L77" s="222"/>
      <c r="M77" s="370"/>
      <c r="N77" s="349"/>
      <c r="O77" s="352"/>
      <c r="P77" s="349"/>
      <c r="Q77" s="353"/>
      <c r="R77" s="346"/>
      <c r="S77" s="208"/>
      <c r="T77" s="195"/>
      <c r="U77" s="47" t="s">
        <v>627</v>
      </c>
      <c r="V77" s="215"/>
      <c r="W77" s="215"/>
      <c r="X77" s="215"/>
      <c r="Y77" s="95" t="str">
        <f t="shared" si="13"/>
        <v/>
      </c>
      <c r="Z77" s="215"/>
      <c r="AA77" s="95" t="str">
        <f t="shared" si="14"/>
        <v/>
      </c>
      <c r="AB77" s="208"/>
      <c r="AC77" s="95" t="str">
        <f t="shared" si="15"/>
        <v/>
      </c>
      <c r="AD77" s="208"/>
      <c r="AE77" s="95" t="str">
        <f t="shared" si="16"/>
        <v/>
      </c>
      <c r="AF77" s="208"/>
      <c r="AG77" s="95" t="str">
        <f t="shared" si="17"/>
        <v/>
      </c>
      <c r="AH77" s="208"/>
      <c r="AI77" s="95" t="str">
        <f t="shared" si="18"/>
        <v/>
      </c>
      <c r="AJ77" s="208"/>
      <c r="AK77" s="27" t="str">
        <f t="shared" si="19"/>
        <v/>
      </c>
      <c r="AL77" s="48" t="str">
        <f t="shared" si="20"/>
        <v/>
      </c>
      <c r="AM77" s="48" t="str">
        <f t="shared" si="21"/>
        <v/>
      </c>
      <c r="AN77" s="293"/>
      <c r="AO77" s="293"/>
      <c r="AP77" s="293"/>
      <c r="AQ77" s="293"/>
      <c r="AR77" s="293"/>
      <c r="AS77" s="293"/>
      <c r="AT77" s="293"/>
      <c r="AU77" s="294" t="str">
        <f>IFERROR(VLOOKUP(AT77,'Seguridad Información'!$I$61:$J$65,2,0),"")</f>
        <v/>
      </c>
      <c r="AV77" s="79"/>
      <c r="AW77" s="78" t="str">
        <f t="shared" si="12"/>
        <v/>
      </c>
      <c r="AX77" s="77" t="str">
        <f t="shared" si="22"/>
        <v/>
      </c>
      <c r="AY77" s="21" t="str">
        <f>IFERROR(VLOOKUP((CONCATENATE(AM77,AX77)),Listados!$U$3:$V$11,2,FALSE),"")</f>
        <v/>
      </c>
      <c r="AZ77" s="48">
        <f t="shared" si="23"/>
        <v>100</v>
      </c>
      <c r="BA77" s="355"/>
      <c r="BB77" s="357"/>
      <c r="BC77" s="173">
        <f>+IF(AND(W77="Preventivo",BB73="Fuerte"),2,IF(AND(W77="Preventivo",BB73="Moderado"),1,0))</f>
        <v>0</v>
      </c>
      <c r="BD77" s="64">
        <f>+IF(AND(W77="Detectivo/Correctivo",$BB73="Fuerte"),2,IF(AND(W77="Detectivo/Correctivo",$BB77="Moderado"),1,IF(AND(W77="Preventivo",$BB73="Fuerte"),1,0)))</f>
        <v>0</v>
      </c>
      <c r="BE77" s="173" t="e">
        <f>+N73-BC77</f>
        <v>#N/A</v>
      </c>
      <c r="BF77" s="173" t="e">
        <f>+P73-BD77</f>
        <v>#N/A</v>
      </c>
      <c r="BG77" s="346"/>
      <c r="BH77" s="346"/>
      <c r="BI77" s="346"/>
      <c r="BJ77" s="538"/>
      <c r="BK77" s="538"/>
      <c r="BL77" s="538"/>
      <c r="BM77" s="538"/>
    </row>
    <row r="78" spans="1:65" ht="65.099999999999994" customHeight="1" thickBot="1">
      <c r="A78" s="330"/>
      <c r="B78" s="514"/>
      <c r="C78" s="365"/>
      <c r="D78" s="106"/>
      <c r="E78" s="106"/>
      <c r="F78" s="434"/>
      <c r="G78" s="368"/>
      <c r="H78" s="100"/>
      <c r="I78" s="237"/>
      <c r="J78" s="100"/>
      <c r="K78" s="31"/>
      <c r="L78" s="222"/>
      <c r="M78" s="370"/>
      <c r="N78" s="350"/>
      <c r="O78" s="352"/>
      <c r="P78" s="350"/>
      <c r="Q78" s="353"/>
      <c r="R78" s="347"/>
      <c r="S78" s="208"/>
      <c r="T78" s="98"/>
      <c r="U78" s="47" t="s">
        <v>627</v>
      </c>
      <c r="V78" s="215"/>
      <c r="W78" s="215"/>
      <c r="X78" s="215"/>
      <c r="Y78" s="95" t="str">
        <f t="shared" si="13"/>
        <v/>
      </c>
      <c r="Z78" s="215"/>
      <c r="AA78" s="95" t="str">
        <f t="shared" si="14"/>
        <v/>
      </c>
      <c r="AB78" s="208"/>
      <c r="AC78" s="95" t="str">
        <f t="shared" si="15"/>
        <v/>
      </c>
      <c r="AD78" s="208"/>
      <c r="AE78" s="95" t="str">
        <f t="shared" si="16"/>
        <v/>
      </c>
      <c r="AF78" s="208"/>
      <c r="AG78" s="95" t="str">
        <f t="shared" si="17"/>
        <v/>
      </c>
      <c r="AH78" s="208"/>
      <c r="AI78" s="95" t="str">
        <f t="shared" si="18"/>
        <v/>
      </c>
      <c r="AJ78" s="208"/>
      <c r="AK78" s="27" t="str">
        <f t="shared" si="19"/>
        <v/>
      </c>
      <c r="AL78" s="48" t="str">
        <f t="shared" si="20"/>
        <v/>
      </c>
      <c r="AM78" s="48" t="str">
        <f t="shared" si="21"/>
        <v/>
      </c>
      <c r="AN78" s="293"/>
      <c r="AO78" s="293"/>
      <c r="AP78" s="293"/>
      <c r="AQ78" s="293"/>
      <c r="AR78" s="293"/>
      <c r="AS78" s="293"/>
      <c r="AT78" s="293"/>
      <c r="AU78" s="294" t="str">
        <f>IFERROR(VLOOKUP(AT78,'Seguridad Información'!$I$61:$J$65,2,0),"")</f>
        <v/>
      </c>
      <c r="AV78" s="79"/>
      <c r="AW78" s="78" t="str">
        <f t="shared" si="12"/>
        <v/>
      </c>
      <c r="AX78" s="77" t="str">
        <f t="shared" si="22"/>
        <v/>
      </c>
      <c r="AY78" s="21" t="str">
        <f>IFERROR(VLOOKUP((CONCATENATE(AM78,AX78)),Listados!$U$3:$V$11,2,FALSE),"")</f>
        <v/>
      </c>
      <c r="AZ78" s="48">
        <f t="shared" si="23"/>
        <v>100</v>
      </c>
      <c r="BA78" s="356"/>
      <c r="BB78" s="357"/>
      <c r="BC78" s="173">
        <f>+IF(AND(W78="Preventivo",BB73="Fuerte"),2,IF(AND(W78="Preventivo",BB73="Moderado"),1,0))</f>
        <v>0</v>
      </c>
      <c r="BD78" s="64">
        <f>+IF(AND(W78="Detectivo/Correctivo",$BB73="Fuerte"),2,IF(AND(W78="Detectivo/Correctivo",$BB78="Moderado"),1,IF(AND(W78="Preventivo",$BB73="Fuerte"),1,0)))</f>
        <v>0</v>
      </c>
      <c r="BE78" s="173" t="e">
        <f>+N73-BC78</f>
        <v>#N/A</v>
      </c>
      <c r="BF78" s="173" t="e">
        <f>+P73-BD78</f>
        <v>#N/A</v>
      </c>
      <c r="BG78" s="347"/>
      <c r="BH78" s="347"/>
      <c r="BI78" s="347"/>
      <c r="BJ78" s="539"/>
      <c r="BK78" s="539"/>
      <c r="BL78" s="539"/>
      <c r="BM78" s="539"/>
    </row>
    <row r="79" spans="1:65" ht="65.099999999999994" customHeight="1" thickBot="1">
      <c r="A79" s="328">
        <v>13</v>
      </c>
      <c r="B79" s="519"/>
      <c r="C79" s="371" t="str">
        <f>IFERROR(VLOOKUP(B79,Listados!B$3:C$20,2,FALSE),"")</f>
        <v/>
      </c>
      <c r="D79" s="107"/>
      <c r="E79" s="107"/>
      <c r="F79" s="432"/>
      <c r="G79" s="372"/>
      <c r="H79" s="100"/>
      <c r="I79" s="237"/>
      <c r="J79" s="100"/>
      <c r="K79" s="103"/>
      <c r="L79" s="17"/>
      <c r="M79" s="369"/>
      <c r="N79" s="348" t="e">
        <f>+VLOOKUP(M79,Listados!$K$8:$L$12,2,0)</f>
        <v>#N/A</v>
      </c>
      <c r="O79" s="351"/>
      <c r="P79" s="348" t="e">
        <f>+VLOOKUP(O79,Listados!$K$13:$L$17,2,0)</f>
        <v>#N/A</v>
      </c>
      <c r="Q79" s="347" t="str">
        <f>IF(AND(M79&lt;&gt;"",O79&lt;&gt;""),VLOOKUP(M79&amp;O79,Listados!$M$3:$N$27,2,FALSE),"")</f>
        <v/>
      </c>
      <c r="R79" s="345" t="e">
        <f>+VLOOKUP(Q79,Listados!$P$3:$Q$6,2,FALSE)</f>
        <v>#N/A</v>
      </c>
      <c r="S79" s="208"/>
      <c r="T79" s="94"/>
      <c r="U79" s="47" t="s">
        <v>627</v>
      </c>
      <c r="V79" s="215"/>
      <c r="W79" s="215"/>
      <c r="X79" s="215"/>
      <c r="Y79" s="95" t="str">
        <f t="shared" si="13"/>
        <v/>
      </c>
      <c r="Z79" s="215"/>
      <c r="AA79" s="95" t="str">
        <f t="shared" si="14"/>
        <v/>
      </c>
      <c r="AB79" s="208"/>
      <c r="AC79" s="95" t="str">
        <f t="shared" si="15"/>
        <v/>
      </c>
      <c r="AD79" s="208"/>
      <c r="AE79" s="95" t="str">
        <f t="shared" si="16"/>
        <v/>
      </c>
      <c r="AF79" s="208"/>
      <c r="AG79" s="95" t="str">
        <f t="shared" si="17"/>
        <v/>
      </c>
      <c r="AH79" s="208"/>
      <c r="AI79" s="95" t="str">
        <f t="shared" si="18"/>
        <v/>
      </c>
      <c r="AJ79" s="208"/>
      <c r="AK79" s="27" t="str">
        <f t="shared" si="19"/>
        <v/>
      </c>
      <c r="AL79" s="48" t="str">
        <f t="shared" si="20"/>
        <v/>
      </c>
      <c r="AM79" s="48" t="str">
        <f t="shared" si="21"/>
        <v/>
      </c>
      <c r="AN79" s="293"/>
      <c r="AO79" s="293"/>
      <c r="AP79" s="293"/>
      <c r="AQ79" s="293"/>
      <c r="AR79" s="293"/>
      <c r="AS79" s="293"/>
      <c r="AT79" s="293"/>
      <c r="AU79" s="294" t="str">
        <f>IFERROR(VLOOKUP(AT79,'Seguridad Información'!$I$61:$J$65,2,0),"")</f>
        <v/>
      </c>
      <c r="AV79" s="79"/>
      <c r="AW79" s="78" t="str">
        <f t="shared" si="12"/>
        <v/>
      </c>
      <c r="AX79" s="77" t="str">
        <f t="shared" si="22"/>
        <v/>
      </c>
      <c r="AY79" s="21" t="str">
        <f>IFERROR(VLOOKUP((CONCATENATE(AM79,AX79)),Listados!$U$3:$V$11,2,FALSE),"")</f>
        <v/>
      </c>
      <c r="AZ79" s="48">
        <f t="shared" si="23"/>
        <v>100</v>
      </c>
      <c r="BA79" s="354">
        <f>AVERAGE(AZ79:AZ84)</f>
        <v>100</v>
      </c>
      <c r="BB79" s="356" t="str">
        <f>IF(BA79&lt;=50, "Débil", IF(BA79&lt;=99,"Moderado","Fuerte"))</f>
        <v>Fuerte</v>
      </c>
      <c r="BC79" s="173">
        <f>+IF(AND(W79="Preventivo",BB79="Fuerte"),2,IF(AND(W79="Preventivo",BB79="Moderado"),1,0))</f>
        <v>0</v>
      </c>
      <c r="BD79" s="64">
        <f>+IF(AND(W79="Detectivo/Correctivo",$BB79="Fuerte"),2,IF(AND(W79="Detectivo/Correctivo",$BB79="Moderado"),1,IF(AND(W79="Preventivo",$BB79="Fuerte"),1,0)))</f>
        <v>0</v>
      </c>
      <c r="BE79" s="173" t="e">
        <f>+N79-BC79</f>
        <v>#N/A</v>
      </c>
      <c r="BF79" s="173" t="e">
        <f>+P79-BD79</f>
        <v>#N/A</v>
      </c>
      <c r="BG79" s="345" t="e">
        <f>+VLOOKUP(MIN(BE79,BE80,BE81,BE82,BE83,BE84),Listados!$J$18:$K$24,2,TRUE)</f>
        <v>#N/A</v>
      </c>
      <c r="BH79" s="345" t="e">
        <f>+VLOOKUP(MIN(BF79,BF80,BF81,BF82,BF83,BF84),Listados!$J$27:$K$32,2,TRUE)</f>
        <v>#N/A</v>
      </c>
      <c r="BI79" s="345" t="e">
        <f>IF(AND(BG79&lt;&gt;"",BH79&lt;&gt;""),VLOOKUP(BG79&amp;BH79,Listados!$M$3:$N$27,2,FALSE),"")</f>
        <v>#N/A</v>
      </c>
      <c r="BJ79" s="537" t="e">
        <f>+IF($R79="Asumir el riesgo","NA","")</f>
        <v>#N/A</v>
      </c>
      <c r="BK79" s="537" t="e">
        <f>+IF($R79="Asumir el riesgo","NA","")</f>
        <v>#N/A</v>
      </c>
      <c r="BL79" s="537" t="e">
        <f>+IF($R79="Asumir el riesgo","NA","")</f>
        <v>#N/A</v>
      </c>
      <c r="BM79" s="537" t="e">
        <f>+IF($R79="Asumir el riesgo","NA","")</f>
        <v>#N/A</v>
      </c>
    </row>
    <row r="80" spans="1:65" ht="65.099999999999994" customHeight="1" thickBot="1">
      <c r="A80" s="329"/>
      <c r="B80" s="514"/>
      <c r="C80" s="364"/>
      <c r="D80" s="233"/>
      <c r="E80" s="233"/>
      <c r="F80" s="433"/>
      <c r="G80" s="367"/>
      <c r="H80" s="100"/>
      <c r="I80" s="237"/>
      <c r="J80" s="100"/>
      <c r="K80" s="236"/>
      <c r="L80" s="222"/>
      <c r="M80" s="370"/>
      <c r="N80" s="349"/>
      <c r="O80" s="352"/>
      <c r="P80" s="349"/>
      <c r="Q80" s="353"/>
      <c r="R80" s="346"/>
      <c r="S80" s="208"/>
      <c r="T80" s="195"/>
      <c r="U80" s="47" t="s">
        <v>627</v>
      </c>
      <c r="V80" s="215"/>
      <c r="W80" s="215"/>
      <c r="X80" s="215"/>
      <c r="Y80" s="95" t="str">
        <f t="shared" si="13"/>
        <v/>
      </c>
      <c r="Z80" s="215"/>
      <c r="AA80" s="95" t="str">
        <f t="shared" si="14"/>
        <v/>
      </c>
      <c r="AB80" s="208"/>
      <c r="AC80" s="95" t="str">
        <f t="shared" si="15"/>
        <v/>
      </c>
      <c r="AD80" s="208"/>
      <c r="AE80" s="95" t="str">
        <f t="shared" si="16"/>
        <v/>
      </c>
      <c r="AF80" s="208"/>
      <c r="AG80" s="95" t="str">
        <f t="shared" si="17"/>
        <v/>
      </c>
      <c r="AH80" s="208"/>
      <c r="AI80" s="95" t="str">
        <f t="shared" si="18"/>
        <v/>
      </c>
      <c r="AJ80" s="208"/>
      <c r="AK80" s="27" t="str">
        <f t="shared" si="19"/>
        <v/>
      </c>
      <c r="AL80" s="48" t="str">
        <f t="shared" si="20"/>
        <v/>
      </c>
      <c r="AM80" s="48" t="str">
        <f t="shared" si="21"/>
        <v/>
      </c>
      <c r="AN80" s="293"/>
      <c r="AO80" s="293"/>
      <c r="AP80" s="293"/>
      <c r="AQ80" s="293"/>
      <c r="AR80" s="293"/>
      <c r="AS80" s="293"/>
      <c r="AT80" s="293"/>
      <c r="AU80" s="294" t="str">
        <f>IFERROR(VLOOKUP(AT80,'Seguridad Información'!$I$61:$J$65,2,0),"")</f>
        <v/>
      </c>
      <c r="AV80" s="79"/>
      <c r="AW80" s="78" t="str">
        <f t="shared" si="12"/>
        <v/>
      </c>
      <c r="AX80" s="77" t="str">
        <f t="shared" si="22"/>
        <v/>
      </c>
      <c r="AY80" s="21" t="str">
        <f>IFERROR(VLOOKUP((CONCATENATE(AM80,AX80)),Listados!$U$3:$V$11,2,FALSE),"")</f>
        <v/>
      </c>
      <c r="AZ80" s="48">
        <f t="shared" si="23"/>
        <v>100</v>
      </c>
      <c r="BA80" s="355"/>
      <c r="BB80" s="357"/>
      <c r="BC80" s="173">
        <f>+IF(AND(W80="Preventivo",BB79="Fuerte"),2,IF(AND(W80="Preventivo",BB79="Moderado"),1,0))</f>
        <v>0</v>
      </c>
      <c r="BD80" s="64">
        <f>+IF(AND(W80="Detectivo/Correctivo",$BB79="Fuerte"),2,IF(AND(W80="Detectivo/Correctivo",$BB80="Moderado"),1,IF(AND(W80="Preventivo",$BB79="Fuerte"),1,0)))</f>
        <v>0</v>
      </c>
      <c r="BE80" s="173" t="e">
        <f>+N79-BC80</f>
        <v>#N/A</v>
      </c>
      <c r="BF80" s="173" t="e">
        <f>+P79-BD80</f>
        <v>#N/A</v>
      </c>
      <c r="BG80" s="346"/>
      <c r="BH80" s="346"/>
      <c r="BI80" s="346"/>
      <c r="BJ80" s="538"/>
      <c r="BK80" s="538"/>
      <c r="BL80" s="538"/>
      <c r="BM80" s="538"/>
    </row>
    <row r="81" spans="1:65" ht="65.099999999999994" customHeight="1" thickBot="1">
      <c r="A81" s="329"/>
      <c r="B81" s="514"/>
      <c r="C81" s="364"/>
      <c r="D81" s="233"/>
      <c r="E81" s="233"/>
      <c r="F81" s="433"/>
      <c r="G81" s="367"/>
      <c r="H81" s="100"/>
      <c r="I81" s="237"/>
      <c r="J81" s="100"/>
      <c r="K81" s="236"/>
      <c r="L81" s="222"/>
      <c r="M81" s="370"/>
      <c r="N81" s="349"/>
      <c r="O81" s="352"/>
      <c r="P81" s="349"/>
      <c r="Q81" s="353"/>
      <c r="R81" s="346"/>
      <c r="S81" s="208"/>
      <c r="T81" s="96"/>
      <c r="U81" s="47" t="s">
        <v>627</v>
      </c>
      <c r="V81" s="215"/>
      <c r="W81" s="215"/>
      <c r="X81" s="215"/>
      <c r="Y81" s="95" t="str">
        <f t="shared" si="13"/>
        <v/>
      </c>
      <c r="Z81" s="215"/>
      <c r="AA81" s="95" t="str">
        <f t="shared" si="14"/>
        <v/>
      </c>
      <c r="AB81" s="208"/>
      <c r="AC81" s="95" t="str">
        <f t="shared" si="15"/>
        <v/>
      </c>
      <c r="AD81" s="208"/>
      <c r="AE81" s="95" t="str">
        <f t="shared" si="16"/>
        <v/>
      </c>
      <c r="AF81" s="208"/>
      <c r="AG81" s="95" t="str">
        <f t="shared" si="17"/>
        <v/>
      </c>
      <c r="AH81" s="208"/>
      <c r="AI81" s="95" t="str">
        <f t="shared" si="18"/>
        <v/>
      </c>
      <c r="AJ81" s="208"/>
      <c r="AK81" s="27" t="str">
        <f t="shared" si="19"/>
        <v/>
      </c>
      <c r="AL81" s="48" t="str">
        <f t="shared" si="20"/>
        <v/>
      </c>
      <c r="AM81" s="48" t="str">
        <f t="shared" si="21"/>
        <v/>
      </c>
      <c r="AN81" s="293"/>
      <c r="AO81" s="293"/>
      <c r="AP81" s="293"/>
      <c r="AQ81" s="293"/>
      <c r="AR81" s="293"/>
      <c r="AS81" s="293"/>
      <c r="AT81" s="293"/>
      <c r="AU81" s="294" t="str">
        <f>IFERROR(VLOOKUP(AT81,'Seguridad Información'!$I$61:$J$65,2,0),"")</f>
        <v/>
      </c>
      <c r="AV81" s="79"/>
      <c r="AW81" s="78" t="str">
        <f t="shared" si="12"/>
        <v/>
      </c>
      <c r="AX81" s="77" t="str">
        <f t="shared" si="22"/>
        <v/>
      </c>
      <c r="AY81" s="21" t="str">
        <f>IFERROR(VLOOKUP((CONCATENATE(AM81,AX81)),Listados!$U$3:$V$11,2,FALSE),"")</f>
        <v/>
      </c>
      <c r="AZ81" s="48">
        <f t="shared" si="23"/>
        <v>100</v>
      </c>
      <c r="BA81" s="355"/>
      <c r="BB81" s="357"/>
      <c r="BC81" s="173">
        <f>+IF(AND(W81="Preventivo",BB79="Fuerte"),2,IF(AND(W81="Preventivo",BB79="Moderado"),1,0))</f>
        <v>0</v>
      </c>
      <c r="BD81" s="64">
        <f>+IF(AND(W81="Detectivo/Correctivo",$BB79="Fuerte"),2,IF(AND(W81="Detectivo/Correctivo",$BB81="Moderado"),1,IF(AND(W81="Preventivo",$BB79="Fuerte"),1,0)))</f>
        <v>0</v>
      </c>
      <c r="BE81" s="173" t="e">
        <f>+N79-BC81</f>
        <v>#N/A</v>
      </c>
      <c r="BF81" s="173" t="e">
        <f>+P79-BD81</f>
        <v>#N/A</v>
      </c>
      <c r="BG81" s="346"/>
      <c r="BH81" s="346"/>
      <c r="BI81" s="346"/>
      <c r="BJ81" s="538"/>
      <c r="BK81" s="538"/>
      <c r="BL81" s="538"/>
      <c r="BM81" s="538"/>
    </row>
    <row r="82" spans="1:65" ht="65.099999999999994" customHeight="1" thickBot="1">
      <c r="A82" s="329"/>
      <c r="B82" s="514"/>
      <c r="C82" s="364"/>
      <c r="D82" s="233"/>
      <c r="E82" s="233"/>
      <c r="F82" s="433"/>
      <c r="G82" s="367"/>
      <c r="H82" s="100"/>
      <c r="I82" s="237"/>
      <c r="J82" s="100"/>
      <c r="K82" s="236"/>
      <c r="L82" s="222"/>
      <c r="M82" s="370"/>
      <c r="N82" s="349"/>
      <c r="O82" s="352"/>
      <c r="P82" s="349"/>
      <c r="Q82" s="353"/>
      <c r="R82" s="346"/>
      <c r="S82" s="208"/>
      <c r="T82" s="97"/>
      <c r="U82" s="47" t="s">
        <v>627</v>
      </c>
      <c r="V82" s="215"/>
      <c r="W82" s="215"/>
      <c r="X82" s="215"/>
      <c r="Y82" s="95" t="str">
        <f t="shared" si="13"/>
        <v/>
      </c>
      <c r="Z82" s="215"/>
      <c r="AA82" s="95" t="str">
        <f t="shared" si="14"/>
        <v/>
      </c>
      <c r="AB82" s="208"/>
      <c r="AC82" s="95" t="str">
        <f t="shared" si="15"/>
        <v/>
      </c>
      <c r="AD82" s="208"/>
      <c r="AE82" s="95" t="str">
        <f t="shared" si="16"/>
        <v/>
      </c>
      <c r="AF82" s="208"/>
      <c r="AG82" s="95" t="str">
        <f t="shared" si="17"/>
        <v/>
      </c>
      <c r="AH82" s="208"/>
      <c r="AI82" s="95" t="str">
        <f t="shared" si="18"/>
        <v/>
      </c>
      <c r="AJ82" s="208"/>
      <c r="AK82" s="27" t="str">
        <f t="shared" si="19"/>
        <v/>
      </c>
      <c r="AL82" s="48" t="str">
        <f t="shared" si="20"/>
        <v/>
      </c>
      <c r="AM82" s="48" t="str">
        <f t="shared" si="21"/>
        <v/>
      </c>
      <c r="AN82" s="293"/>
      <c r="AO82" s="293"/>
      <c r="AP82" s="293"/>
      <c r="AQ82" s="293"/>
      <c r="AR82" s="293"/>
      <c r="AS82" s="293"/>
      <c r="AT82" s="293"/>
      <c r="AU82" s="294" t="str">
        <f>IFERROR(VLOOKUP(AT82,'Seguridad Información'!$I$61:$J$65,2,0),"")</f>
        <v/>
      </c>
      <c r="AV82" s="79"/>
      <c r="AW82" s="78" t="str">
        <f t="shared" si="12"/>
        <v/>
      </c>
      <c r="AX82" s="77" t="str">
        <f t="shared" si="22"/>
        <v/>
      </c>
      <c r="AY82" s="21" t="str">
        <f>IFERROR(VLOOKUP((CONCATENATE(AM82,AX82)),Listados!$U$3:$V$11,2,FALSE),"")</f>
        <v/>
      </c>
      <c r="AZ82" s="48">
        <f t="shared" si="23"/>
        <v>100</v>
      </c>
      <c r="BA82" s="355"/>
      <c r="BB82" s="357"/>
      <c r="BC82" s="173">
        <f>+IF(AND(W82="Preventivo",BB79="Fuerte"),2,IF(AND(W82="Preventivo",BB79="Moderado"),1,0))</f>
        <v>0</v>
      </c>
      <c r="BD82" s="64">
        <f>+IF(AND(W82="Detectivo/Correctivo",$BB79="Fuerte"),2,IF(AND(W82="Detectivo/Correctivo",$BB82="Moderado"),1,IF(AND(W82="Preventivo",$BB79="Fuerte"),1,0)))</f>
        <v>0</v>
      </c>
      <c r="BE82" s="173" t="e">
        <f>+N79-BC82</f>
        <v>#N/A</v>
      </c>
      <c r="BF82" s="173" t="e">
        <f>+P79-BD82</f>
        <v>#N/A</v>
      </c>
      <c r="BG82" s="346"/>
      <c r="BH82" s="346"/>
      <c r="BI82" s="346"/>
      <c r="BJ82" s="538"/>
      <c r="BK82" s="538"/>
      <c r="BL82" s="538"/>
      <c r="BM82" s="538"/>
    </row>
    <row r="83" spans="1:65" ht="65.099999999999994" customHeight="1" thickBot="1">
      <c r="A83" s="329"/>
      <c r="B83" s="514"/>
      <c r="C83" s="364"/>
      <c r="D83" s="109"/>
      <c r="E83" s="109"/>
      <c r="F83" s="433"/>
      <c r="G83" s="367"/>
      <c r="H83" s="100"/>
      <c r="I83" s="237"/>
      <c r="J83" s="100"/>
      <c r="K83" s="29"/>
      <c r="L83" s="222"/>
      <c r="M83" s="370"/>
      <c r="N83" s="349"/>
      <c r="O83" s="352"/>
      <c r="P83" s="349"/>
      <c r="Q83" s="353"/>
      <c r="R83" s="346"/>
      <c r="S83" s="208"/>
      <c r="T83" s="195"/>
      <c r="U83" s="47" t="s">
        <v>627</v>
      </c>
      <c r="V83" s="215"/>
      <c r="W83" s="215"/>
      <c r="X83" s="215"/>
      <c r="Y83" s="95" t="str">
        <f t="shared" si="13"/>
        <v/>
      </c>
      <c r="Z83" s="215"/>
      <c r="AA83" s="95" t="str">
        <f t="shared" si="14"/>
        <v/>
      </c>
      <c r="AB83" s="208"/>
      <c r="AC83" s="95" t="str">
        <f t="shared" si="15"/>
        <v/>
      </c>
      <c r="AD83" s="208"/>
      <c r="AE83" s="95" t="str">
        <f t="shared" si="16"/>
        <v/>
      </c>
      <c r="AF83" s="208"/>
      <c r="AG83" s="95" t="str">
        <f t="shared" si="17"/>
        <v/>
      </c>
      <c r="AH83" s="208"/>
      <c r="AI83" s="95" t="str">
        <f t="shared" si="18"/>
        <v/>
      </c>
      <c r="AJ83" s="208"/>
      <c r="AK83" s="27" t="str">
        <f t="shared" si="19"/>
        <v/>
      </c>
      <c r="AL83" s="48" t="str">
        <f t="shared" si="20"/>
        <v/>
      </c>
      <c r="AM83" s="48" t="str">
        <f t="shared" si="21"/>
        <v/>
      </c>
      <c r="AN83" s="293"/>
      <c r="AO83" s="293"/>
      <c r="AP83" s="293"/>
      <c r="AQ83" s="293"/>
      <c r="AR83" s="293"/>
      <c r="AS83" s="293"/>
      <c r="AT83" s="293"/>
      <c r="AU83" s="294" t="str">
        <f>IFERROR(VLOOKUP(AT83,'Seguridad Información'!$I$61:$J$65,2,0),"")</f>
        <v/>
      </c>
      <c r="AV83" s="79"/>
      <c r="AW83" s="78" t="str">
        <f t="shared" si="12"/>
        <v/>
      </c>
      <c r="AX83" s="77" t="str">
        <f t="shared" si="22"/>
        <v/>
      </c>
      <c r="AY83" s="21" t="str">
        <f>IFERROR(VLOOKUP((CONCATENATE(AM83,AX83)),Listados!$U$3:$V$11,2,FALSE),"")</f>
        <v/>
      </c>
      <c r="AZ83" s="48">
        <f t="shared" si="23"/>
        <v>100</v>
      </c>
      <c r="BA83" s="355"/>
      <c r="BB83" s="357"/>
      <c r="BC83" s="173">
        <f>+IF(AND(W83="Preventivo",BB79="Fuerte"),2,IF(AND(W83="Preventivo",BB79="Moderado"),1,0))</f>
        <v>0</v>
      </c>
      <c r="BD83" s="64">
        <f>+IF(AND(W83="Detectivo/Correctivo",$BB79="Fuerte"),2,IF(AND(W83="Detectivo/Correctivo",$BB83="Moderado"),1,IF(AND(W83="Preventivo",$BB79="Fuerte"),1,0)))</f>
        <v>0</v>
      </c>
      <c r="BE83" s="173" t="e">
        <f>+N79-BC83</f>
        <v>#N/A</v>
      </c>
      <c r="BF83" s="173" t="e">
        <f>+P79-BD83</f>
        <v>#N/A</v>
      </c>
      <c r="BG83" s="346"/>
      <c r="BH83" s="346"/>
      <c r="BI83" s="346"/>
      <c r="BJ83" s="538"/>
      <c r="BK83" s="538"/>
      <c r="BL83" s="538"/>
      <c r="BM83" s="538"/>
    </row>
    <row r="84" spans="1:65" ht="65.099999999999994" customHeight="1" thickBot="1">
      <c r="A84" s="330"/>
      <c r="B84" s="514"/>
      <c r="C84" s="365"/>
      <c r="D84" s="106"/>
      <c r="E84" s="106"/>
      <c r="F84" s="434"/>
      <c r="G84" s="368"/>
      <c r="H84" s="100"/>
      <c r="I84" s="237"/>
      <c r="J84" s="100"/>
      <c r="K84" s="31"/>
      <c r="L84" s="222"/>
      <c r="M84" s="370"/>
      <c r="N84" s="350"/>
      <c r="O84" s="352"/>
      <c r="P84" s="350"/>
      <c r="Q84" s="353"/>
      <c r="R84" s="347"/>
      <c r="S84" s="208"/>
      <c r="T84" s="98"/>
      <c r="U84" s="47" t="s">
        <v>627</v>
      </c>
      <c r="V84" s="215"/>
      <c r="W84" s="215"/>
      <c r="X84" s="215"/>
      <c r="Y84" s="95" t="str">
        <f t="shared" si="13"/>
        <v/>
      </c>
      <c r="Z84" s="215"/>
      <c r="AA84" s="95" t="str">
        <f t="shared" si="14"/>
        <v/>
      </c>
      <c r="AB84" s="208"/>
      <c r="AC84" s="95" t="str">
        <f t="shared" si="15"/>
        <v/>
      </c>
      <c r="AD84" s="208"/>
      <c r="AE84" s="95" t="str">
        <f t="shared" si="16"/>
        <v/>
      </c>
      <c r="AF84" s="208"/>
      <c r="AG84" s="95" t="str">
        <f t="shared" si="17"/>
        <v/>
      </c>
      <c r="AH84" s="208"/>
      <c r="AI84" s="95" t="str">
        <f t="shared" si="18"/>
        <v/>
      </c>
      <c r="AJ84" s="208"/>
      <c r="AK84" s="27" t="str">
        <f t="shared" si="19"/>
        <v/>
      </c>
      <c r="AL84" s="48" t="str">
        <f t="shared" si="20"/>
        <v/>
      </c>
      <c r="AM84" s="48" t="str">
        <f t="shared" si="21"/>
        <v/>
      </c>
      <c r="AN84" s="293"/>
      <c r="AO84" s="293"/>
      <c r="AP84" s="293"/>
      <c r="AQ84" s="293"/>
      <c r="AR84" s="293"/>
      <c r="AS84" s="293"/>
      <c r="AT84" s="293"/>
      <c r="AU84" s="294" t="str">
        <f>IFERROR(VLOOKUP(AT84,'Seguridad Información'!$I$61:$J$65,2,0),"")</f>
        <v/>
      </c>
      <c r="AV84" s="79"/>
      <c r="AW84" s="78" t="str">
        <f t="shared" si="12"/>
        <v/>
      </c>
      <c r="AX84" s="77" t="str">
        <f t="shared" si="22"/>
        <v/>
      </c>
      <c r="AY84" s="21" t="str">
        <f>IFERROR(VLOOKUP((CONCATENATE(AM84,AX84)),Listados!$U$3:$V$11,2,FALSE),"")</f>
        <v/>
      </c>
      <c r="AZ84" s="48">
        <f t="shared" si="23"/>
        <v>100</v>
      </c>
      <c r="BA84" s="356"/>
      <c r="BB84" s="357"/>
      <c r="BC84" s="173">
        <f>+IF(AND(W84="Preventivo",BB79="Fuerte"),2,IF(AND(W84="Preventivo",BB79="Moderado"),1,0))</f>
        <v>0</v>
      </c>
      <c r="BD84" s="64">
        <f>+IF(AND(W84="Detectivo/Correctivo",$BB79="Fuerte"),2,IF(AND(W84="Detectivo/Correctivo",$BB84="Moderado"),1,IF(AND(W84="Preventivo",$BB79="Fuerte"),1,0)))</f>
        <v>0</v>
      </c>
      <c r="BE84" s="173" t="e">
        <f>+N79-BC84</f>
        <v>#N/A</v>
      </c>
      <c r="BF84" s="173" t="e">
        <f>+P79-BD84</f>
        <v>#N/A</v>
      </c>
      <c r="BG84" s="347"/>
      <c r="BH84" s="347"/>
      <c r="BI84" s="347"/>
      <c r="BJ84" s="539"/>
      <c r="BK84" s="539"/>
      <c r="BL84" s="539"/>
      <c r="BM84" s="539"/>
    </row>
    <row r="85" spans="1:65" ht="65.099999999999994" customHeight="1" thickBot="1">
      <c r="A85" s="328">
        <v>14</v>
      </c>
      <c r="B85" s="519"/>
      <c r="C85" s="371" t="str">
        <f>IFERROR(VLOOKUP(B85,Listados!B$3:C$20,2,FALSE),"")</f>
        <v/>
      </c>
      <c r="D85" s="107"/>
      <c r="E85" s="107"/>
      <c r="F85" s="432"/>
      <c r="G85" s="372"/>
      <c r="H85" s="100"/>
      <c r="I85" s="237"/>
      <c r="J85" s="100"/>
      <c r="K85" s="103"/>
      <c r="L85" s="17"/>
      <c r="M85" s="369"/>
      <c r="N85" s="348" t="e">
        <f>+VLOOKUP(M85,Listados!$K$8:$L$12,2,0)</f>
        <v>#N/A</v>
      </c>
      <c r="O85" s="351"/>
      <c r="P85" s="348" t="e">
        <f>+VLOOKUP(O85,Listados!$K$13:$L$17,2,0)</f>
        <v>#N/A</v>
      </c>
      <c r="Q85" s="347" t="str">
        <f>IF(AND(M85&lt;&gt;"",O85&lt;&gt;""),VLOOKUP(M85&amp;O85,Listados!$M$3:$N$27,2,FALSE),"")</f>
        <v/>
      </c>
      <c r="R85" s="345" t="e">
        <f>+VLOOKUP(Q85,Listados!$P$3:$Q$6,2,FALSE)</f>
        <v>#N/A</v>
      </c>
      <c r="S85" s="208"/>
      <c r="T85" s="94"/>
      <c r="U85" s="47" t="s">
        <v>627</v>
      </c>
      <c r="V85" s="215"/>
      <c r="W85" s="215"/>
      <c r="X85" s="215"/>
      <c r="Y85" s="95" t="str">
        <f t="shared" si="13"/>
        <v/>
      </c>
      <c r="Z85" s="215"/>
      <c r="AA85" s="95" t="str">
        <f t="shared" si="14"/>
        <v/>
      </c>
      <c r="AB85" s="208"/>
      <c r="AC85" s="95" t="str">
        <f t="shared" si="15"/>
        <v/>
      </c>
      <c r="AD85" s="208"/>
      <c r="AE85" s="95" t="str">
        <f t="shared" si="16"/>
        <v/>
      </c>
      <c r="AF85" s="208"/>
      <c r="AG85" s="95" t="str">
        <f t="shared" si="17"/>
        <v/>
      </c>
      <c r="AH85" s="208"/>
      <c r="AI85" s="95" t="str">
        <f t="shared" si="18"/>
        <v/>
      </c>
      <c r="AJ85" s="208"/>
      <c r="AK85" s="27" t="str">
        <f t="shared" si="19"/>
        <v/>
      </c>
      <c r="AL85" s="48" t="str">
        <f t="shared" si="20"/>
        <v/>
      </c>
      <c r="AM85" s="48" t="str">
        <f t="shared" si="21"/>
        <v/>
      </c>
      <c r="AN85" s="293"/>
      <c r="AO85" s="293"/>
      <c r="AP85" s="293"/>
      <c r="AQ85" s="293"/>
      <c r="AR85" s="293"/>
      <c r="AS85" s="293"/>
      <c r="AT85" s="293"/>
      <c r="AU85" s="294" t="str">
        <f>IFERROR(VLOOKUP(AT85,'Seguridad Información'!$I$61:$J$65,2,0),"")</f>
        <v/>
      </c>
      <c r="AV85" s="79"/>
      <c r="AW85" s="78" t="str">
        <f t="shared" si="12"/>
        <v/>
      </c>
      <c r="AX85" s="77" t="str">
        <f t="shared" si="22"/>
        <v/>
      </c>
      <c r="AY85" s="21" t="str">
        <f>IFERROR(VLOOKUP((CONCATENATE(AM85,AX85)),Listados!$U$3:$V$11,2,FALSE),"")</f>
        <v/>
      </c>
      <c r="AZ85" s="48">
        <f t="shared" si="23"/>
        <v>100</v>
      </c>
      <c r="BA85" s="354">
        <f>AVERAGE(AZ85:AZ90)</f>
        <v>100</v>
      </c>
      <c r="BB85" s="356" t="str">
        <f>IF(BA85&lt;=50, "Débil", IF(BA85&lt;=99,"Moderado","Fuerte"))</f>
        <v>Fuerte</v>
      </c>
      <c r="BC85" s="173">
        <f>+IF(AND(W85="Preventivo",BB85="Fuerte"),2,IF(AND(W85="Preventivo",BB85="Moderado"),1,0))</f>
        <v>0</v>
      </c>
      <c r="BD85" s="64">
        <f>+IF(AND(W85="Detectivo/Correctivo",$BB85="Fuerte"),2,IF(AND(W85="Detectivo/Correctivo",$BB85="Moderado"),1,IF(AND(W85="Preventivo",$BB85="Fuerte"),1,0)))</f>
        <v>0</v>
      </c>
      <c r="BE85" s="173" t="e">
        <f>+N85-BC85</f>
        <v>#N/A</v>
      </c>
      <c r="BF85" s="173" t="e">
        <f>+P85-BD85</f>
        <v>#N/A</v>
      </c>
      <c r="BG85" s="345" t="e">
        <f>+VLOOKUP(MIN(BE85,BE86,BE87,BE88,BE89,BE90),Listados!$J$18:$K$24,2,TRUE)</f>
        <v>#N/A</v>
      </c>
      <c r="BH85" s="345" t="e">
        <f>+VLOOKUP(MIN(BF85,BF86,BF87,BF88,BF89,BF90),Listados!$J$27:$K$32,2,TRUE)</f>
        <v>#N/A</v>
      </c>
      <c r="BI85" s="345" t="e">
        <f>IF(AND(BG85&lt;&gt;"",BH85&lt;&gt;""),VLOOKUP(BG85&amp;BH85,Listados!$M$3:$N$27,2,FALSE),"")</f>
        <v>#N/A</v>
      </c>
      <c r="BJ85" s="537" t="e">
        <f>+IF($R85="Asumir el riesgo","NA","")</f>
        <v>#N/A</v>
      </c>
      <c r="BK85" s="537" t="e">
        <f>+IF($R85="Asumir el riesgo","NA","")</f>
        <v>#N/A</v>
      </c>
      <c r="BL85" s="537" t="e">
        <f>+IF($R85="Asumir el riesgo","NA","")</f>
        <v>#N/A</v>
      </c>
      <c r="BM85" s="537" t="e">
        <f>+IF($R85="Asumir el riesgo","NA","")</f>
        <v>#N/A</v>
      </c>
    </row>
    <row r="86" spans="1:65" ht="65.099999999999994" customHeight="1" thickBot="1">
      <c r="A86" s="329"/>
      <c r="B86" s="514"/>
      <c r="C86" s="364"/>
      <c r="D86" s="233"/>
      <c r="E86" s="233"/>
      <c r="F86" s="433"/>
      <c r="G86" s="367"/>
      <c r="H86" s="100"/>
      <c r="I86" s="237"/>
      <c r="J86" s="100"/>
      <c r="K86" s="236"/>
      <c r="L86" s="222"/>
      <c r="M86" s="370"/>
      <c r="N86" s="349"/>
      <c r="O86" s="352"/>
      <c r="P86" s="349"/>
      <c r="Q86" s="353"/>
      <c r="R86" s="346"/>
      <c r="S86" s="208"/>
      <c r="T86" s="195"/>
      <c r="U86" s="47" t="s">
        <v>627</v>
      </c>
      <c r="V86" s="215"/>
      <c r="W86" s="215"/>
      <c r="X86" s="215"/>
      <c r="Y86" s="95" t="str">
        <f t="shared" si="13"/>
        <v/>
      </c>
      <c r="Z86" s="215"/>
      <c r="AA86" s="95" t="str">
        <f t="shared" si="14"/>
        <v/>
      </c>
      <c r="AB86" s="208"/>
      <c r="AC86" s="95" t="str">
        <f t="shared" si="15"/>
        <v/>
      </c>
      <c r="AD86" s="208"/>
      <c r="AE86" s="95" t="str">
        <f t="shared" si="16"/>
        <v/>
      </c>
      <c r="AF86" s="208"/>
      <c r="AG86" s="95" t="str">
        <f t="shared" si="17"/>
        <v/>
      </c>
      <c r="AH86" s="208"/>
      <c r="AI86" s="95" t="str">
        <f t="shared" si="18"/>
        <v/>
      </c>
      <c r="AJ86" s="208"/>
      <c r="AK86" s="27" t="str">
        <f t="shared" si="19"/>
        <v/>
      </c>
      <c r="AL86" s="48" t="str">
        <f t="shared" si="20"/>
        <v/>
      </c>
      <c r="AM86" s="48" t="str">
        <f t="shared" si="21"/>
        <v/>
      </c>
      <c r="AN86" s="293"/>
      <c r="AO86" s="293"/>
      <c r="AP86" s="293"/>
      <c r="AQ86" s="293"/>
      <c r="AR86" s="293"/>
      <c r="AS86" s="293"/>
      <c r="AT86" s="293"/>
      <c r="AU86" s="294" t="str">
        <f>IFERROR(VLOOKUP(AT86,'Seguridad Información'!$I$61:$J$65,2,0),"")</f>
        <v/>
      </c>
      <c r="AV86" s="79"/>
      <c r="AW86" s="78" t="str">
        <f t="shared" si="12"/>
        <v/>
      </c>
      <c r="AX86" s="77" t="str">
        <f t="shared" si="22"/>
        <v/>
      </c>
      <c r="AY86" s="21" t="str">
        <f>IFERROR(VLOOKUP((CONCATENATE(AM86,AX86)),Listados!$U$3:$V$11,2,FALSE),"")</f>
        <v/>
      </c>
      <c r="AZ86" s="48">
        <f t="shared" si="23"/>
        <v>100</v>
      </c>
      <c r="BA86" s="355"/>
      <c r="BB86" s="357"/>
      <c r="BC86" s="173">
        <f>+IF(AND(W86="Preventivo",BB85="Fuerte"),2,IF(AND(W86="Preventivo",BB85="Moderado"),1,0))</f>
        <v>0</v>
      </c>
      <c r="BD86" s="64">
        <f>+IF(AND(W86="Detectivo/Correctivo",$BB85="Fuerte"),2,IF(AND(W86="Detectivo/Correctivo",$BB86="Moderado"),1,IF(AND(W86="Preventivo",$BB85="Fuerte"),1,0)))</f>
        <v>0</v>
      </c>
      <c r="BE86" s="173" t="e">
        <f>+N85-BC86</f>
        <v>#N/A</v>
      </c>
      <c r="BF86" s="173" t="e">
        <f>+P85-BD86</f>
        <v>#N/A</v>
      </c>
      <c r="BG86" s="346"/>
      <c r="BH86" s="346"/>
      <c r="BI86" s="346"/>
      <c r="BJ86" s="538"/>
      <c r="BK86" s="538"/>
      <c r="BL86" s="538"/>
      <c r="BM86" s="538"/>
    </row>
    <row r="87" spans="1:65" ht="65.099999999999994" customHeight="1" thickBot="1">
      <c r="A87" s="329"/>
      <c r="B87" s="514"/>
      <c r="C87" s="364"/>
      <c r="D87" s="233"/>
      <c r="E87" s="233"/>
      <c r="F87" s="433"/>
      <c r="G87" s="367"/>
      <c r="H87" s="100"/>
      <c r="I87" s="237"/>
      <c r="J87" s="100"/>
      <c r="K87" s="236"/>
      <c r="L87" s="222"/>
      <c r="M87" s="370"/>
      <c r="N87" s="349"/>
      <c r="O87" s="352"/>
      <c r="P87" s="349"/>
      <c r="Q87" s="353"/>
      <c r="R87" s="346"/>
      <c r="S87" s="208"/>
      <c r="T87" s="96"/>
      <c r="U87" s="47" t="s">
        <v>627</v>
      </c>
      <c r="V87" s="215"/>
      <c r="W87" s="215"/>
      <c r="X87" s="215"/>
      <c r="Y87" s="95" t="str">
        <f t="shared" si="13"/>
        <v/>
      </c>
      <c r="Z87" s="215"/>
      <c r="AA87" s="95" t="str">
        <f t="shared" si="14"/>
        <v/>
      </c>
      <c r="AB87" s="208"/>
      <c r="AC87" s="95" t="str">
        <f t="shared" si="15"/>
        <v/>
      </c>
      <c r="AD87" s="208"/>
      <c r="AE87" s="95" t="str">
        <f t="shared" si="16"/>
        <v/>
      </c>
      <c r="AF87" s="208"/>
      <c r="AG87" s="95" t="str">
        <f t="shared" si="17"/>
        <v/>
      </c>
      <c r="AH87" s="208"/>
      <c r="AI87" s="95" t="str">
        <f t="shared" si="18"/>
        <v/>
      </c>
      <c r="AJ87" s="208"/>
      <c r="AK87" s="27" t="str">
        <f t="shared" si="19"/>
        <v/>
      </c>
      <c r="AL87" s="48" t="str">
        <f t="shared" si="20"/>
        <v/>
      </c>
      <c r="AM87" s="48" t="str">
        <f t="shared" si="21"/>
        <v/>
      </c>
      <c r="AN87" s="293"/>
      <c r="AO87" s="293"/>
      <c r="AP87" s="293"/>
      <c r="AQ87" s="293"/>
      <c r="AR87" s="293"/>
      <c r="AS87" s="293"/>
      <c r="AT87" s="293"/>
      <c r="AU87" s="294" t="str">
        <f>IFERROR(VLOOKUP(AT87,'Seguridad Información'!$I$61:$J$65,2,0),"")</f>
        <v/>
      </c>
      <c r="AV87" s="79"/>
      <c r="AW87" s="78" t="str">
        <f t="shared" si="12"/>
        <v/>
      </c>
      <c r="AX87" s="77" t="str">
        <f t="shared" si="22"/>
        <v/>
      </c>
      <c r="AY87" s="21" t="str">
        <f>IFERROR(VLOOKUP((CONCATENATE(AM87,AX87)),Listados!$U$3:$V$11,2,FALSE),"")</f>
        <v/>
      </c>
      <c r="AZ87" s="48">
        <f t="shared" si="23"/>
        <v>100</v>
      </c>
      <c r="BA87" s="355"/>
      <c r="BB87" s="357"/>
      <c r="BC87" s="173">
        <f>+IF(AND(W87="Preventivo",BB85="Fuerte"),2,IF(AND(W87="Preventivo",BB85="Moderado"),1,0))</f>
        <v>0</v>
      </c>
      <c r="BD87" s="64">
        <f>+IF(AND(W87="Detectivo/Correctivo",$BB85="Fuerte"),2,IF(AND(W87="Detectivo/Correctivo",$BB87="Moderado"),1,IF(AND(W87="Preventivo",$BB85="Fuerte"),1,0)))</f>
        <v>0</v>
      </c>
      <c r="BE87" s="173" t="e">
        <f>+N85-BC87</f>
        <v>#N/A</v>
      </c>
      <c r="BF87" s="173" t="e">
        <f>+P85-BD87</f>
        <v>#N/A</v>
      </c>
      <c r="BG87" s="346"/>
      <c r="BH87" s="346"/>
      <c r="BI87" s="346"/>
      <c r="BJ87" s="538"/>
      <c r="BK87" s="538"/>
      <c r="BL87" s="538"/>
      <c r="BM87" s="538"/>
    </row>
    <row r="88" spans="1:65" ht="65.099999999999994" customHeight="1" thickBot="1">
      <c r="A88" s="329"/>
      <c r="B88" s="514"/>
      <c r="C88" s="364"/>
      <c r="D88" s="233"/>
      <c r="E88" s="233"/>
      <c r="F88" s="433"/>
      <c r="G88" s="367"/>
      <c r="H88" s="100"/>
      <c r="I88" s="237"/>
      <c r="J88" s="100"/>
      <c r="K88" s="236"/>
      <c r="L88" s="222"/>
      <c r="M88" s="370"/>
      <c r="N88" s="349"/>
      <c r="O88" s="352"/>
      <c r="P88" s="349"/>
      <c r="Q88" s="353"/>
      <c r="R88" s="346"/>
      <c r="S88" s="208"/>
      <c r="T88" s="97"/>
      <c r="U88" s="47" t="s">
        <v>627</v>
      </c>
      <c r="V88" s="215"/>
      <c r="W88" s="215"/>
      <c r="X88" s="215"/>
      <c r="Y88" s="95" t="str">
        <f t="shared" si="13"/>
        <v/>
      </c>
      <c r="Z88" s="215"/>
      <c r="AA88" s="95" t="str">
        <f t="shared" si="14"/>
        <v/>
      </c>
      <c r="AB88" s="208"/>
      <c r="AC88" s="95" t="str">
        <f t="shared" si="15"/>
        <v/>
      </c>
      <c r="AD88" s="208"/>
      <c r="AE88" s="95" t="str">
        <f t="shared" si="16"/>
        <v/>
      </c>
      <c r="AF88" s="208"/>
      <c r="AG88" s="95" t="str">
        <f t="shared" si="17"/>
        <v/>
      </c>
      <c r="AH88" s="208"/>
      <c r="AI88" s="95" t="str">
        <f t="shared" si="18"/>
        <v/>
      </c>
      <c r="AJ88" s="208"/>
      <c r="AK88" s="27" t="str">
        <f t="shared" si="19"/>
        <v/>
      </c>
      <c r="AL88" s="48" t="str">
        <f t="shared" si="20"/>
        <v/>
      </c>
      <c r="AM88" s="48" t="str">
        <f t="shared" si="21"/>
        <v/>
      </c>
      <c r="AN88" s="293"/>
      <c r="AO88" s="293"/>
      <c r="AP88" s="293"/>
      <c r="AQ88" s="293"/>
      <c r="AR88" s="293"/>
      <c r="AS88" s="293"/>
      <c r="AT88" s="293"/>
      <c r="AU88" s="294" t="str">
        <f>IFERROR(VLOOKUP(AT88,'Seguridad Información'!$I$61:$J$65,2,0),"")</f>
        <v/>
      </c>
      <c r="AV88" s="79"/>
      <c r="AW88" s="78" t="str">
        <f t="shared" si="12"/>
        <v/>
      </c>
      <c r="AX88" s="77" t="str">
        <f t="shared" si="22"/>
        <v/>
      </c>
      <c r="AY88" s="21" t="str">
        <f>IFERROR(VLOOKUP((CONCATENATE(AM88,AX88)),Listados!$U$3:$V$11,2,FALSE),"")</f>
        <v/>
      </c>
      <c r="AZ88" s="48">
        <f t="shared" si="23"/>
        <v>100</v>
      </c>
      <c r="BA88" s="355"/>
      <c r="BB88" s="357"/>
      <c r="BC88" s="173">
        <f>+IF(AND(W88="Preventivo",BB85="Fuerte"),2,IF(AND(W88="Preventivo",BB85="Moderado"),1,0))</f>
        <v>0</v>
      </c>
      <c r="BD88" s="64">
        <f>+IF(AND(W88="Detectivo/Correctivo",$BB85="Fuerte"),2,IF(AND(W88="Detectivo/Correctivo",$BB88="Moderado"),1,IF(AND(W88="Preventivo",$BB85="Fuerte"),1,0)))</f>
        <v>0</v>
      </c>
      <c r="BE88" s="173" t="e">
        <f>+N85-BC88</f>
        <v>#N/A</v>
      </c>
      <c r="BF88" s="173" t="e">
        <f>+P85-BD88</f>
        <v>#N/A</v>
      </c>
      <c r="BG88" s="346"/>
      <c r="BH88" s="346"/>
      <c r="BI88" s="346"/>
      <c r="BJ88" s="538"/>
      <c r="BK88" s="538"/>
      <c r="BL88" s="538"/>
      <c r="BM88" s="538"/>
    </row>
    <row r="89" spans="1:65" ht="65.099999999999994" customHeight="1" thickBot="1">
      <c r="A89" s="329"/>
      <c r="B89" s="514"/>
      <c r="C89" s="364"/>
      <c r="D89" s="109"/>
      <c r="E89" s="109"/>
      <c r="F89" s="433"/>
      <c r="G89" s="367"/>
      <c r="H89" s="100"/>
      <c r="I89" s="237"/>
      <c r="J89" s="100"/>
      <c r="K89" s="29"/>
      <c r="L89" s="222"/>
      <c r="M89" s="370"/>
      <c r="N89" s="349"/>
      <c r="O89" s="352"/>
      <c r="P89" s="349"/>
      <c r="Q89" s="353"/>
      <c r="R89" s="346"/>
      <c r="S89" s="208"/>
      <c r="T89" s="195"/>
      <c r="U89" s="47" t="s">
        <v>627</v>
      </c>
      <c r="V89" s="215"/>
      <c r="W89" s="215"/>
      <c r="X89" s="215"/>
      <c r="Y89" s="95" t="str">
        <f t="shared" si="13"/>
        <v/>
      </c>
      <c r="Z89" s="215"/>
      <c r="AA89" s="95" t="str">
        <f t="shared" si="14"/>
        <v/>
      </c>
      <c r="AB89" s="208"/>
      <c r="AC89" s="95" t="str">
        <f t="shared" si="15"/>
        <v/>
      </c>
      <c r="AD89" s="208"/>
      <c r="AE89" s="95" t="str">
        <f t="shared" si="16"/>
        <v/>
      </c>
      <c r="AF89" s="208"/>
      <c r="AG89" s="95" t="str">
        <f t="shared" si="17"/>
        <v/>
      </c>
      <c r="AH89" s="208"/>
      <c r="AI89" s="95" t="str">
        <f t="shared" si="18"/>
        <v/>
      </c>
      <c r="AJ89" s="208"/>
      <c r="AK89" s="27" t="str">
        <f t="shared" si="19"/>
        <v/>
      </c>
      <c r="AL89" s="48" t="str">
        <f t="shared" si="20"/>
        <v/>
      </c>
      <c r="AM89" s="48" t="str">
        <f t="shared" si="21"/>
        <v/>
      </c>
      <c r="AN89" s="293"/>
      <c r="AO89" s="293"/>
      <c r="AP89" s="293"/>
      <c r="AQ89" s="293"/>
      <c r="AR89" s="293"/>
      <c r="AS89" s="293"/>
      <c r="AT89" s="293"/>
      <c r="AU89" s="294" t="str">
        <f>IFERROR(VLOOKUP(AT89,'Seguridad Información'!$I$61:$J$65,2,0),"")</f>
        <v/>
      </c>
      <c r="AV89" s="79"/>
      <c r="AW89" s="78" t="str">
        <f t="shared" si="12"/>
        <v/>
      </c>
      <c r="AX89" s="77" t="str">
        <f t="shared" si="22"/>
        <v/>
      </c>
      <c r="AY89" s="21" t="str">
        <f>IFERROR(VLOOKUP((CONCATENATE(AM89,AX89)),Listados!$U$3:$V$11,2,FALSE),"")</f>
        <v/>
      </c>
      <c r="AZ89" s="48">
        <f t="shared" si="23"/>
        <v>100</v>
      </c>
      <c r="BA89" s="355"/>
      <c r="BB89" s="357"/>
      <c r="BC89" s="173">
        <f>+IF(AND(W89="Preventivo",BB85="Fuerte"),2,IF(AND(W89="Preventivo",BB85="Moderado"),1,0))</f>
        <v>0</v>
      </c>
      <c r="BD89" s="64">
        <f>+IF(AND(W89="Detectivo/Correctivo",$BB85="Fuerte"),2,IF(AND(W89="Detectivo/Correctivo",$BB89="Moderado"),1,IF(AND(W89="Preventivo",$BB85="Fuerte"),1,0)))</f>
        <v>0</v>
      </c>
      <c r="BE89" s="173" t="e">
        <f>+N85-BC89</f>
        <v>#N/A</v>
      </c>
      <c r="BF89" s="173" t="e">
        <f>+P85-BD89</f>
        <v>#N/A</v>
      </c>
      <c r="BG89" s="346"/>
      <c r="BH89" s="346"/>
      <c r="BI89" s="346"/>
      <c r="BJ89" s="538"/>
      <c r="BK89" s="538"/>
      <c r="BL89" s="538"/>
      <c r="BM89" s="538"/>
    </row>
    <row r="90" spans="1:65" ht="65.099999999999994" customHeight="1" thickBot="1">
      <c r="A90" s="330"/>
      <c r="B90" s="514"/>
      <c r="C90" s="365"/>
      <c r="D90" s="106"/>
      <c r="E90" s="106"/>
      <c r="F90" s="434"/>
      <c r="G90" s="368"/>
      <c r="H90" s="100"/>
      <c r="I90" s="237"/>
      <c r="J90" s="100"/>
      <c r="K90" s="31"/>
      <c r="L90" s="222"/>
      <c r="M90" s="370"/>
      <c r="N90" s="350"/>
      <c r="O90" s="352"/>
      <c r="P90" s="350"/>
      <c r="Q90" s="353"/>
      <c r="R90" s="347"/>
      <c r="S90" s="208"/>
      <c r="T90" s="98"/>
      <c r="U90" s="47" t="s">
        <v>627</v>
      </c>
      <c r="V90" s="215"/>
      <c r="W90" s="215"/>
      <c r="X90" s="215"/>
      <c r="Y90" s="95" t="str">
        <f t="shared" si="13"/>
        <v/>
      </c>
      <c r="Z90" s="215"/>
      <c r="AA90" s="95" t="str">
        <f t="shared" si="14"/>
        <v/>
      </c>
      <c r="AB90" s="208"/>
      <c r="AC90" s="95" t="str">
        <f t="shared" si="15"/>
        <v/>
      </c>
      <c r="AD90" s="208"/>
      <c r="AE90" s="95" t="str">
        <f t="shared" si="16"/>
        <v/>
      </c>
      <c r="AF90" s="208"/>
      <c r="AG90" s="95" t="str">
        <f t="shared" si="17"/>
        <v/>
      </c>
      <c r="AH90" s="208"/>
      <c r="AI90" s="95" t="str">
        <f t="shared" si="18"/>
        <v/>
      </c>
      <c r="AJ90" s="208"/>
      <c r="AK90" s="27" t="str">
        <f t="shared" si="19"/>
        <v/>
      </c>
      <c r="AL90" s="48" t="str">
        <f t="shared" si="20"/>
        <v/>
      </c>
      <c r="AM90" s="48" t="str">
        <f t="shared" si="21"/>
        <v/>
      </c>
      <c r="AN90" s="293"/>
      <c r="AO90" s="293"/>
      <c r="AP90" s="293"/>
      <c r="AQ90" s="293"/>
      <c r="AR90" s="293"/>
      <c r="AS90" s="293"/>
      <c r="AT90" s="293"/>
      <c r="AU90" s="294" t="str">
        <f>IFERROR(VLOOKUP(AT90,'Seguridad Información'!$I$61:$J$65,2,0),"")</f>
        <v/>
      </c>
      <c r="AV90" s="79"/>
      <c r="AW90" s="78" t="str">
        <f t="shared" si="12"/>
        <v/>
      </c>
      <c r="AX90" s="77" t="str">
        <f t="shared" si="22"/>
        <v/>
      </c>
      <c r="AY90" s="21" t="str">
        <f>IFERROR(VLOOKUP((CONCATENATE(AM90,AX90)),Listados!$U$3:$V$11,2,FALSE),"")</f>
        <v/>
      </c>
      <c r="AZ90" s="48">
        <f t="shared" si="23"/>
        <v>100</v>
      </c>
      <c r="BA90" s="356"/>
      <c r="BB90" s="357"/>
      <c r="BC90" s="173">
        <f>+IF(AND(W90="Preventivo",BB85="Fuerte"),2,IF(AND(W90="Preventivo",BB85="Moderado"),1,0))</f>
        <v>0</v>
      </c>
      <c r="BD90" s="64">
        <f>+IF(AND(W90="Detectivo/Correctivo",$BB85="Fuerte"),2,IF(AND(W90="Detectivo/Correctivo",$BB90="Moderado"),1,IF(AND(W90="Preventivo",$BB85="Fuerte"),1,0)))</f>
        <v>0</v>
      </c>
      <c r="BE90" s="173" t="e">
        <f>+N85-BC90</f>
        <v>#N/A</v>
      </c>
      <c r="BF90" s="173" t="e">
        <f>+P85-BD90</f>
        <v>#N/A</v>
      </c>
      <c r="BG90" s="347"/>
      <c r="BH90" s="347"/>
      <c r="BI90" s="347"/>
      <c r="BJ90" s="539"/>
      <c r="BK90" s="539"/>
      <c r="BL90" s="539"/>
      <c r="BM90" s="539"/>
    </row>
    <row r="91" spans="1:65" ht="65.099999999999994" customHeight="1" thickBot="1">
      <c r="A91" s="328">
        <v>15</v>
      </c>
      <c r="B91" s="519"/>
      <c r="C91" s="371" t="str">
        <f>IFERROR(VLOOKUP(B91,Listados!B$3:C$20,2,FALSE),"")</f>
        <v/>
      </c>
      <c r="D91" s="107"/>
      <c r="E91" s="107"/>
      <c r="F91" s="432"/>
      <c r="G91" s="372"/>
      <c r="H91" s="100"/>
      <c r="I91" s="237"/>
      <c r="J91" s="100"/>
      <c r="K91" s="103"/>
      <c r="L91" s="17"/>
      <c r="M91" s="369"/>
      <c r="N91" s="348" t="e">
        <f>+VLOOKUP(M91,Listados!$K$8:$L$12,2,0)</f>
        <v>#N/A</v>
      </c>
      <c r="O91" s="351"/>
      <c r="P91" s="348" t="e">
        <f>+VLOOKUP(O91,Listados!$K$13:$L$17,2,0)</f>
        <v>#N/A</v>
      </c>
      <c r="Q91" s="347" t="str">
        <f>IF(AND(M91&lt;&gt;"",O91&lt;&gt;""),VLOOKUP(M91&amp;O91,Listados!$M$3:$N$27,2,FALSE),"")</f>
        <v/>
      </c>
      <c r="R91" s="345" t="e">
        <f>+VLOOKUP(Q91,Listados!$P$3:$Q$6,2,FALSE)</f>
        <v>#N/A</v>
      </c>
      <c r="S91" s="208"/>
      <c r="T91" s="94"/>
      <c r="U91" s="47" t="s">
        <v>627</v>
      </c>
      <c r="V91" s="215"/>
      <c r="W91" s="215"/>
      <c r="X91" s="215"/>
      <c r="Y91" s="95" t="str">
        <f t="shared" si="13"/>
        <v/>
      </c>
      <c r="Z91" s="215"/>
      <c r="AA91" s="95" t="str">
        <f t="shared" si="14"/>
        <v/>
      </c>
      <c r="AB91" s="208"/>
      <c r="AC91" s="95" t="str">
        <f t="shared" si="15"/>
        <v/>
      </c>
      <c r="AD91" s="208"/>
      <c r="AE91" s="95" t="str">
        <f t="shared" si="16"/>
        <v/>
      </c>
      <c r="AF91" s="208"/>
      <c r="AG91" s="95" t="str">
        <f t="shared" si="17"/>
        <v/>
      </c>
      <c r="AH91" s="208"/>
      <c r="AI91" s="95" t="str">
        <f t="shared" si="18"/>
        <v/>
      </c>
      <c r="AJ91" s="208"/>
      <c r="AK91" s="27" t="str">
        <f t="shared" si="19"/>
        <v/>
      </c>
      <c r="AL91" s="48" t="str">
        <f t="shared" si="20"/>
        <v/>
      </c>
      <c r="AM91" s="48" t="str">
        <f t="shared" si="21"/>
        <v/>
      </c>
      <c r="AN91" s="293"/>
      <c r="AO91" s="293"/>
      <c r="AP91" s="293"/>
      <c r="AQ91" s="293"/>
      <c r="AR91" s="293"/>
      <c r="AS91" s="293"/>
      <c r="AT91" s="293"/>
      <c r="AU91" s="294" t="str">
        <f>IFERROR(VLOOKUP(AT91,'Seguridad Información'!$I$61:$J$65,2,0),"")</f>
        <v/>
      </c>
      <c r="AV91" s="79"/>
      <c r="AW91" s="78" t="str">
        <f t="shared" si="12"/>
        <v/>
      </c>
      <c r="AX91" s="77" t="str">
        <f t="shared" si="22"/>
        <v/>
      </c>
      <c r="AY91" s="21" t="str">
        <f>IFERROR(VLOOKUP((CONCATENATE(AM91,AX91)),Listados!$U$3:$V$11,2,FALSE),"")</f>
        <v/>
      </c>
      <c r="AZ91" s="48">
        <f t="shared" si="23"/>
        <v>100</v>
      </c>
      <c r="BA91" s="354">
        <f>AVERAGE(AZ91:AZ96)</f>
        <v>100</v>
      </c>
      <c r="BB91" s="356" t="str">
        <f>IF(BA91&lt;=50, "Débil", IF(BA91&lt;=99,"Moderado","Fuerte"))</f>
        <v>Fuerte</v>
      </c>
      <c r="BC91" s="173">
        <f>+IF(AND(W91="Preventivo",BB91="Fuerte"),2,IF(AND(W91="Preventivo",BB91="Moderado"),1,0))</f>
        <v>0</v>
      </c>
      <c r="BD91" s="64">
        <f>+IF(AND(W91="Detectivo/Correctivo",$BB91="Fuerte"),2,IF(AND(W91="Detectivo/Correctivo",$BB91="Moderado"),1,IF(AND(W91="Preventivo",$BB91="Fuerte"),1,0)))</f>
        <v>0</v>
      </c>
      <c r="BE91" s="173" t="e">
        <f>+N91-BC91</f>
        <v>#N/A</v>
      </c>
      <c r="BF91" s="173" t="e">
        <f>+P91-BD91</f>
        <v>#N/A</v>
      </c>
      <c r="BG91" s="345" t="e">
        <f>+VLOOKUP(MIN(BE91,BE92,BE93,BE94,BE95,BE96),Listados!$J$18:$K$24,2,TRUE)</f>
        <v>#N/A</v>
      </c>
      <c r="BH91" s="345" t="e">
        <f>+VLOOKUP(MIN(BF91,BF92,BF93,BF94,BF95,BF96),Listados!$J$27:$K$32,2,TRUE)</f>
        <v>#N/A</v>
      </c>
      <c r="BI91" s="345" t="e">
        <f>IF(AND(BG91&lt;&gt;"",BH91&lt;&gt;""),VLOOKUP(BG91&amp;BH91,Listados!$M$3:$N$27,2,FALSE),"")</f>
        <v>#N/A</v>
      </c>
      <c r="BJ91" s="537" t="e">
        <f>+IF($R91="Asumir el riesgo","NA","")</f>
        <v>#N/A</v>
      </c>
      <c r="BK91" s="537" t="e">
        <f>+IF($R91="Asumir el riesgo","NA","")</f>
        <v>#N/A</v>
      </c>
      <c r="BL91" s="537" t="e">
        <f>+IF($R91="Asumir el riesgo","NA","")</f>
        <v>#N/A</v>
      </c>
      <c r="BM91" s="537" t="e">
        <f>+IF($R91="Asumir el riesgo","NA","")</f>
        <v>#N/A</v>
      </c>
    </row>
    <row r="92" spans="1:65" ht="65.099999999999994" customHeight="1" thickBot="1">
      <c r="A92" s="329"/>
      <c r="B92" s="514"/>
      <c r="C92" s="364"/>
      <c r="D92" s="233"/>
      <c r="E92" s="233"/>
      <c r="F92" s="433"/>
      <c r="G92" s="367"/>
      <c r="H92" s="100"/>
      <c r="I92" s="237"/>
      <c r="J92" s="100"/>
      <c r="K92" s="236"/>
      <c r="L92" s="222"/>
      <c r="M92" s="370"/>
      <c r="N92" s="349"/>
      <c r="O92" s="352"/>
      <c r="P92" s="349"/>
      <c r="Q92" s="353"/>
      <c r="R92" s="346"/>
      <c r="S92" s="208"/>
      <c r="T92" s="195"/>
      <c r="U92" s="47" t="s">
        <v>627</v>
      </c>
      <c r="V92" s="215"/>
      <c r="W92" s="215"/>
      <c r="X92" s="215"/>
      <c r="Y92" s="95" t="str">
        <f t="shared" si="13"/>
        <v/>
      </c>
      <c r="Z92" s="215"/>
      <c r="AA92" s="95" t="str">
        <f t="shared" si="14"/>
        <v/>
      </c>
      <c r="AB92" s="208"/>
      <c r="AC92" s="95" t="str">
        <f t="shared" si="15"/>
        <v/>
      </c>
      <c r="AD92" s="208"/>
      <c r="AE92" s="95" t="str">
        <f t="shared" si="16"/>
        <v/>
      </c>
      <c r="AF92" s="208"/>
      <c r="AG92" s="95" t="str">
        <f t="shared" si="17"/>
        <v/>
      </c>
      <c r="AH92" s="208"/>
      <c r="AI92" s="95" t="str">
        <f t="shared" si="18"/>
        <v/>
      </c>
      <c r="AJ92" s="208"/>
      <c r="AK92" s="27" t="str">
        <f t="shared" si="19"/>
        <v/>
      </c>
      <c r="AL92" s="48" t="str">
        <f t="shared" si="20"/>
        <v/>
      </c>
      <c r="AM92" s="48" t="str">
        <f t="shared" si="21"/>
        <v/>
      </c>
      <c r="AN92" s="293"/>
      <c r="AO92" s="293"/>
      <c r="AP92" s="293"/>
      <c r="AQ92" s="293"/>
      <c r="AR92" s="293"/>
      <c r="AS92" s="293"/>
      <c r="AT92" s="293"/>
      <c r="AU92" s="294" t="str">
        <f>IFERROR(VLOOKUP(AT92,'Seguridad Información'!$I$61:$J$65,2,0),"")</f>
        <v/>
      </c>
      <c r="AV92" s="79"/>
      <c r="AW92" s="78" t="str">
        <f t="shared" si="12"/>
        <v/>
      </c>
      <c r="AX92" s="77" t="str">
        <f t="shared" si="22"/>
        <v/>
      </c>
      <c r="AY92" s="21" t="str">
        <f>IFERROR(VLOOKUP((CONCATENATE(AM92,AX92)),Listados!$U$3:$V$11,2,FALSE),"")</f>
        <v/>
      </c>
      <c r="AZ92" s="48">
        <f t="shared" si="23"/>
        <v>100</v>
      </c>
      <c r="BA92" s="355"/>
      <c r="BB92" s="357"/>
      <c r="BC92" s="173">
        <f>+IF(AND(W92="Preventivo",BB91="Fuerte"),2,IF(AND(W92="Preventivo",BB91="Moderado"),1,0))</f>
        <v>0</v>
      </c>
      <c r="BD92" s="64">
        <f>+IF(AND(W92="Detectivo/Correctivo",$BB91="Fuerte"),2,IF(AND(W92="Detectivo/Correctivo",$BB92="Moderado"),1,IF(AND(W92="Preventivo",$BB91="Fuerte"),1,0)))</f>
        <v>0</v>
      </c>
      <c r="BE92" s="173" t="e">
        <f>+N91-BC92</f>
        <v>#N/A</v>
      </c>
      <c r="BF92" s="173" t="e">
        <f>+P91-BD92</f>
        <v>#N/A</v>
      </c>
      <c r="BG92" s="346"/>
      <c r="BH92" s="346"/>
      <c r="BI92" s="346"/>
      <c r="BJ92" s="538"/>
      <c r="BK92" s="538"/>
      <c r="BL92" s="538"/>
      <c r="BM92" s="538"/>
    </row>
    <row r="93" spans="1:65" ht="65.099999999999994" customHeight="1" thickBot="1">
      <c r="A93" s="329"/>
      <c r="B93" s="514"/>
      <c r="C93" s="364"/>
      <c r="D93" s="233"/>
      <c r="E93" s="233"/>
      <c r="F93" s="433"/>
      <c r="G93" s="367"/>
      <c r="H93" s="100"/>
      <c r="I93" s="237"/>
      <c r="J93" s="100"/>
      <c r="K93" s="236"/>
      <c r="L93" s="222"/>
      <c r="M93" s="370"/>
      <c r="N93" s="349"/>
      <c r="O93" s="352"/>
      <c r="P93" s="349"/>
      <c r="Q93" s="353"/>
      <c r="R93" s="346"/>
      <c r="S93" s="208"/>
      <c r="T93" s="96"/>
      <c r="U93" s="47" t="s">
        <v>627</v>
      </c>
      <c r="V93" s="215"/>
      <c r="W93" s="215"/>
      <c r="X93" s="215"/>
      <c r="Y93" s="95" t="str">
        <f t="shared" si="13"/>
        <v/>
      </c>
      <c r="Z93" s="215"/>
      <c r="AA93" s="95" t="str">
        <f t="shared" si="14"/>
        <v/>
      </c>
      <c r="AB93" s="208"/>
      <c r="AC93" s="95" t="str">
        <f t="shared" si="15"/>
        <v/>
      </c>
      <c r="AD93" s="208"/>
      <c r="AE93" s="95" t="str">
        <f t="shared" si="16"/>
        <v/>
      </c>
      <c r="AF93" s="208"/>
      <c r="AG93" s="95" t="str">
        <f t="shared" si="17"/>
        <v/>
      </c>
      <c r="AH93" s="208"/>
      <c r="AI93" s="95" t="str">
        <f t="shared" si="18"/>
        <v/>
      </c>
      <c r="AJ93" s="208"/>
      <c r="AK93" s="27" t="str">
        <f t="shared" si="19"/>
        <v/>
      </c>
      <c r="AL93" s="48" t="str">
        <f t="shared" si="20"/>
        <v/>
      </c>
      <c r="AM93" s="48" t="str">
        <f t="shared" si="21"/>
        <v/>
      </c>
      <c r="AN93" s="293"/>
      <c r="AO93" s="293"/>
      <c r="AP93" s="293"/>
      <c r="AQ93" s="293"/>
      <c r="AR93" s="293"/>
      <c r="AS93" s="293"/>
      <c r="AT93" s="293"/>
      <c r="AU93" s="294" t="str">
        <f>IFERROR(VLOOKUP(AT93,'Seguridad Información'!$I$61:$J$65,2,0),"")</f>
        <v/>
      </c>
      <c r="AV93" s="79"/>
      <c r="AW93" s="78" t="str">
        <f t="shared" si="12"/>
        <v/>
      </c>
      <c r="AX93" s="77" t="str">
        <f t="shared" si="22"/>
        <v/>
      </c>
      <c r="AY93" s="21" t="str">
        <f>IFERROR(VLOOKUP((CONCATENATE(AM93,AX93)),Listados!$U$3:$V$11,2,FALSE),"")</f>
        <v/>
      </c>
      <c r="AZ93" s="48">
        <f t="shared" si="23"/>
        <v>100</v>
      </c>
      <c r="BA93" s="355"/>
      <c r="BB93" s="357"/>
      <c r="BC93" s="173">
        <f>+IF(AND(W93="Preventivo",BB91="Fuerte"),2,IF(AND(W93="Preventivo",BB91="Moderado"),1,0))</f>
        <v>0</v>
      </c>
      <c r="BD93" s="64">
        <f>+IF(AND(W93="Detectivo/Correctivo",$BB91="Fuerte"),2,IF(AND(W93="Detectivo/Correctivo",$BB93="Moderado"),1,IF(AND(W93="Preventivo",$BB91="Fuerte"),1,0)))</f>
        <v>0</v>
      </c>
      <c r="BE93" s="173" t="e">
        <f>+N91-BC93</f>
        <v>#N/A</v>
      </c>
      <c r="BF93" s="173" t="e">
        <f>+P91-BD93</f>
        <v>#N/A</v>
      </c>
      <c r="BG93" s="346"/>
      <c r="BH93" s="346"/>
      <c r="BI93" s="346"/>
      <c r="BJ93" s="538"/>
      <c r="BK93" s="538"/>
      <c r="BL93" s="538"/>
      <c r="BM93" s="538"/>
    </row>
    <row r="94" spans="1:65" ht="65.099999999999994" customHeight="1" thickBot="1">
      <c r="A94" s="329"/>
      <c r="B94" s="514"/>
      <c r="C94" s="364"/>
      <c r="D94" s="233"/>
      <c r="E94" s="233"/>
      <c r="F94" s="433"/>
      <c r="G94" s="367"/>
      <c r="H94" s="100"/>
      <c r="I94" s="237"/>
      <c r="J94" s="100"/>
      <c r="K94" s="236"/>
      <c r="L94" s="222"/>
      <c r="M94" s="370"/>
      <c r="N94" s="349"/>
      <c r="O94" s="352"/>
      <c r="P94" s="349"/>
      <c r="Q94" s="353"/>
      <c r="R94" s="346"/>
      <c r="S94" s="208"/>
      <c r="T94" s="97"/>
      <c r="U94" s="47" t="s">
        <v>627</v>
      </c>
      <c r="V94" s="215"/>
      <c r="W94" s="215"/>
      <c r="X94" s="215"/>
      <c r="Y94" s="95" t="str">
        <f t="shared" si="13"/>
        <v/>
      </c>
      <c r="Z94" s="215"/>
      <c r="AA94" s="95" t="str">
        <f t="shared" si="14"/>
        <v/>
      </c>
      <c r="AB94" s="208"/>
      <c r="AC94" s="95" t="str">
        <f t="shared" si="15"/>
        <v/>
      </c>
      <c r="AD94" s="208"/>
      <c r="AE94" s="95" t="str">
        <f t="shared" si="16"/>
        <v/>
      </c>
      <c r="AF94" s="208"/>
      <c r="AG94" s="95" t="str">
        <f t="shared" si="17"/>
        <v/>
      </c>
      <c r="AH94" s="208"/>
      <c r="AI94" s="95" t="str">
        <f t="shared" si="18"/>
        <v/>
      </c>
      <c r="AJ94" s="208"/>
      <c r="AK94" s="27" t="str">
        <f t="shared" si="19"/>
        <v/>
      </c>
      <c r="AL94" s="48" t="str">
        <f t="shared" si="20"/>
        <v/>
      </c>
      <c r="AM94" s="48" t="str">
        <f t="shared" si="21"/>
        <v/>
      </c>
      <c r="AN94" s="293"/>
      <c r="AO94" s="293"/>
      <c r="AP94" s="293"/>
      <c r="AQ94" s="293"/>
      <c r="AR94" s="293"/>
      <c r="AS94" s="293"/>
      <c r="AT94" s="293"/>
      <c r="AU94" s="294" t="str">
        <f>IFERROR(VLOOKUP(AT94,'Seguridad Información'!$I$61:$J$65,2,0),"")</f>
        <v/>
      </c>
      <c r="AV94" s="79"/>
      <c r="AW94" s="78" t="str">
        <f t="shared" si="12"/>
        <v/>
      </c>
      <c r="AX94" s="77" t="str">
        <f t="shared" si="22"/>
        <v/>
      </c>
      <c r="AY94" s="21" t="str">
        <f>IFERROR(VLOOKUP((CONCATENATE(AM94,AX94)),Listados!$U$3:$V$11,2,FALSE),"")</f>
        <v/>
      </c>
      <c r="AZ94" s="48">
        <f t="shared" si="23"/>
        <v>100</v>
      </c>
      <c r="BA94" s="355"/>
      <c r="BB94" s="357"/>
      <c r="BC94" s="173">
        <f>+IF(AND(W94="Preventivo",BB91="Fuerte"),2,IF(AND(W94="Preventivo",BB91="Moderado"),1,0))</f>
        <v>0</v>
      </c>
      <c r="BD94" s="64">
        <f>+IF(AND(W94="Detectivo/Correctivo",$BB91="Fuerte"),2,IF(AND(W94="Detectivo/Correctivo",$BB94="Moderado"),1,IF(AND(W94="Preventivo",$BB91="Fuerte"),1,0)))</f>
        <v>0</v>
      </c>
      <c r="BE94" s="173" t="e">
        <f>+N91-BC94</f>
        <v>#N/A</v>
      </c>
      <c r="BF94" s="173" t="e">
        <f>+P91-BD94</f>
        <v>#N/A</v>
      </c>
      <c r="BG94" s="346"/>
      <c r="BH94" s="346"/>
      <c r="BI94" s="346"/>
      <c r="BJ94" s="538"/>
      <c r="BK94" s="538"/>
      <c r="BL94" s="538"/>
      <c r="BM94" s="538"/>
    </row>
    <row r="95" spans="1:65" ht="65.099999999999994" customHeight="1" thickBot="1">
      <c r="A95" s="329"/>
      <c r="B95" s="514"/>
      <c r="C95" s="364"/>
      <c r="D95" s="109"/>
      <c r="E95" s="109"/>
      <c r="F95" s="433"/>
      <c r="G95" s="367"/>
      <c r="H95" s="100"/>
      <c r="I95" s="237"/>
      <c r="J95" s="100"/>
      <c r="K95" s="29"/>
      <c r="L95" s="222"/>
      <c r="M95" s="370"/>
      <c r="N95" s="349"/>
      <c r="O95" s="352"/>
      <c r="P95" s="349"/>
      <c r="Q95" s="353"/>
      <c r="R95" s="346"/>
      <c r="S95" s="208"/>
      <c r="T95" s="195"/>
      <c r="U95" s="47" t="s">
        <v>627</v>
      </c>
      <c r="V95" s="215"/>
      <c r="W95" s="215"/>
      <c r="X95" s="215"/>
      <c r="Y95" s="95" t="str">
        <f t="shared" si="13"/>
        <v/>
      </c>
      <c r="Z95" s="215"/>
      <c r="AA95" s="95" t="str">
        <f t="shared" si="14"/>
        <v/>
      </c>
      <c r="AB95" s="208"/>
      <c r="AC95" s="95" t="str">
        <f t="shared" si="15"/>
        <v/>
      </c>
      <c r="AD95" s="208"/>
      <c r="AE95" s="95" t="str">
        <f t="shared" si="16"/>
        <v/>
      </c>
      <c r="AF95" s="208"/>
      <c r="AG95" s="95" t="str">
        <f t="shared" si="17"/>
        <v/>
      </c>
      <c r="AH95" s="208"/>
      <c r="AI95" s="95" t="str">
        <f t="shared" si="18"/>
        <v/>
      </c>
      <c r="AJ95" s="208"/>
      <c r="AK95" s="27" t="str">
        <f t="shared" si="19"/>
        <v/>
      </c>
      <c r="AL95" s="48" t="str">
        <f t="shared" si="20"/>
        <v/>
      </c>
      <c r="AM95" s="48" t="str">
        <f t="shared" si="21"/>
        <v/>
      </c>
      <c r="AN95" s="293"/>
      <c r="AO95" s="293"/>
      <c r="AP95" s="293"/>
      <c r="AQ95" s="293"/>
      <c r="AR95" s="293"/>
      <c r="AS95" s="293"/>
      <c r="AT95" s="293"/>
      <c r="AU95" s="294" t="str">
        <f>IFERROR(VLOOKUP(AT95,'Seguridad Información'!$I$61:$J$65,2,0),"")</f>
        <v/>
      </c>
      <c r="AV95" s="79"/>
      <c r="AW95" s="78" t="str">
        <f t="shared" si="12"/>
        <v/>
      </c>
      <c r="AX95" s="77" t="str">
        <f t="shared" si="22"/>
        <v/>
      </c>
      <c r="AY95" s="21" t="str">
        <f>IFERROR(VLOOKUP((CONCATENATE(AM95,AX95)),Listados!$U$3:$V$11,2,FALSE),"")</f>
        <v/>
      </c>
      <c r="AZ95" s="48">
        <f t="shared" si="23"/>
        <v>100</v>
      </c>
      <c r="BA95" s="355"/>
      <c r="BB95" s="357"/>
      <c r="BC95" s="173">
        <f>+IF(AND(W95="Preventivo",BB91="Fuerte"),2,IF(AND(W95="Preventivo",BB91="Moderado"),1,0))</f>
        <v>0</v>
      </c>
      <c r="BD95" s="64">
        <f>+IF(AND(W95="Detectivo/Correctivo",$BB91="Fuerte"),2,IF(AND(W95="Detectivo/Correctivo",$BB95="Moderado"),1,IF(AND(W95="Preventivo",$BB91="Fuerte"),1,0)))</f>
        <v>0</v>
      </c>
      <c r="BE95" s="173" t="e">
        <f>+N91-BC95</f>
        <v>#N/A</v>
      </c>
      <c r="BF95" s="173" t="e">
        <f>+P91-BD95</f>
        <v>#N/A</v>
      </c>
      <c r="BG95" s="346"/>
      <c r="BH95" s="346"/>
      <c r="BI95" s="346"/>
      <c r="BJ95" s="538"/>
      <c r="BK95" s="538"/>
      <c r="BL95" s="538"/>
      <c r="BM95" s="538"/>
    </row>
    <row r="96" spans="1:65" ht="65.099999999999994" customHeight="1" thickBot="1">
      <c r="A96" s="330"/>
      <c r="B96" s="514"/>
      <c r="C96" s="365"/>
      <c r="D96" s="106"/>
      <c r="E96" s="106"/>
      <c r="F96" s="434"/>
      <c r="G96" s="368"/>
      <c r="H96" s="100"/>
      <c r="I96" s="237"/>
      <c r="J96" s="100"/>
      <c r="K96" s="31"/>
      <c r="L96" s="222"/>
      <c r="M96" s="370"/>
      <c r="N96" s="350"/>
      <c r="O96" s="352"/>
      <c r="P96" s="350"/>
      <c r="Q96" s="353"/>
      <c r="R96" s="347"/>
      <c r="S96" s="208"/>
      <c r="T96" s="98"/>
      <c r="U96" s="47" t="s">
        <v>627</v>
      </c>
      <c r="V96" s="215"/>
      <c r="W96" s="215"/>
      <c r="X96" s="215"/>
      <c r="Y96" s="95" t="str">
        <f t="shared" si="13"/>
        <v/>
      </c>
      <c r="Z96" s="215"/>
      <c r="AA96" s="95" t="str">
        <f t="shared" si="14"/>
        <v/>
      </c>
      <c r="AB96" s="208"/>
      <c r="AC96" s="95" t="str">
        <f t="shared" si="15"/>
        <v/>
      </c>
      <c r="AD96" s="208"/>
      <c r="AE96" s="95" t="str">
        <f t="shared" si="16"/>
        <v/>
      </c>
      <c r="AF96" s="208"/>
      <c r="AG96" s="95" t="str">
        <f t="shared" si="17"/>
        <v/>
      </c>
      <c r="AH96" s="208"/>
      <c r="AI96" s="95" t="str">
        <f t="shared" si="18"/>
        <v/>
      </c>
      <c r="AJ96" s="208"/>
      <c r="AK96" s="27" t="str">
        <f t="shared" si="19"/>
        <v/>
      </c>
      <c r="AL96" s="48" t="str">
        <f t="shared" si="20"/>
        <v/>
      </c>
      <c r="AM96" s="48" t="str">
        <f t="shared" si="21"/>
        <v/>
      </c>
      <c r="AN96" s="293"/>
      <c r="AO96" s="293"/>
      <c r="AP96" s="293"/>
      <c r="AQ96" s="293"/>
      <c r="AR96" s="293"/>
      <c r="AS96" s="293"/>
      <c r="AT96" s="293"/>
      <c r="AU96" s="294" t="str">
        <f>IFERROR(VLOOKUP(AT96,'Seguridad Información'!$I$61:$J$65,2,0),"")</f>
        <v/>
      </c>
      <c r="AV96" s="79"/>
      <c r="AW96" s="78" t="str">
        <f t="shared" si="12"/>
        <v/>
      </c>
      <c r="AX96" s="77" t="str">
        <f t="shared" si="22"/>
        <v/>
      </c>
      <c r="AY96" s="21" t="str">
        <f>IFERROR(VLOOKUP((CONCATENATE(AM96,AX96)),Listados!$U$3:$V$11,2,FALSE),"")</f>
        <v/>
      </c>
      <c r="AZ96" s="48">
        <f t="shared" si="23"/>
        <v>100</v>
      </c>
      <c r="BA96" s="356"/>
      <c r="BB96" s="357"/>
      <c r="BC96" s="173">
        <f>+IF(AND(W96="Preventivo",BB91="Fuerte"),2,IF(AND(W96="Preventivo",BB91="Moderado"),1,0))</f>
        <v>0</v>
      </c>
      <c r="BD96" s="64">
        <f>+IF(AND(W96="Detectivo/Correctivo",$BB91="Fuerte"),2,IF(AND(W96="Detectivo/Correctivo",$BB96="Moderado"),1,IF(AND(W96="Preventivo",$BB91="Fuerte"),1,0)))</f>
        <v>0</v>
      </c>
      <c r="BE96" s="173" t="e">
        <f>+N91-BC96</f>
        <v>#N/A</v>
      </c>
      <c r="BF96" s="173" t="e">
        <f>+P91-BD96</f>
        <v>#N/A</v>
      </c>
      <c r="BG96" s="347"/>
      <c r="BH96" s="347"/>
      <c r="BI96" s="347"/>
      <c r="BJ96" s="539"/>
      <c r="BK96" s="539"/>
      <c r="BL96" s="539"/>
      <c r="BM96" s="539"/>
    </row>
    <row r="97" spans="1:65" ht="65.099999999999994" customHeight="1" thickBot="1">
      <c r="A97" s="328">
        <v>16</v>
      </c>
      <c r="B97" s="519"/>
      <c r="C97" s="371" t="str">
        <f>IFERROR(VLOOKUP(B97,Listados!B$3:C$20,2,FALSE),"")</f>
        <v/>
      </c>
      <c r="D97" s="107"/>
      <c r="E97" s="107"/>
      <c r="F97" s="432"/>
      <c r="G97" s="372"/>
      <c r="H97" s="100"/>
      <c r="I97" s="237"/>
      <c r="J97" s="100"/>
      <c r="K97" s="103"/>
      <c r="L97" s="17"/>
      <c r="M97" s="369"/>
      <c r="N97" s="348" t="e">
        <f>+VLOOKUP(M97,Listados!$K$8:$L$12,2,0)</f>
        <v>#N/A</v>
      </c>
      <c r="O97" s="351"/>
      <c r="P97" s="348" t="e">
        <f>+VLOOKUP(O97,Listados!$K$13:$L$17,2,0)</f>
        <v>#N/A</v>
      </c>
      <c r="Q97" s="347" t="str">
        <f>IF(AND(M97&lt;&gt;"",O97&lt;&gt;""),VLOOKUP(M97&amp;O97,Listados!$M$3:$N$27,2,FALSE),"")</f>
        <v/>
      </c>
      <c r="R97" s="345" t="e">
        <f>+VLOOKUP(Q97,Listados!$P$3:$Q$6,2,FALSE)</f>
        <v>#N/A</v>
      </c>
      <c r="S97" s="208"/>
      <c r="T97" s="94"/>
      <c r="U97" s="47" t="s">
        <v>627</v>
      </c>
      <c r="V97" s="215"/>
      <c r="W97" s="215"/>
      <c r="X97" s="215"/>
      <c r="Y97" s="95" t="str">
        <f t="shared" si="13"/>
        <v/>
      </c>
      <c r="Z97" s="215"/>
      <c r="AA97" s="95" t="str">
        <f t="shared" si="14"/>
        <v/>
      </c>
      <c r="AB97" s="208"/>
      <c r="AC97" s="95" t="str">
        <f t="shared" si="15"/>
        <v/>
      </c>
      <c r="AD97" s="208"/>
      <c r="AE97" s="95" t="str">
        <f t="shared" si="16"/>
        <v/>
      </c>
      <c r="AF97" s="208"/>
      <c r="AG97" s="95" t="str">
        <f t="shared" si="17"/>
        <v/>
      </c>
      <c r="AH97" s="208"/>
      <c r="AI97" s="95" t="str">
        <f t="shared" si="18"/>
        <v/>
      </c>
      <c r="AJ97" s="208"/>
      <c r="AK97" s="27" t="str">
        <f t="shared" si="19"/>
        <v/>
      </c>
      <c r="AL97" s="48" t="str">
        <f t="shared" si="20"/>
        <v/>
      </c>
      <c r="AM97" s="48" t="str">
        <f t="shared" si="21"/>
        <v/>
      </c>
      <c r="AN97" s="293"/>
      <c r="AO97" s="293"/>
      <c r="AP97" s="293"/>
      <c r="AQ97" s="293"/>
      <c r="AR97" s="293"/>
      <c r="AS97" s="293"/>
      <c r="AT97" s="293"/>
      <c r="AU97" s="294" t="str">
        <f>IFERROR(VLOOKUP(AT97,'Seguridad Información'!$I$61:$J$65,2,0),"")</f>
        <v/>
      </c>
      <c r="AV97" s="79"/>
      <c r="AW97" s="78" t="str">
        <f t="shared" si="12"/>
        <v/>
      </c>
      <c r="AX97" s="77" t="str">
        <f t="shared" si="22"/>
        <v/>
      </c>
      <c r="AY97" s="21" t="str">
        <f>IFERROR(VLOOKUP((CONCATENATE(AM97,AX97)),Listados!$U$3:$V$11,2,FALSE),"")</f>
        <v/>
      </c>
      <c r="AZ97" s="48">
        <f t="shared" si="23"/>
        <v>100</v>
      </c>
      <c r="BA97" s="354">
        <f>AVERAGE(AZ97:AZ102)</f>
        <v>100</v>
      </c>
      <c r="BB97" s="356" t="str">
        <f>IF(BA97&lt;=50, "Débil", IF(BA97&lt;=99,"Moderado","Fuerte"))</f>
        <v>Fuerte</v>
      </c>
      <c r="BC97" s="173">
        <f>+IF(AND(W97="Preventivo",BB97="Fuerte"),2,IF(AND(W97="Preventivo",BB97="Moderado"),1,0))</f>
        <v>0</v>
      </c>
      <c r="BD97" s="64">
        <f>+IF(AND(W97="Detectivo/Correctivo",$BB97="Fuerte"),2,IF(AND(W97="Detectivo/Correctivo",$BB97="Moderado"),1,IF(AND(W97="Preventivo",$BB97="Fuerte"),1,0)))</f>
        <v>0</v>
      </c>
      <c r="BE97" s="173" t="e">
        <f>+N97-BC97</f>
        <v>#N/A</v>
      </c>
      <c r="BF97" s="173" t="e">
        <f>+P97-BD97</f>
        <v>#N/A</v>
      </c>
      <c r="BG97" s="345" t="e">
        <f>+VLOOKUP(MIN(BE97,BE98,BE99,BE100,BE101,BE102),Listados!$J$18:$K$24,2,TRUE)</f>
        <v>#N/A</v>
      </c>
      <c r="BH97" s="345" t="e">
        <f>+VLOOKUP(MIN(BF97,BF98,BF99,BF100,BF101,BF102),Listados!$J$27:$K$32,2,TRUE)</f>
        <v>#N/A</v>
      </c>
      <c r="BI97" s="345" t="e">
        <f>IF(AND(BG97&lt;&gt;"",BH97&lt;&gt;""),VLOOKUP(BG97&amp;BH97,Listados!$M$3:$N$27,2,FALSE),"")</f>
        <v>#N/A</v>
      </c>
      <c r="BJ97" s="537" t="e">
        <f>+IF($R97="Asumir el riesgo","NA","")</f>
        <v>#N/A</v>
      </c>
      <c r="BK97" s="537" t="e">
        <f>+IF($R97="Asumir el riesgo","NA","")</f>
        <v>#N/A</v>
      </c>
      <c r="BL97" s="537" t="e">
        <f>+IF($R97="Asumir el riesgo","NA","")</f>
        <v>#N/A</v>
      </c>
      <c r="BM97" s="537" t="e">
        <f>+IF($R97="Asumir el riesgo","NA","")</f>
        <v>#N/A</v>
      </c>
    </row>
    <row r="98" spans="1:65" ht="65.099999999999994" customHeight="1" thickBot="1">
      <c r="A98" s="329"/>
      <c r="B98" s="514"/>
      <c r="C98" s="364"/>
      <c r="D98" s="233"/>
      <c r="E98" s="233"/>
      <c r="F98" s="433"/>
      <c r="G98" s="367"/>
      <c r="H98" s="100"/>
      <c r="I98" s="237"/>
      <c r="J98" s="100"/>
      <c r="K98" s="236"/>
      <c r="L98" s="222"/>
      <c r="M98" s="370"/>
      <c r="N98" s="349"/>
      <c r="O98" s="352"/>
      <c r="P98" s="349"/>
      <c r="Q98" s="353"/>
      <c r="R98" s="346"/>
      <c r="S98" s="208"/>
      <c r="T98" s="195"/>
      <c r="U98" s="47" t="s">
        <v>627</v>
      </c>
      <c r="V98" s="215"/>
      <c r="W98" s="215"/>
      <c r="X98" s="215"/>
      <c r="Y98" s="95" t="str">
        <f t="shared" si="13"/>
        <v/>
      </c>
      <c r="Z98" s="215"/>
      <c r="AA98" s="95" t="str">
        <f t="shared" si="14"/>
        <v/>
      </c>
      <c r="AB98" s="208"/>
      <c r="AC98" s="95" t="str">
        <f t="shared" si="15"/>
        <v/>
      </c>
      <c r="AD98" s="208"/>
      <c r="AE98" s="95" t="str">
        <f t="shared" si="16"/>
        <v/>
      </c>
      <c r="AF98" s="208"/>
      <c r="AG98" s="95" t="str">
        <f t="shared" si="17"/>
        <v/>
      </c>
      <c r="AH98" s="208"/>
      <c r="AI98" s="95" t="str">
        <f t="shared" si="18"/>
        <v/>
      </c>
      <c r="AJ98" s="208"/>
      <c r="AK98" s="27" t="str">
        <f t="shared" si="19"/>
        <v/>
      </c>
      <c r="AL98" s="48" t="str">
        <f t="shared" si="20"/>
        <v/>
      </c>
      <c r="AM98" s="48" t="str">
        <f t="shared" si="21"/>
        <v/>
      </c>
      <c r="AN98" s="293"/>
      <c r="AO98" s="293"/>
      <c r="AP98" s="293"/>
      <c r="AQ98" s="293"/>
      <c r="AR98" s="293"/>
      <c r="AS98" s="293"/>
      <c r="AT98" s="293"/>
      <c r="AU98" s="294" t="str">
        <f>IFERROR(VLOOKUP(AT98,'Seguridad Información'!$I$61:$J$65,2,0),"")</f>
        <v/>
      </c>
      <c r="AV98" s="79"/>
      <c r="AW98" s="78" t="str">
        <f t="shared" si="12"/>
        <v/>
      </c>
      <c r="AX98" s="77" t="str">
        <f t="shared" si="22"/>
        <v/>
      </c>
      <c r="AY98" s="21" t="str">
        <f>IFERROR(VLOOKUP((CONCATENATE(AM98,AX98)),Listados!$U$3:$V$11,2,FALSE),"")</f>
        <v/>
      </c>
      <c r="AZ98" s="48">
        <f t="shared" si="23"/>
        <v>100</v>
      </c>
      <c r="BA98" s="355"/>
      <c r="BB98" s="357"/>
      <c r="BC98" s="173">
        <f>+IF(AND(W98="Preventivo",BB97="Fuerte"),2,IF(AND(W98="Preventivo",BB97="Moderado"),1,0))</f>
        <v>0</v>
      </c>
      <c r="BD98" s="64">
        <f>+IF(AND(W98="Detectivo/Correctivo",$BB97="Fuerte"),2,IF(AND(W98="Detectivo/Correctivo",$BB98="Moderado"),1,IF(AND(W98="Preventivo",$BB97="Fuerte"),1,0)))</f>
        <v>0</v>
      </c>
      <c r="BE98" s="173" t="e">
        <f>+N97-BC98</f>
        <v>#N/A</v>
      </c>
      <c r="BF98" s="173" t="e">
        <f>+P97-BD98</f>
        <v>#N/A</v>
      </c>
      <c r="BG98" s="346"/>
      <c r="BH98" s="346"/>
      <c r="BI98" s="346"/>
      <c r="BJ98" s="538"/>
      <c r="BK98" s="538"/>
      <c r="BL98" s="538"/>
      <c r="BM98" s="538"/>
    </row>
    <row r="99" spans="1:65" ht="65.099999999999994" customHeight="1" thickBot="1">
      <c r="A99" s="329"/>
      <c r="B99" s="514"/>
      <c r="C99" s="364"/>
      <c r="D99" s="233"/>
      <c r="E99" s="233"/>
      <c r="F99" s="433"/>
      <c r="G99" s="367"/>
      <c r="H99" s="100"/>
      <c r="I99" s="237"/>
      <c r="J99" s="100"/>
      <c r="K99" s="236"/>
      <c r="L99" s="222"/>
      <c r="M99" s="370"/>
      <c r="N99" s="349"/>
      <c r="O99" s="352"/>
      <c r="P99" s="349"/>
      <c r="Q99" s="353"/>
      <c r="R99" s="346"/>
      <c r="S99" s="208"/>
      <c r="T99" s="96"/>
      <c r="U99" s="47" t="s">
        <v>627</v>
      </c>
      <c r="V99" s="215"/>
      <c r="W99" s="215"/>
      <c r="X99" s="215"/>
      <c r="Y99" s="95" t="str">
        <f t="shared" si="13"/>
        <v/>
      </c>
      <c r="Z99" s="215"/>
      <c r="AA99" s="95" t="str">
        <f t="shared" si="14"/>
        <v/>
      </c>
      <c r="AB99" s="208"/>
      <c r="AC99" s="95" t="str">
        <f t="shared" si="15"/>
        <v/>
      </c>
      <c r="AD99" s="208"/>
      <c r="AE99" s="95" t="str">
        <f t="shared" si="16"/>
        <v/>
      </c>
      <c r="AF99" s="208"/>
      <c r="AG99" s="95" t="str">
        <f t="shared" si="17"/>
        <v/>
      </c>
      <c r="AH99" s="208"/>
      <c r="AI99" s="95" t="str">
        <f t="shared" si="18"/>
        <v/>
      </c>
      <c r="AJ99" s="208"/>
      <c r="AK99" s="27" t="str">
        <f t="shared" si="19"/>
        <v/>
      </c>
      <c r="AL99" s="48" t="str">
        <f t="shared" si="20"/>
        <v/>
      </c>
      <c r="AM99" s="48" t="str">
        <f t="shared" si="21"/>
        <v/>
      </c>
      <c r="AN99" s="293"/>
      <c r="AO99" s="293"/>
      <c r="AP99" s="293"/>
      <c r="AQ99" s="293"/>
      <c r="AR99" s="293"/>
      <c r="AS99" s="293"/>
      <c r="AT99" s="293"/>
      <c r="AU99" s="294" t="str">
        <f>IFERROR(VLOOKUP(AT99,'Seguridad Información'!$I$61:$J$65,2,0),"")</f>
        <v/>
      </c>
      <c r="AV99" s="79"/>
      <c r="AW99" s="78" t="str">
        <f t="shared" si="12"/>
        <v/>
      </c>
      <c r="AX99" s="77" t="str">
        <f t="shared" si="22"/>
        <v/>
      </c>
      <c r="AY99" s="21" t="str">
        <f>IFERROR(VLOOKUP((CONCATENATE(AM99,AX99)),Listados!$U$3:$V$11,2,FALSE),"")</f>
        <v/>
      </c>
      <c r="AZ99" s="48">
        <f t="shared" si="23"/>
        <v>100</v>
      </c>
      <c r="BA99" s="355"/>
      <c r="BB99" s="357"/>
      <c r="BC99" s="173">
        <f>+IF(AND(W99="Preventivo",BB97="Fuerte"),2,IF(AND(W99="Preventivo",BB97="Moderado"),1,0))</f>
        <v>0</v>
      </c>
      <c r="BD99" s="64">
        <f>+IF(AND(W99="Detectivo/Correctivo",$BB97="Fuerte"),2,IF(AND(W99="Detectivo/Correctivo",$BB99="Moderado"),1,IF(AND(W99="Preventivo",$BB97="Fuerte"),1,0)))</f>
        <v>0</v>
      </c>
      <c r="BE99" s="173" t="e">
        <f>+N97-BC99</f>
        <v>#N/A</v>
      </c>
      <c r="BF99" s="173" t="e">
        <f>+P97-BD99</f>
        <v>#N/A</v>
      </c>
      <c r="BG99" s="346"/>
      <c r="BH99" s="346"/>
      <c r="BI99" s="346"/>
      <c r="BJ99" s="538"/>
      <c r="BK99" s="538"/>
      <c r="BL99" s="538"/>
      <c r="BM99" s="538"/>
    </row>
    <row r="100" spans="1:65" ht="65.099999999999994" customHeight="1" thickBot="1">
      <c r="A100" s="329"/>
      <c r="B100" s="514"/>
      <c r="C100" s="364"/>
      <c r="D100" s="233"/>
      <c r="E100" s="233"/>
      <c r="F100" s="433"/>
      <c r="G100" s="367"/>
      <c r="H100" s="100"/>
      <c r="I100" s="237"/>
      <c r="J100" s="100"/>
      <c r="K100" s="236"/>
      <c r="L100" s="222"/>
      <c r="M100" s="370"/>
      <c r="N100" s="349"/>
      <c r="O100" s="352"/>
      <c r="P100" s="349"/>
      <c r="Q100" s="353"/>
      <c r="R100" s="346"/>
      <c r="S100" s="208"/>
      <c r="T100" s="97"/>
      <c r="U100" s="47" t="s">
        <v>627</v>
      </c>
      <c r="V100" s="215"/>
      <c r="W100" s="215"/>
      <c r="X100" s="215"/>
      <c r="Y100" s="95" t="str">
        <f t="shared" si="13"/>
        <v/>
      </c>
      <c r="Z100" s="215"/>
      <c r="AA100" s="95" t="str">
        <f t="shared" si="14"/>
        <v/>
      </c>
      <c r="AB100" s="208"/>
      <c r="AC100" s="95" t="str">
        <f t="shared" si="15"/>
        <v/>
      </c>
      <c r="AD100" s="208"/>
      <c r="AE100" s="95" t="str">
        <f t="shared" si="16"/>
        <v/>
      </c>
      <c r="AF100" s="208"/>
      <c r="AG100" s="95" t="str">
        <f t="shared" si="17"/>
        <v/>
      </c>
      <c r="AH100" s="208"/>
      <c r="AI100" s="95" t="str">
        <f t="shared" si="18"/>
        <v/>
      </c>
      <c r="AJ100" s="208"/>
      <c r="AK100" s="27" t="str">
        <f t="shared" si="19"/>
        <v/>
      </c>
      <c r="AL100" s="48" t="str">
        <f t="shared" si="20"/>
        <v/>
      </c>
      <c r="AM100" s="48" t="str">
        <f t="shared" si="21"/>
        <v/>
      </c>
      <c r="AN100" s="293"/>
      <c r="AO100" s="293"/>
      <c r="AP100" s="293"/>
      <c r="AQ100" s="293"/>
      <c r="AR100" s="293"/>
      <c r="AS100" s="293"/>
      <c r="AT100" s="293"/>
      <c r="AU100" s="294" t="str">
        <f>IFERROR(VLOOKUP(AT100,'Seguridad Información'!$I$61:$J$65,2,0),"")</f>
        <v/>
      </c>
      <c r="AV100" s="79"/>
      <c r="AW100" s="78" t="str">
        <f t="shared" si="12"/>
        <v/>
      </c>
      <c r="AX100" s="77" t="str">
        <f t="shared" si="22"/>
        <v/>
      </c>
      <c r="AY100" s="21" t="str">
        <f>IFERROR(VLOOKUP((CONCATENATE(AM100,AX100)),Listados!$U$3:$V$11,2,FALSE),"")</f>
        <v/>
      </c>
      <c r="AZ100" s="48">
        <f t="shared" si="23"/>
        <v>100</v>
      </c>
      <c r="BA100" s="355"/>
      <c r="BB100" s="357"/>
      <c r="BC100" s="173">
        <f>+IF(AND(W100="Preventivo",BB97="Fuerte"),2,IF(AND(W100="Preventivo",BB97="Moderado"),1,0))</f>
        <v>0</v>
      </c>
      <c r="BD100" s="64">
        <f>+IF(AND(W100="Detectivo/Correctivo",$BB97="Fuerte"),2,IF(AND(W100="Detectivo/Correctivo",$BB100="Moderado"),1,IF(AND(W100="Preventivo",$BB97="Fuerte"),1,0)))</f>
        <v>0</v>
      </c>
      <c r="BE100" s="173" t="e">
        <f>+N97-BC100</f>
        <v>#N/A</v>
      </c>
      <c r="BF100" s="173" t="e">
        <f>+P97-BD100</f>
        <v>#N/A</v>
      </c>
      <c r="BG100" s="346"/>
      <c r="BH100" s="346"/>
      <c r="BI100" s="346"/>
      <c r="BJ100" s="538"/>
      <c r="BK100" s="538"/>
      <c r="BL100" s="538"/>
      <c r="BM100" s="538"/>
    </row>
    <row r="101" spans="1:65" ht="65.099999999999994" customHeight="1" thickBot="1">
      <c r="A101" s="329"/>
      <c r="B101" s="514"/>
      <c r="C101" s="364"/>
      <c r="D101" s="109"/>
      <c r="E101" s="109"/>
      <c r="F101" s="433"/>
      <c r="G101" s="367"/>
      <c r="H101" s="100"/>
      <c r="I101" s="237"/>
      <c r="J101" s="100"/>
      <c r="K101" s="29"/>
      <c r="L101" s="222"/>
      <c r="M101" s="370"/>
      <c r="N101" s="349"/>
      <c r="O101" s="352"/>
      <c r="P101" s="349"/>
      <c r="Q101" s="353"/>
      <c r="R101" s="346"/>
      <c r="S101" s="208"/>
      <c r="T101" s="195"/>
      <c r="U101" s="47" t="s">
        <v>627</v>
      </c>
      <c r="V101" s="215"/>
      <c r="W101" s="215"/>
      <c r="X101" s="215"/>
      <c r="Y101" s="95" t="str">
        <f t="shared" si="13"/>
        <v/>
      </c>
      <c r="Z101" s="215"/>
      <c r="AA101" s="95" t="str">
        <f t="shared" si="14"/>
        <v/>
      </c>
      <c r="AB101" s="208"/>
      <c r="AC101" s="95" t="str">
        <f t="shared" si="15"/>
        <v/>
      </c>
      <c r="AD101" s="208"/>
      <c r="AE101" s="95" t="str">
        <f t="shared" si="16"/>
        <v/>
      </c>
      <c r="AF101" s="208"/>
      <c r="AG101" s="95" t="str">
        <f t="shared" si="17"/>
        <v/>
      </c>
      <c r="AH101" s="208"/>
      <c r="AI101" s="95" t="str">
        <f t="shared" si="18"/>
        <v/>
      </c>
      <c r="AJ101" s="208"/>
      <c r="AK101" s="27" t="str">
        <f t="shared" si="19"/>
        <v/>
      </c>
      <c r="AL101" s="48" t="str">
        <f t="shared" si="20"/>
        <v/>
      </c>
      <c r="AM101" s="48" t="str">
        <f t="shared" si="21"/>
        <v/>
      </c>
      <c r="AN101" s="293"/>
      <c r="AO101" s="293"/>
      <c r="AP101" s="293"/>
      <c r="AQ101" s="293"/>
      <c r="AR101" s="293"/>
      <c r="AS101" s="293"/>
      <c r="AT101" s="293"/>
      <c r="AU101" s="294" t="str">
        <f>IFERROR(VLOOKUP(AT101,'Seguridad Información'!$I$61:$J$65,2,0),"")</f>
        <v/>
      </c>
      <c r="AV101" s="79"/>
      <c r="AW101" s="78" t="str">
        <f t="shared" si="12"/>
        <v/>
      </c>
      <c r="AX101" s="77" t="str">
        <f t="shared" si="22"/>
        <v/>
      </c>
      <c r="AY101" s="21" t="str">
        <f>IFERROR(VLOOKUP((CONCATENATE(AM101,AX101)),Listados!$U$3:$V$11,2,FALSE),"")</f>
        <v/>
      </c>
      <c r="AZ101" s="48">
        <f t="shared" si="23"/>
        <v>100</v>
      </c>
      <c r="BA101" s="355"/>
      <c r="BB101" s="357"/>
      <c r="BC101" s="173">
        <f>+IF(AND(W101="Preventivo",BB97="Fuerte"),2,IF(AND(W101="Preventivo",BB97="Moderado"),1,0))</f>
        <v>0</v>
      </c>
      <c r="BD101" s="64">
        <f>+IF(AND(W101="Detectivo/Correctivo",$BB97="Fuerte"),2,IF(AND(W101="Detectivo/Correctivo",$BB101="Moderado"),1,IF(AND(W101="Preventivo",$BB97="Fuerte"),1,0)))</f>
        <v>0</v>
      </c>
      <c r="BE101" s="173" t="e">
        <f>+N97-BC101</f>
        <v>#N/A</v>
      </c>
      <c r="BF101" s="173" t="e">
        <f>+P97-BD101</f>
        <v>#N/A</v>
      </c>
      <c r="BG101" s="346"/>
      <c r="BH101" s="346"/>
      <c r="BI101" s="346"/>
      <c r="BJ101" s="538"/>
      <c r="BK101" s="538"/>
      <c r="BL101" s="538"/>
      <c r="BM101" s="538"/>
    </row>
    <row r="102" spans="1:65" ht="65.099999999999994" customHeight="1" thickBot="1">
      <c r="A102" s="330"/>
      <c r="B102" s="514"/>
      <c r="C102" s="365"/>
      <c r="D102" s="106"/>
      <c r="E102" s="106"/>
      <c r="F102" s="434"/>
      <c r="G102" s="368"/>
      <c r="H102" s="100"/>
      <c r="I102" s="237"/>
      <c r="J102" s="100"/>
      <c r="K102" s="31"/>
      <c r="L102" s="222"/>
      <c r="M102" s="370"/>
      <c r="N102" s="350"/>
      <c r="O102" s="352"/>
      <c r="P102" s="350"/>
      <c r="Q102" s="353"/>
      <c r="R102" s="347"/>
      <c r="S102" s="208"/>
      <c r="T102" s="98"/>
      <c r="U102" s="47" t="s">
        <v>627</v>
      </c>
      <c r="V102" s="215"/>
      <c r="W102" s="215"/>
      <c r="X102" s="215"/>
      <c r="Y102" s="95" t="str">
        <f t="shared" si="13"/>
        <v/>
      </c>
      <c r="Z102" s="215"/>
      <c r="AA102" s="95" t="str">
        <f t="shared" si="14"/>
        <v/>
      </c>
      <c r="AB102" s="208"/>
      <c r="AC102" s="95" t="str">
        <f t="shared" si="15"/>
        <v/>
      </c>
      <c r="AD102" s="208"/>
      <c r="AE102" s="95" t="str">
        <f t="shared" si="16"/>
        <v/>
      </c>
      <c r="AF102" s="208"/>
      <c r="AG102" s="95" t="str">
        <f t="shared" si="17"/>
        <v/>
      </c>
      <c r="AH102" s="208"/>
      <c r="AI102" s="95" t="str">
        <f t="shared" si="18"/>
        <v/>
      </c>
      <c r="AJ102" s="208"/>
      <c r="AK102" s="27" t="str">
        <f t="shared" si="19"/>
        <v/>
      </c>
      <c r="AL102" s="48" t="str">
        <f t="shared" si="20"/>
        <v/>
      </c>
      <c r="AM102" s="48" t="str">
        <f t="shared" si="21"/>
        <v/>
      </c>
      <c r="AN102" s="293"/>
      <c r="AO102" s="293"/>
      <c r="AP102" s="293"/>
      <c r="AQ102" s="293"/>
      <c r="AR102" s="293"/>
      <c r="AS102" s="293"/>
      <c r="AT102" s="293"/>
      <c r="AU102" s="294" t="str">
        <f>IFERROR(VLOOKUP(AT102,'Seguridad Información'!$I$61:$J$65,2,0),"")</f>
        <v/>
      </c>
      <c r="AV102" s="79"/>
      <c r="AW102" s="78" t="str">
        <f t="shared" si="12"/>
        <v/>
      </c>
      <c r="AX102" s="77" t="str">
        <f t="shared" si="22"/>
        <v/>
      </c>
      <c r="AY102" s="21" t="str">
        <f>IFERROR(VLOOKUP((CONCATENATE(AM102,AX102)),Listados!$U$3:$V$11,2,FALSE),"")</f>
        <v/>
      </c>
      <c r="AZ102" s="48">
        <f t="shared" si="23"/>
        <v>100</v>
      </c>
      <c r="BA102" s="356"/>
      <c r="BB102" s="357"/>
      <c r="BC102" s="173">
        <f>+IF(AND(W102="Preventivo",BB97="Fuerte"),2,IF(AND(W102="Preventivo",BB97="Moderado"),1,0))</f>
        <v>0</v>
      </c>
      <c r="BD102" s="64">
        <f>+IF(AND(W102="Detectivo/Correctivo",$BB97="Fuerte"),2,IF(AND(W102="Detectivo/Correctivo",$BB102="Moderado"),1,IF(AND(W102="Preventivo",$BB97="Fuerte"),1,0)))</f>
        <v>0</v>
      </c>
      <c r="BE102" s="173" t="e">
        <f>+N97-BC102</f>
        <v>#N/A</v>
      </c>
      <c r="BF102" s="173" t="e">
        <f>+P97-BD102</f>
        <v>#N/A</v>
      </c>
      <c r="BG102" s="347"/>
      <c r="BH102" s="347"/>
      <c r="BI102" s="347"/>
      <c r="BJ102" s="539"/>
      <c r="BK102" s="539"/>
      <c r="BL102" s="539"/>
      <c r="BM102" s="539"/>
    </row>
    <row r="103" spans="1:65" ht="65.099999999999994" customHeight="1" thickBot="1">
      <c r="A103" s="328">
        <v>17</v>
      </c>
      <c r="B103" s="519"/>
      <c r="C103" s="371" t="str">
        <f>IFERROR(VLOOKUP(B103,Listados!B$3:C$20,2,FALSE),"")</f>
        <v/>
      </c>
      <c r="D103" s="107"/>
      <c r="E103" s="107"/>
      <c r="F103" s="432"/>
      <c r="G103" s="372"/>
      <c r="H103" s="100"/>
      <c r="I103" s="237"/>
      <c r="J103" s="100"/>
      <c r="K103" s="103"/>
      <c r="L103" s="17"/>
      <c r="M103" s="369"/>
      <c r="N103" s="348" t="e">
        <f>+VLOOKUP(M103,Listados!$K$8:$L$12,2,0)</f>
        <v>#N/A</v>
      </c>
      <c r="O103" s="351"/>
      <c r="P103" s="348" t="e">
        <f>+VLOOKUP(O103,Listados!$K$13:$L$17,2,0)</f>
        <v>#N/A</v>
      </c>
      <c r="Q103" s="347" t="str">
        <f>IF(AND(M103&lt;&gt;"",O103&lt;&gt;""),VLOOKUP(M103&amp;O103,Listados!$M$3:$N$27,2,FALSE),"")</f>
        <v/>
      </c>
      <c r="R103" s="345" t="e">
        <f>+VLOOKUP(Q103,Listados!$P$3:$Q$6,2,FALSE)</f>
        <v>#N/A</v>
      </c>
      <c r="S103" s="208"/>
      <c r="T103" s="94"/>
      <c r="U103" s="47" t="s">
        <v>627</v>
      </c>
      <c r="V103" s="215"/>
      <c r="W103" s="215"/>
      <c r="X103" s="215"/>
      <c r="Y103" s="95" t="str">
        <f t="shared" si="13"/>
        <v/>
      </c>
      <c r="Z103" s="215"/>
      <c r="AA103" s="95" t="str">
        <f t="shared" si="14"/>
        <v/>
      </c>
      <c r="AB103" s="208"/>
      <c r="AC103" s="95" t="str">
        <f t="shared" si="15"/>
        <v/>
      </c>
      <c r="AD103" s="208"/>
      <c r="AE103" s="95" t="str">
        <f t="shared" si="16"/>
        <v/>
      </c>
      <c r="AF103" s="208"/>
      <c r="AG103" s="95" t="str">
        <f t="shared" si="17"/>
        <v/>
      </c>
      <c r="AH103" s="208"/>
      <c r="AI103" s="95" t="str">
        <f t="shared" si="18"/>
        <v/>
      </c>
      <c r="AJ103" s="208"/>
      <c r="AK103" s="27" t="str">
        <f t="shared" si="19"/>
        <v/>
      </c>
      <c r="AL103" s="48" t="str">
        <f t="shared" si="20"/>
        <v/>
      </c>
      <c r="AM103" s="48" t="str">
        <f t="shared" si="21"/>
        <v/>
      </c>
      <c r="AN103" s="293"/>
      <c r="AO103" s="293"/>
      <c r="AP103" s="293"/>
      <c r="AQ103" s="293"/>
      <c r="AR103" s="293"/>
      <c r="AS103" s="293"/>
      <c r="AT103" s="293"/>
      <c r="AU103" s="294" t="str">
        <f>IFERROR(VLOOKUP(AT103,'Seguridad Información'!$I$61:$J$65,2,0),"")</f>
        <v/>
      </c>
      <c r="AV103" s="79"/>
      <c r="AW103" s="78" t="str">
        <f t="shared" si="12"/>
        <v/>
      </c>
      <c r="AX103" s="77" t="str">
        <f t="shared" si="22"/>
        <v/>
      </c>
      <c r="AY103" s="21" t="str">
        <f>IFERROR(VLOOKUP((CONCATENATE(AM103,AX103)),Listados!$U$3:$V$11,2,FALSE),"")</f>
        <v/>
      </c>
      <c r="AZ103" s="48">
        <f t="shared" si="23"/>
        <v>100</v>
      </c>
      <c r="BA103" s="354">
        <f>AVERAGE(AZ103:AZ108)</f>
        <v>100</v>
      </c>
      <c r="BB103" s="356" t="str">
        <f>IF(BA103&lt;=50, "Débil", IF(BA103&lt;=99,"Moderado","Fuerte"))</f>
        <v>Fuerte</v>
      </c>
      <c r="BC103" s="173">
        <f>+IF(AND(W103="Preventivo",BB103="Fuerte"),2,IF(AND(W103="Preventivo",BB103="Moderado"),1,0))</f>
        <v>0</v>
      </c>
      <c r="BD103" s="64">
        <f>+IF(AND(W103="Detectivo/Correctivo",$BB103="Fuerte"),2,IF(AND(W103="Detectivo/Correctivo",$BB103="Moderado"),1,IF(AND(W103="Preventivo",$BB103="Fuerte"),1,0)))</f>
        <v>0</v>
      </c>
      <c r="BE103" s="173" t="e">
        <f>+N103-BC103</f>
        <v>#N/A</v>
      </c>
      <c r="BF103" s="173" t="e">
        <f>+P103-BD103</f>
        <v>#N/A</v>
      </c>
      <c r="BG103" s="345" t="e">
        <f>+VLOOKUP(MIN(BE103,BE104,BE105,BE106,BE107,BE108),Listados!$J$18:$K$24,2,TRUE)</f>
        <v>#N/A</v>
      </c>
      <c r="BH103" s="345" t="e">
        <f>+VLOOKUP(MIN(BF103,BF104,BF105,BF106,BF107,BF108),Listados!$J$27:$K$32,2,TRUE)</f>
        <v>#N/A</v>
      </c>
      <c r="BI103" s="345" t="e">
        <f>IF(AND(BG103&lt;&gt;"",BH103&lt;&gt;""),VLOOKUP(BG103&amp;BH103,Listados!$M$3:$N$27,2,FALSE),"")</f>
        <v>#N/A</v>
      </c>
      <c r="BJ103" s="537" t="e">
        <f>+IF($R103="Asumir el riesgo","NA","")</f>
        <v>#N/A</v>
      </c>
      <c r="BK103" s="537" t="e">
        <f>+IF($R103="Asumir el riesgo","NA","")</f>
        <v>#N/A</v>
      </c>
      <c r="BL103" s="537" t="e">
        <f>+IF($R103="Asumir el riesgo","NA","")</f>
        <v>#N/A</v>
      </c>
      <c r="BM103" s="537" t="e">
        <f>+IF($R103="Asumir el riesgo","NA","")</f>
        <v>#N/A</v>
      </c>
    </row>
    <row r="104" spans="1:65" ht="65.099999999999994" customHeight="1" thickBot="1">
      <c r="A104" s="329"/>
      <c r="B104" s="514"/>
      <c r="C104" s="364"/>
      <c r="D104" s="233"/>
      <c r="E104" s="233"/>
      <c r="F104" s="433"/>
      <c r="G104" s="367"/>
      <c r="H104" s="100"/>
      <c r="I104" s="237"/>
      <c r="J104" s="100"/>
      <c r="K104" s="236"/>
      <c r="L104" s="222"/>
      <c r="M104" s="370"/>
      <c r="N104" s="349"/>
      <c r="O104" s="352"/>
      <c r="P104" s="349"/>
      <c r="Q104" s="353"/>
      <c r="R104" s="346"/>
      <c r="S104" s="208"/>
      <c r="T104" s="195"/>
      <c r="U104" s="47" t="s">
        <v>627</v>
      </c>
      <c r="V104" s="215"/>
      <c r="W104" s="215"/>
      <c r="X104" s="215"/>
      <c r="Y104" s="95" t="str">
        <f t="shared" si="13"/>
        <v/>
      </c>
      <c r="Z104" s="215"/>
      <c r="AA104" s="95" t="str">
        <f t="shared" si="14"/>
        <v/>
      </c>
      <c r="AB104" s="208"/>
      <c r="AC104" s="95" t="str">
        <f t="shared" si="15"/>
        <v/>
      </c>
      <c r="AD104" s="208"/>
      <c r="AE104" s="95" t="str">
        <f t="shared" si="16"/>
        <v/>
      </c>
      <c r="AF104" s="208"/>
      <c r="AG104" s="95" t="str">
        <f t="shared" si="17"/>
        <v/>
      </c>
      <c r="AH104" s="208"/>
      <c r="AI104" s="95" t="str">
        <f t="shared" si="18"/>
        <v/>
      </c>
      <c r="AJ104" s="208"/>
      <c r="AK104" s="27" t="str">
        <f t="shared" si="19"/>
        <v/>
      </c>
      <c r="AL104" s="48" t="str">
        <f t="shared" si="20"/>
        <v/>
      </c>
      <c r="AM104" s="48" t="str">
        <f t="shared" si="21"/>
        <v/>
      </c>
      <c r="AN104" s="293"/>
      <c r="AO104" s="293"/>
      <c r="AP104" s="293"/>
      <c r="AQ104" s="293"/>
      <c r="AR104" s="293"/>
      <c r="AS104" s="293"/>
      <c r="AT104" s="293"/>
      <c r="AU104" s="294" t="str">
        <f>IFERROR(VLOOKUP(AT104,'Seguridad Información'!$I$61:$J$65,2,0),"")</f>
        <v/>
      </c>
      <c r="AV104" s="79"/>
      <c r="AW104" s="78" t="str">
        <f t="shared" si="12"/>
        <v/>
      </c>
      <c r="AX104" s="77" t="str">
        <f t="shared" si="22"/>
        <v/>
      </c>
      <c r="AY104" s="21" t="str">
        <f>IFERROR(VLOOKUP((CONCATENATE(AM104,AX104)),Listados!$U$3:$V$11,2,FALSE),"")</f>
        <v/>
      </c>
      <c r="AZ104" s="48">
        <f t="shared" si="23"/>
        <v>100</v>
      </c>
      <c r="BA104" s="355"/>
      <c r="BB104" s="357"/>
      <c r="BC104" s="173">
        <f>+IF(AND(W104="Preventivo",BB103="Fuerte"),2,IF(AND(W104="Preventivo",BB103="Moderado"),1,0))</f>
        <v>0</v>
      </c>
      <c r="BD104" s="64">
        <f>+IF(AND(W104="Detectivo/Correctivo",$BB103="Fuerte"),2,IF(AND(W104="Detectivo/Correctivo",$BB104="Moderado"),1,IF(AND(W104="Preventivo",$BB103="Fuerte"),1,0)))</f>
        <v>0</v>
      </c>
      <c r="BE104" s="173" t="e">
        <f>+N103-BC104</f>
        <v>#N/A</v>
      </c>
      <c r="BF104" s="173" t="e">
        <f>+P103-BD104</f>
        <v>#N/A</v>
      </c>
      <c r="BG104" s="346"/>
      <c r="BH104" s="346"/>
      <c r="BI104" s="346"/>
      <c r="BJ104" s="538"/>
      <c r="BK104" s="538"/>
      <c r="BL104" s="538"/>
      <c r="BM104" s="538"/>
    </row>
    <row r="105" spans="1:65" ht="65.099999999999994" customHeight="1" thickBot="1">
      <c r="A105" s="329"/>
      <c r="B105" s="514"/>
      <c r="C105" s="364"/>
      <c r="D105" s="233"/>
      <c r="E105" s="233"/>
      <c r="F105" s="433"/>
      <c r="G105" s="367"/>
      <c r="H105" s="100"/>
      <c r="I105" s="237"/>
      <c r="J105" s="100"/>
      <c r="K105" s="236"/>
      <c r="L105" s="222"/>
      <c r="M105" s="370"/>
      <c r="N105" s="349"/>
      <c r="O105" s="352"/>
      <c r="P105" s="349"/>
      <c r="Q105" s="353"/>
      <c r="R105" s="346"/>
      <c r="S105" s="208"/>
      <c r="T105" s="96"/>
      <c r="U105" s="47" t="s">
        <v>627</v>
      </c>
      <c r="V105" s="215"/>
      <c r="W105" s="215"/>
      <c r="X105" s="215"/>
      <c r="Y105" s="95" t="str">
        <f t="shared" si="13"/>
        <v/>
      </c>
      <c r="Z105" s="215"/>
      <c r="AA105" s="95" t="str">
        <f t="shared" si="14"/>
        <v/>
      </c>
      <c r="AB105" s="208"/>
      <c r="AC105" s="95" t="str">
        <f t="shared" si="15"/>
        <v/>
      </c>
      <c r="AD105" s="208"/>
      <c r="AE105" s="95" t="str">
        <f t="shared" si="16"/>
        <v/>
      </c>
      <c r="AF105" s="208"/>
      <c r="AG105" s="95" t="str">
        <f t="shared" si="17"/>
        <v/>
      </c>
      <c r="AH105" s="208"/>
      <c r="AI105" s="95" t="str">
        <f t="shared" si="18"/>
        <v/>
      </c>
      <c r="AJ105" s="208"/>
      <c r="AK105" s="27" t="str">
        <f t="shared" si="19"/>
        <v/>
      </c>
      <c r="AL105" s="48" t="str">
        <f t="shared" si="20"/>
        <v/>
      </c>
      <c r="AM105" s="48" t="str">
        <f t="shared" si="21"/>
        <v/>
      </c>
      <c r="AN105" s="293"/>
      <c r="AO105" s="293"/>
      <c r="AP105" s="293"/>
      <c r="AQ105" s="293"/>
      <c r="AR105" s="293"/>
      <c r="AS105" s="293"/>
      <c r="AT105" s="293"/>
      <c r="AU105" s="294" t="str">
        <f>IFERROR(VLOOKUP(AT105,'Seguridad Información'!$I$61:$J$65,2,0),"")</f>
        <v/>
      </c>
      <c r="AV105" s="79"/>
      <c r="AW105" s="78" t="str">
        <f t="shared" si="12"/>
        <v/>
      </c>
      <c r="AX105" s="77" t="str">
        <f t="shared" si="22"/>
        <v/>
      </c>
      <c r="AY105" s="21" t="str">
        <f>IFERROR(VLOOKUP((CONCATENATE(AM105,AX105)),Listados!$U$3:$V$11,2,FALSE),"")</f>
        <v/>
      </c>
      <c r="AZ105" s="48">
        <f t="shared" si="23"/>
        <v>100</v>
      </c>
      <c r="BA105" s="355"/>
      <c r="BB105" s="357"/>
      <c r="BC105" s="173">
        <f>+IF(AND(W105="Preventivo",BB103="Fuerte"),2,IF(AND(W105="Preventivo",BB103="Moderado"),1,0))</f>
        <v>0</v>
      </c>
      <c r="BD105" s="64">
        <f>+IF(AND(W105="Detectivo/Correctivo",$BB103="Fuerte"),2,IF(AND(W105="Detectivo/Correctivo",$BB105="Moderado"),1,IF(AND(W105="Preventivo",$BB103="Fuerte"),1,0)))</f>
        <v>0</v>
      </c>
      <c r="BE105" s="173" t="e">
        <f>+N103-BC105</f>
        <v>#N/A</v>
      </c>
      <c r="BF105" s="173" t="e">
        <f>+P103-BD105</f>
        <v>#N/A</v>
      </c>
      <c r="BG105" s="346"/>
      <c r="BH105" s="346"/>
      <c r="BI105" s="346"/>
      <c r="BJ105" s="538"/>
      <c r="BK105" s="538"/>
      <c r="BL105" s="538"/>
      <c r="BM105" s="538"/>
    </row>
    <row r="106" spans="1:65" ht="65.099999999999994" customHeight="1" thickBot="1">
      <c r="A106" s="329"/>
      <c r="B106" s="514"/>
      <c r="C106" s="364"/>
      <c r="D106" s="233"/>
      <c r="E106" s="233"/>
      <c r="F106" s="433"/>
      <c r="G106" s="367"/>
      <c r="H106" s="100"/>
      <c r="I106" s="237"/>
      <c r="J106" s="100"/>
      <c r="K106" s="236"/>
      <c r="L106" s="222"/>
      <c r="M106" s="370"/>
      <c r="N106" s="349"/>
      <c r="O106" s="352"/>
      <c r="P106" s="349"/>
      <c r="Q106" s="353"/>
      <c r="R106" s="346"/>
      <c r="S106" s="208"/>
      <c r="T106" s="97"/>
      <c r="U106" s="47" t="s">
        <v>627</v>
      </c>
      <c r="V106" s="215"/>
      <c r="W106" s="215"/>
      <c r="X106" s="215"/>
      <c r="Y106" s="95" t="str">
        <f t="shared" si="13"/>
        <v/>
      </c>
      <c r="Z106" s="215"/>
      <c r="AA106" s="95" t="str">
        <f t="shared" si="14"/>
        <v/>
      </c>
      <c r="AB106" s="208"/>
      <c r="AC106" s="95" t="str">
        <f t="shared" si="15"/>
        <v/>
      </c>
      <c r="AD106" s="208"/>
      <c r="AE106" s="95" t="str">
        <f t="shared" si="16"/>
        <v/>
      </c>
      <c r="AF106" s="208"/>
      <c r="AG106" s="95" t="str">
        <f t="shared" si="17"/>
        <v/>
      </c>
      <c r="AH106" s="208"/>
      <c r="AI106" s="95" t="str">
        <f t="shared" si="18"/>
        <v/>
      </c>
      <c r="AJ106" s="208"/>
      <c r="AK106" s="27" t="str">
        <f t="shared" si="19"/>
        <v/>
      </c>
      <c r="AL106" s="48" t="str">
        <f t="shared" si="20"/>
        <v/>
      </c>
      <c r="AM106" s="48" t="str">
        <f t="shared" si="21"/>
        <v/>
      </c>
      <c r="AN106" s="293"/>
      <c r="AO106" s="293"/>
      <c r="AP106" s="293"/>
      <c r="AQ106" s="293"/>
      <c r="AR106" s="293"/>
      <c r="AS106" s="293"/>
      <c r="AT106" s="293"/>
      <c r="AU106" s="294" t="str">
        <f>IFERROR(VLOOKUP(AT106,'Seguridad Información'!$I$61:$J$65,2,0),"")</f>
        <v/>
      </c>
      <c r="AV106" s="79"/>
      <c r="AW106" s="78" t="str">
        <f t="shared" si="12"/>
        <v/>
      </c>
      <c r="AX106" s="77" t="str">
        <f t="shared" si="22"/>
        <v/>
      </c>
      <c r="AY106" s="21" t="str">
        <f>IFERROR(VLOOKUP((CONCATENATE(AM106,AX106)),Listados!$U$3:$V$11,2,FALSE),"")</f>
        <v/>
      </c>
      <c r="AZ106" s="48">
        <f t="shared" si="23"/>
        <v>100</v>
      </c>
      <c r="BA106" s="355"/>
      <c r="BB106" s="357"/>
      <c r="BC106" s="173">
        <f>+IF(AND(W106="Preventivo",BB103="Fuerte"),2,IF(AND(W106="Preventivo",BB103="Moderado"),1,0))</f>
        <v>0</v>
      </c>
      <c r="BD106" s="64">
        <f>+IF(AND(W106="Detectivo/Correctivo",$BB103="Fuerte"),2,IF(AND(W106="Detectivo/Correctivo",$BB106="Moderado"),1,IF(AND(W106="Preventivo",$BB103="Fuerte"),1,0)))</f>
        <v>0</v>
      </c>
      <c r="BE106" s="173" t="e">
        <f>+N103-BC106</f>
        <v>#N/A</v>
      </c>
      <c r="BF106" s="173" t="e">
        <f>+P103-BD106</f>
        <v>#N/A</v>
      </c>
      <c r="BG106" s="346"/>
      <c r="BH106" s="346"/>
      <c r="BI106" s="346"/>
      <c r="BJ106" s="538"/>
      <c r="BK106" s="538"/>
      <c r="BL106" s="538"/>
      <c r="BM106" s="538"/>
    </row>
    <row r="107" spans="1:65" ht="65.099999999999994" customHeight="1" thickBot="1">
      <c r="A107" s="329"/>
      <c r="B107" s="514"/>
      <c r="C107" s="364"/>
      <c r="D107" s="109"/>
      <c r="E107" s="109"/>
      <c r="F107" s="433"/>
      <c r="G107" s="367"/>
      <c r="H107" s="100"/>
      <c r="I107" s="237"/>
      <c r="J107" s="100"/>
      <c r="K107" s="29"/>
      <c r="L107" s="222"/>
      <c r="M107" s="370"/>
      <c r="N107" s="349"/>
      <c r="O107" s="352"/>
      <c r="P107" s="349"/>
      <c r="Q107" s="353"/>
      <c r="R107" s="346"/>
      <c r="S107" s="208"/>
      <c r="T107" s="195"/>
      <c r="U107" s="47" t="s">
        <v>627</v>
      </c>
      <c r="V107" s="215"/>
      <c r="W107" s="215"/>
      <c r="X107" s="215"/>
      <c r="Y107" s="95" t="str">
        <f t="shared" si="13"/>
        <v/>
      </c>
      <c r="Z107" s="215"/>
      <c r="AA107" s="95" t="str">
        <f t="shared" si="14"/>
        <v/>
      </c>
      <c r="AB107" s="208"/>
      <c r="AC107" s="95" t="str">
        <f t="shared" si="15"/>
        <v/>
      </c>
      <c r="AD107" s="208"/>
      <c r="AE107" s="95" t="str">
        <f t="shared" si="16"/>
        <v/>
      </c>
      <c r="AF107" s="208"/>
      <c r="AG107" s="95" t="str">
        <f t="shared" si="17"/>
        <v/>
      </c>
      <c r="AH107" s="208"/>
      <c r="AI107" s="95" t="str">
        <f t="shared" si="18"/>
        <v/>
      </c>
      <c r="AJ107" s="208"/>
      <c r="AK107" s="27" t="str">
        <f t="shared" si="19"/>
        <v/>
      </c>
      <c r="AL107" s="48" t="str">
        <f t="shared" si="20"/>
        <v/>
      </c>
      <c r="AM107" s="48" t="str">
        <f t="shared" si="21"/>
        <v/>
      </c>
      <c r="AN107" s="293"/>
      <c r="AO107" s="293"/>
      <c r="AP107" s="293"/>
      <c r="AQ107" s="293"/>
      <c r="AR107" s="293"/>
      <c r="AS107" s="293"/>
      <c r="AT107" s="293"/>
      <c r="AU107" s="294" t="str">
        <f>IFERROR(VLOOKUP(AT107,'Seguridad Información'!$I$61:$J$65,2,0),"")</f>
        <v/>
      </c>
      <c r="AV107" s="79"/>
      <c r="AW107" s="78" t="str">
        <f t="shared" si="12"/>
        <v/>
      </c>
      <c r="AX107" s="77" t="str">
        <f t="shared" si="22"/>
        <v/>
      </c>
      <c r="AY107" s="21" t="str">
        <f>IFERROR(VLOOKUP((CONCATENATE(AM107,AX107)),Listados!$U$3:$V$11,2,FALSE),"")</f>
        <v/>
      </c>
      <c r="AZ107" s="48">
        <f t="shared" si="23"/>
        <v>100</v>
      </c>
      <c r="BA107" s="355"/>
      <c r="BB107" s="357"/>
      <c r="BC107" s="173">
        <f>+IF(AND(W107="Preventivo",BB103="Fuerte"),2,IF(AND(W107="Preventivo",BB103="Moderado"),1,0))</f>
        <v>0</v>
      </c>
      <c r="BD107" s="64">
        <f>+IF(AND(W107="Detectivo/Correctivo",$BB103="Fuerte"),2,IF(AND(W107="Detectivo/Correctivo",$BB107="Moderado"),1,IF(AND(W107="Preventivo",$BB103="Fuerte"),1,0)))</f>
        <v>0</v>
      </c>
      <c r="BE107" s="173" t="e">
        <f>+N103-BC107</f>
        <v>#N/A</v>
      </c>
      <c r="BF107" s="173" t="e">
        <f>+P103-BD107</f>
        <v>#N/A</v>
      </c>
      <c r="BG107" s="346"/>
      <c r="BH107" s="346"/>
      <c r="BI107" s="346"/>
      <c r="BJ107" s="538"/>
      <c r="BK107" s="538"/>
      <c r="BL107" s="538"/>
      <c r="BM107" s="538"/>
    </row>
    <row r="108" spans="1:65" ht="65.099999999999994" customHeight="1" thickBot="1">
      <c r="A108" s="330"/>
      <c r="B108" s="514"/>
      <c r="C108" s="365"/>
      <c r="D108" s="106"/>
      <c r="E108" s="106"/>
      <c r="F108" s="434"/>
      <c r="G108" s="368"/>
      <c r="H108" s="100"/>
      <c r="I108" s="237"/>
      <c r="J108" s="100"/>
      <c r="K108" s="31"/>
      <c r="L108" s="222"/>
      <c r="M108" s="370"/>
      <c r="N108" s="350"/>
      <c r="O108" s="352"/>
      <c r="P108" s="350"/>
      <c r="Q108" s="353"/>
      <c r="R108" s="347"/>
      <c r="S108" s="208"/>
      <c r="T108" s="98"/>
      <c r="U108" s="47" t="s">
        <v>627</v>
      </c>
      <c r="V108" s="215"/>
      <c r="W108" s="215"/>
      <c r="X108" s="215"/>
      <c r="Y108" s="95" t="str">
        <f t="shared" si="13"/>
        <v/>
      </c>
      <c r="Z108" s="215"/>
      <c r="AA108" s="95" t="str">
        <f t="shared" si="14"/>
        <v/>
      </c>
      <c r="AB108" s="208"/>
      <c r="AC108" s="95" t="str">
        <f t="shared" si="15"/>
        <v/>
      </c>
      <c r="AD108" s="208"/>
      <c r="AE108" s="95" t="str">
        <f t="shared" si="16"/>
        <v/>
      </c>
      <c r="AF108" s="208"/>
      <c r="AG108" s="95" t="str">
        <f t="shared" si="17"/>
        <v/>
      </c>
      <c r="AH108" s="208"/>
      <c r="AI108" s="95" t="str">
        <f t="shared" si="18"/>
        <v/>
      </c>
      <c r="AJ108" s="208"/>
      <c r="AK108" s="27" t="str">
        <f t="shared" si="19"/>
        <v/>
      </c>
      <c r="AL108" s="48" t="str">
        <f t="shared" si="20"/>
        <v/>
      </c>
      <c r="AM108" s="48" t="str">
        <f t="shared" si="21"/>
        <v/>
      </c>
      <c r="AN108" s="293"/>
      <c r="AO108" s="293"/>
      <c r="AP108" s="293"/>
      <c r="AQ108" s="293"/>
      <c r="AR108" s="293"/>
      <c r="AS108" s="293"/>
      <c r="AT108" s="293"/>
      <c r="AU108" s="294" t="str">
        <f>IFERROR(VLOOKUP(AT108,'Seguridad Información'!$I$61:$J$65,2,0),"")</f>
        <v/>
      </c>
      <c r="AV108" s="79"/>
      <c r="AW108" s="78" t="str">
        <f t="shared" si="12"/>
        <v/>
      </c>
      <c r="AX108" s="77" t="str">
        <f t="shared" si="22"/>
        <v/>
      </c>
      <c r="AY108" s="21" t="str">
        <f>IFERROR(VLOOKUP((CONCATENATE(AM108,AX108)),Listados!$U$3:$V$11,2,FALSE),"")</f>
        <v/>
      </c>
      <c r="AZ108" s="48">
        <f t="shared" si="23"/>
        <v>100</v>
      </c>
      <c r="BA108" s="356"/>
      <c r="BB108" s="357"/>
      <c r="BC108" s="173">
        <f>+IF(AND(W108="Preventivo",BB103="Fuerte"),2,IF(AND(W108="Preventivo",BB103="Moderado"),1,0))</f>
        <v>0</v>
      </c>
      <c r="BD108" s="64">
        <f>+IF(AND(W108="Detectivo/Correctivo",$BB103="Fuerte"),2,IF(AND(W108="Detectivo/Correctivo",$BB108="Moderado"),1,IF(AND(W108="Preventivo",$BB103="Fuerte"),1,0)))</f>
        <v>0</v>
      </c>
      <c r="BE108" s="173" t="e">
        <f>+N103-BC108</f>
        <v>#N/A</v>
      </c>
      <c r="BF108" s="173" t="e">
        <f>+P103-BD108</f>
        <v>#N/A</v>
      </c>
      <c r="BG108" s="347"/>
      <c r="BH108" s="347"/>
      <c r="BI108" s="347"/>
      <c r="BJ108" s="539"/>
      <c r="BK108" s="539"/>
      <c r="BL108" s="539"/>
      <c r="BM108" s="539"/>
    </row>
    <row r="109" spans="1:65" ht="65.099999999999994" customHeight="1" thickBot="1">
      <c r="A109" s="328">
        <v>18</v>
      </c>
      <c r="B109" s="519"/>
      <c r="C109" s="371" t="str">
        <f>IFERROR(VLOOKUP(B109,Listados!B$3:C$20,2,FALSE),"")</f>
        <v/>
      </c>
      <c r="D109" s="107"/>
      <c r="E109" s="107"/>
      <c r="F109" s="432"/>
      <c r="G109" s="372"/>
      <c r="H109" s="100"/>
      <c r="I109" s="237"/>
      <c r="J109" s="100"/>
      <c r="K109" s="103"/>
      <c r="L109" s="17"/>
      <c r="M109" s="369"/>
      <c r="N109" s="348" t="e">
        <f>+VLOOKUP(M109,Listados!$K$8:$L$12,2,0)</f>
        <v>#N/A</v>
      </c>
      <c r="O109" s="351"/>
      <c r="P109" s="348" t="e">
        <f>+VLOOKUP(O109,Listados!$K$13:$L$17,2,0)</f>
        <v>#N/A</v>
      </c>
      <c r="Q109" s="347" t="str">
        <f>IF(AND(M109&lt;&gt;"",O109&lt;&gt;""),VLOOKUP(M109&amp;O109,Listados!$M$3:$N$27,2,FALSE),"")</f>
        <v/>
      </c>
      <c r="R109" s="345" t="e">
        <f>+VLOOKUP(Q109,Listados!$P$3:$Q$6,2,FALSE)</f>
        <v>#N/A</v>
      </c>
      <c r="S109" s="208"/>
      <c r="T109" s="94"/>
      <c r="U109" s="47" t="s">
        <v>627</v>
      </c>
      <c r="V109" s="215"/>
      <c r="W109" s="215"/>
      <c r="X109" s="215"/>
      <c r="Y109" s="95" t="str">
        <f t="shared" si="13"/>
        <v/>
      </c>
      <c r="Z109" s="215"/>
      <c r="AA109" s="95" t="str">
        <f t="shared" si="14"/>
        <v/>
      </c>
      <c r="AB109" s="208"/>
      <c r="AC109" s="95" t="str">
        <f t="shared" si="15"/>
        <v/>
      </c>
      <c r="AD109" s="208"/>
      <c r="AE109" s="95" t="str">
        <f t="shared" si="16"/>
        <v/>
      </c>
      <c r="AF109" s="208"/>
      <c r="AG109" s="95" t="str">
        <f t="shared" si="17"/>
        <v/>
      </c>
      <c r="AH109" s="208"/>
      <c r="AI109" s="95" t="str">
        <f t="shared" si="18"/>
        <v/>
      </c>
      <c r="AJ109" s="208"/>
      <c r="AK109" s="27" t="str">
        <f t="shared" si="19"/>
        <v/>
      </c>
      <c r="AL109" s="48" t="str">
        <f t="shared" si="20"/>
        <v/>
      </c>
      <c r="AM109" s="48" t="str">
        <f t="shared" si="21"/>
        <v/>
      </c>
      <c r="AN109" s="293"/>
      <c r="AO109" s="293"/>
      <c r="AP109" s="293"/>
      <c r="AQ109" s="293"/>
      <c r="AR109" s="293"/>
      <c r="AS109" s="293"/>
      <c r="AT109" s="293"/>
      <c r="AU109" s="294" t="str">
        <f>IFERROR(VLOOKUP(AT109,'Seguridad Información'!$I$61:$J$65,2,0),"")</f>
        <v/>
      </c>
      <c r="AV109" s="79"/>
      <c r="AW109" s="78" t="str">
        <f t="shared" si="12"/>
        <v/>
      </c>
      <c r="AX109" s="77" t="str">
        <f t="shared" si="22"/>
        <v/>
      </c>
      <c r="AY109" s="21" t="str">
        <f>IFERROR(VLOOKUP((CONCATENATE(AM109,AX109)),Listados!$U$3:$V$11,2,FALSE),"")</f>
        <v/>
      </c>
      <c r="AZ109" s="48">
        <f t="shared" si="23"/>
        <v>100</v>
      </c>
      <c r="BA109" s="354">
        <f>AVERAGE(AZ109:AZ114)</f>
        <v>100</v>
      </c>
      <c r="BB109" s="356" t="str">
        <f>IF(BA109&lt;=50, "Débil", IF(BA109&lt;=99,"Moderado","Fuerte"))</f>
        <v>Fuerte</v>
      </c>
      <c r="BC109" s="173">
        <f>+IF(AND(W109="Preventivo",BB109="Fuerte"),2,IF(AND(W109="Preventivo",BB109="Moderado"),1,0))</f>
        <v>0</v>
      </c>
      <c r="BD109" s="64">
        <f>+IF(AND(W109="Detectivo/Correctivo",$BB109="Fuerte"),2,IF(AND(W109="Detectivo/Correctivo",$BB109="Moderado"),1,IF(AND(W109="Preventivo",$BB109="Fuerte"),1,0)))</f>
        <v>0</v>
      </c>
      <c r="BE109" s="173" t="e">
        <f>+N109-BC109</f>
        <v>#N/A</v>
      </c>
      <c r="BF109" s="173" t="e">
        <f>+P109-BD109</f>
        <v>#N/A</v>
      </c>
      <c r="BG109" s="345" t="e">
        <f>+VLOOKUP(MIN(BE109,BE110,BE111,BE112,BE113,BE114),Listados!$J$18:$K$24,2,TRUE)</f>
        <v>#N/A</v>
      </c>
      <c r="BH109" s="345" t="e">
        <f>+VLOOKUP(MIN(BF109,BF110,BF111,BF112,BF113,BF114),Listados!$J$27:$K$32,2,TRUE)</f>
        <v>#N/A</v>
      </c>
      <c r="BI109" s="345" t="e">
        <f>IF(AND(BG109&lt;&gt;"",BH109&lt;&gt;""),VLOOKUP(BG109&amp;BH109,Listados!$M$3:$N$27,2,FALSE),"")</f>
        <v>#N/A</v>
      </c>
      <c r="BJ109" s="537" t="e">
        <f>+IF($R109="Asumir el riesgo","NA","")</f>
        <v>#N/A</v>
      </c>
      <c r="BK109" s="537" t="e">
        <f>+IF($R109="Asumir el riesgo","NA","")</f>
        <v>#N/A</v>
      </c>
      <c r="BL109" s="537" t="e">
        <f>+IF($R109="Asumir el riesgo","NA","")</f>
        <v>#N/A</v>
      </c>
      <c r="BM109" s="537" t="e">
        <f>+IF($R109="Asumir el riesgo","NA","")</f>
        <v>#N/A</v>
      </c>
    </row>
    <row r="110" spans="1:65" ht="65.099999999999994" customHeight="1" thickBot="1">
      <c r="A110" s="329"/>
      <c r="B110" s="514"/>
      <c r="C110" s="364"/>
      <c r="D110" s="233"/>
      <c r="E110" s="233"/>
      <c r="F110" s="433"/>
      <c r="G110" s="367"/>
      <c r="H110" s="100"/>
      <c r="I110" s="237"/>
      <c r="J110" s="100"/>
      <c r="K110" s="236"/>
      <c r="L110" s="222"/>
      <c r="M110" s="370"/>
      <c r="N110" s="349"/>
      <c r="O110" s="352"/>
      <c r="P110" s="349"/>
      <c r="Q110" s="353"/>
      <c r="R110" s="346"/>
      <c r="S110" s="208"/>
      <c r="T110" s="195"/>
      <c r="U110" s="47" t="s">
        <v>627</v>
      </c>
      <c r="V110" s="215"/>
      <c r="W110" s="215"/>
      <c r="X110" s="215"/>
      <c r="Y110" s="95" t="str">
        <f t="shared" si="13"/>
        <v/>
      </c>
      <c r="Z110" s="215"/>
      <c r="AA110" s="95" t="str">
        <f t="shared" si="14"/>
        <v/>
      </c>
      <c r="AB110" s="208"/>
      <c r="AC110" s="95" t="str">
        <f t="shared" si="15"/>
        <v/>
      </c>
      <c r="AD110" s="208"/>
      <c r="AE110" s="95" t="str">
        <f t="shared" si="16"/>
        <v/>
      </c>
      <c r="AF110" s="208"/>
      <c r="AG110" s="95" t="str">
        <f t="shared" si="17"/>
        <v/>
      </c>
      <c r="AH110" s="208"/>
      <c r="AI110" s="95" t="str">
        <f t="shared" si="18"/>
        <v/>
      </c>
      <c r="AJ110" s="208"/>
      <c r="AK110" s="27" t="str">
        <f t="shared" si="19"/>
        <v/>
      </c>
      <c r="AL110" s="48" t="str">
        <f t="shared" si="20"/>
        <v/>
      </c>
      <c r="AM110" s="48" t="str">
        <f t="shared" si="21"/>
        <v/>
      </c>
      <c r="AN110" s="293"/>
      <c r="AO110" s="293"/>
      <c r="AP110" s="293"/>
      <c r="AQ110" s="293"/>
      <c r="AR110" s="293"/>
      <c r="AS110" s="293"/>
      <c r="AT110" s="293"/>
      <c r="AU110" s="294" t="str">
        <f>IFERROR(VLOOKUP(AT110,'Seguridad Información'!$I$61:$J$65,2,0),"")</f>
        <v/>
      </c>
      <c r="AV110" s="79"/>
      <c r="AW110" s="78" t="str">
        <f t="shared" si="12"/>
        <v/>
      </c>
      <c r="AX110" s="77" t="str">
        <f t="shared" si="22"/>
        <v/>
      </c>
      <c r="AY110" s="21" t="str">
        <f>IFERROR(VLOOKUP((CONCATENATE(AM110,AX110)),Listados!$U$3:$V$11,2,FALSE),"")</f>
        <v/>
      </c>
      <c r="AZ110" s="48">
        <f t="shared" si="23"/>
        <v>100</v>
      </c>
      <c r="BA110" s="355"/>
      <c r="BB110" s="357"/>
      <c r="BC110" s="173">
        <f>+IF(AND(W110="Preventivo",BB109="Fuerte"),2,IF(AND(W110="Preventivo",BB109="Moderado"),1,0))</f>
        <v>0</v>
      </c>
      <c r="BD110" s="64">
        <f>+IF(AND(W110="Detectivo/Correctivo",$BB109="Fuerte"),2,IF(AND(W110="Detectivo/Correctivo",$BB110="Moderado"),1,IF(AND(W110="Preventivo",$BB109="Fuerte"),1,0)))</f>
        <v>0</v>
      </c>
      <c r="BE110" s="173" t="e">
        <f>+N109-BC110</f>
        <v>#N/A</v>
      </c>
      <c r="BF110" s="173" t="e">
        <f>+P109-BD110</f>
        <v>#N/A</v>
      </c>
      <c r="BG110" s="346"/>
      <c r="BH110" s="346"/>
      <c r="BI110" s="346"/>
      <c r="BJ110" s="538"/>
      <c r="BK110" s="538"/>
      <c r="BL110" s="538"/>
      <c r="BM110" s="538"/>
    </row>
    <row r="111" spans="1:65" ht="65.099999999999994" customHeight="1" thickBot="1">
      <c r="A111" s="329"/>
      <c r="B111" s="514"/>
      <c r="C111" s="364"/>
      <c r="D111" s="233"/>
      <c r="E111" s="233"/>
      <c r="F111" s="433"/>
      <c r="G111" s="367"/>
      <c r="H111" s="100"/>
      <c r="I111" s="237"/>
      <c r="J111" s="100"/>
      <c r="K111" s="236"/>
      <c r="L111" s="222"/>
      <c r="M111" s="370"/>
      <c r="N111" s="349"/>
      <c r="O111" s="352"/>
      <c r="P111" s="349"/>
      <c r="Q111" s="353"/>
      <c r="R111" s="346"/>
      <c r="S111" s="208"/>
      <c r="T111" s="96"/>
      <c r="U111" s="47" t="s">
        <v>627</v>
      </c>
      <c r="V111" s="215"/>
      <c r="W111" s="215"/>
      <c r="X111" s="215"/>
      <c r="Y111" s="95" t="str">
        <f t="shared" si="13"/>
        <v/>
      </c>
      <c r="Z111" s="215"/>
      <c r="AA111" s="95" t="str">
        <f t="shared" si="14"/>
        <v/>
      </c>
      <c r="AB111" s="208"/>
      <c r="AC111" s="95" t="str">
        <f t="shared" si="15"/>
        <v/>
      </c>
      <c r="AD111" s="208"/>
      <c r="AE111" s="95" t="str">
        <f t="shared" si="16"/>
        <v/>
      </c>
      <c r="AF111" s="208"/>
      <c r="AG111" s="95" t="str">
        <f t="shared" si="17"/>
        <v/>
      </c>
      <c r="AH111" s="208"/>
      <c r="AI111" s="95" t="str">
        <f t="shared" si="18"/>
        <v/>
      </c>
      <c r="AJ111" s="208"/>
      <c r="AK111" s="27" t="str">
        <f t="shared" si="19"/>
        <v/>
      </c>
      <c r="AL111" s="48" t="str">
        <f t="shared" si="20"/>
        <v/>
      </c>
      <c r="AM111" s="48" t="str">
        <f t="shared" si="21"/>
        <v/>
      </c>
      <c r="AN111" s="293"/>
      <c r="AO111" s="293"/>
      <c r="AP111" s="293"/>
      <c r="AQ111" s="293"/>
      <c r="AR111" s="293"/>
      <c r="AS111" s="293"/>
      <c r="AT111" s="293"/>
      <c r="AU111" s="294" t="str">
        <f>IFERROR(VLOOKUP(AT111,'Seguridad Información'!$I$61:$J$65,2,0),"")</f>
        <v/>
      </c>
      <c r="AV111" s="79"/>
      <c r="AW111" s="78" t="str">
        <f t="shared" si="12"/>
        <v/>
      </c>
      <c r="AX111" s="77" t="str">
        <f t="shared" si="22"/>
        <v/>
      </c>
      <c r="AY111" s="21" t="str">
        <f>IFERROR(VLOOKUP((CONCATENATE(AM111,AX111)),Listados!$U$3:$V$11,2,FALSE),"")</f>
        <v/>
      </c>
      <c r="AZ111" s="48">
        <f t="shared" si="23"/>
        <v>100</v>
      </c>
      <c r="BA111" s="355"/>
      <c r="BB111" s="357"/>
      <c r="BC111" s="173">
        <f>+IF(AND(W111="Preventivo",BB109="Fuerte"),2,IF(AND(W111="Preventivo",BB109="Moderado"),1,0))</f>
        <v>0</v>
      </c>
      <c r="BD111" s="64">
        <f>+IF(AND(W111="Detectivo/Correctivo",$BB109="Fuerte"),2,IF(AND(W111="Detectivo/Correctivo",$BB111="Moderado"),1,IF(AND(W111="Preventivo",$BB109="Fuerte"),1,0)))</f>
        <v>0</v>
      </c>
      <c r="BE111" s="173" t="e">
        <f>+N109-BC111</f>
        <v>#N/A</v>
      </c>
      <c r="BF111" s="173" t="e">
        <f>+P109-BD111</f>
        <v>#N/A</v>
      </c>
      <c r="BG111" s="346"/>
      <c r="BH111" s="346"/>
      <c r="BI111" s="346"/>
      <c r="BJ111" s="538"/>
      <c r="BK111" s="538"/>
      <c r="BL111" s="538"/>
      <c r="BM111" s="538"/>
    </row>
    <row r="112" spans="1:65" ht="65.099999999999994" customHeight="1" thickBot="1">
      <c r="A112" s="329"/>
      <c r="B112" s="514"/>
      <c r="C112" s="364"/>
      <c r="D112" s="233"/>
      <c r="E112" s="233"/>
      <c r="F112" s="433"/>
      <c r="G112" s="367"/>
      <c r="H112" s="100"/>
      <c r="I112" s="237"/>
      <c r="J112" s="100"/>
      <c r="K112" s="236"/>
      <c r="L112" s="222"/>
      <c r="M112" s="370"/>
      <c r="N112" s="349"/>
      <c r="O112" s="352"/>
      <c r="P112" s="349"/>
      <c r="Q112" s="353"/>
      <c r="R112" s="346"/>
      <c r="S112" s="208"/>
      <c r="T112" s="97"/>
      <c r="U112" s="47" t="s">
        <v>627</v>
      </c>
      <c r="V112" s="215"/>
      <c r="W112" s="215"/>
      <c r="X112" s="215"/>
      <c r="Y112" s="95" t="str">
        <f t="shared" si="13"/>
        <v/>
      </c>
      <c r="Z112" s="215"/>
      <c r="AA112" s="95" t="str">
        <f t="shared" si="14"/>
        <v/>
      </c>
      <c r="AB112" s="208"/>
      <c r="AC112" s="95" t="str">
        <f t="shared" si="15"/>
        <v/>
      </c>
      <c r="AD112" s="208"/>
      <c r="AE112" s="95" t="str">
        <f t="shared" si="16"/>
        <v/>
      </c>
      <c r="AF112" s="208"/>
      <c r="AG112" s="95" t="str">
        <f t="shared" si="17"/>
        <v/>
      </c>
      <c r="AH112" s="208"/>
      <c r="AI112" s="95" t="str">
        <f t="shared" si="18"/>
        <v/>
      </c>
      <c r="AJ112" s="208"/>
      <c r="AK112" s="27" t="str">
        <f t="shared" si="19"/>
        <v/>
      </c>
      <c r="AL112" s="48" t="str">
        <f t="shared" si="20"/>
        <v/>
      </c>
      <c r="AM112" s="48" t="str">
        <f t="shared" si="21"/>
        <v/>
      </c>
      <c r="AN112" s="293"/>
      <c r="AO112" s="293"/>
      <c r="AP112" s="293"/>
      <c r="AQ112" s="293"/>
      <c r="AR112" s="293"/>
      <c r="AS112" s="293"/>
      <c r="AT112" s="293"/>
      <c r="AU112" s="294" t="str">
        <f>IFERROR(VLOOKUP(AT112,'Seguridad Información'!$I$61:$J$65,2,0),"")</f>
        <v/>
      </c>
      <c r="AV112" s="79"/>
      <c r="AW112" s="78" t="str">
        <f t="shared" si="12"/>
        <v/>
      </c>
      <c r="AX112" s="77" t="str">
        <f t="shared" si="22"/>
        <v/>
      </c>
      <c r="AY112" s="21" t="str">
        <f>IFERROR(VLOOKUP((CONCATENATE(AM112,AX112)),Listados!$U$3:$V$11,2,FALSE),"")</f>
        <v/>
      </c>
      <c r="AZ112" s="48">
        <f t="shared" si="23"/>
        <v>100</v>
      </c>
      <c r="BA112" s="355"/>
      <c r="BB112" s="357"/>
      <c r="BC112" s="173">
        <f>+IF(AND(W112="Preventivo",BB109="Fuerte"),2,IF(AND(W112="Preventivo",BB109="Moderado"),1,0))</f>
        <v>0</v>
      </c>
      <c r="BD112" s="64">
        <f>+IF(AND(W112="Detectivo/Correctivo",$BB109="Fuerte"),2,IF(AND(W112="Detectivo/Correctivo",$BB112="Moderado"),1,IF(AND(W112="Preventivo",$BB109="Fuerte"),1,0)))</f>
        <v>0</v>
      </c>
      <c r="BE112" s="173" t="e">
        <f>+N109-BC112</f>
        <v>#N/A</v>
      </c>
      <c r="BF112" s="173" t="e">
        <f>+P109-BD112</f>
        <v>#N/A</v>
      </c>
      <c r="BG112" s="346"/>
      <c r="BH112" s="346"/>
      <c r="BI112" s="346"/>
      <c r="BJ112" s="538"/>
      <c r="BK112" s="538"/>
      <c r="BL112" s="538"/>
      <c r="BM112" s="538"/>
    </row>
    <row r="113" spans="1:65" ht="65.099999999999994" customHeight="1" thickBot="1">
      <c r="A113" s="329"/>
      <c r="B113" s="514"/>
      <c r="C113" s="364"/>
      <c r="D113" s="109"/>
      <c r="E113" s="109"/>
      <c r="F113" s="433"/>
      <c r="G113" s="367"/>
      <c r="H113" s="100"/>
      <c r="I113" s="237"/>
      <c r="J113" s="100"/>
      <c r="K113" s="29"/>
      <c r="L113" s="222"/>
      <c r="M113" s="370"/>
      <c r="N113" s="349"/>
      <c r="O113" s="352"/>
      <c r="P113" s="349"/>
      <c r="Q113" s="353"/>
      <c r="R113" s="346"/>
      <c r="S113" s="208"/>
      <c r="T113" s="195"/>
      <c r="U113" s="47" t="s">
        <v>627</v>
      </c>
      <c r="V113" s="215"/>
      <c r="W113" s="215"/>
      <c r="X113" s="215"/>
      <c r="Y113" s="95" t="str">
        <f t="shared" si="13"/>
        <v/>
      </c>
      <c r="Z113" s="215"/>
      <c r="AA113" s="95" t="str">
        <f t="shared" si="14"/>
        <v/>
      </c>
      <c r="AB113" s="208"/>
      <c r="AC113" s="95" t="str">
        <f t="shared" si="15"/>
        <v/>
      </c>
      <c r="AD113" s="208"/>
      <c r="AE113" s="95" t="str">
        <f t="shared" si="16"/>
        <v/>
      </c>
      <c r="AF113" s="208"/>
      <c r="AG113" s="95" t="str">
        <f t="shared" si="17"/>
        <v/>
      </c>
      <c r="AH113" s="208"/>
      <c r="AI113" s="95" t="str">
        <f t="shared" si="18"/>
        <v/>
      </c>
      <c r="AJ113" s="208"/>
      <c r="AK113" s="27" t="str">
        <f t="shared" si="19"/>
        <v/>
      </c>
      <c r="AL113" s="48" t="str">
        <f t="shared" si="20"/>
        <v/>
      </c>
      <c r="AM113" s="48" t="str">
        <f t="shared" si="21"/>
        <v/>
      </c>
      <c r="AN113" s="293"/>
      <c r="AO113" s="293"/>
      <c r="AP113" s="293"/>
      <c r="AQ113" s="293"/>
      <c r="AR113" s="293"/>
      <c r="AS113" s="293"/>
      <c r="AT113" s="293"/>
      <c r="AU113" s="294" t="str">
        <f>IFERROR(VLOOKUP(AT113,'Seguridad Información'!$I$61:$J$65,2,0),"")</f>
        <v/>
      </c>
      <c r="AV113" s="79"/>
      <c r="AW113" s="78" t="str">
        <f t="shared" si="12"/>
        <v/>
      </c>
      <c r="AX113" s="77" t="str">
        <f t="shared" si="22"/>
        <v/>
      </c>
      <c r="AY113" s="21" t="str">
        <f>IFERROR(VLOOKUP((CONCATENATE(AM113,AX113)),Listados!$U$3:$V$11,2,FALSE),"")</f>
        <v/>
      </c>
      <c r="AZ113" s="48">
        <f t="shared" si="23"/>
        <v>100</v>
      </c>
      <c r="BA113" s="355"/>
      <c r="BB113" s="357"/>
      <c r="BC113" s="173">
        <f>+IF(AND(W113="Preventivo",BB109="Fuerte"),2,IF(AND(W113="Preventivo",BB109="Moderado"),1,0))</f>
        <v>0</v>
      </c>
      <c r="BD113" s="64">
        <f>+IF(AND(W113="Detectivo/Correctivo",$BB109="Fuerte"),2,IF(AND(W113="Detectivo/Correctivo",$BB113="Moderado"),1,IF(AND(W113="Preventivo",$BB109="Fuerte"),1,0)))</f>
        <v>0</v>
      </c>
      <c r="BE113" s="173" t="e">
        <f>+N109-BC113</f>
        <v>#N/A</v>
      </c>
      <c r="BF113" s="173" t="e">
        <f>+P109-BD113</f>
        <v>#N/A</v>
      </c>
      <c r="BG113" s="346"/>
      <c r="BH113" s="346"/>
      <c r="BI113" s="346"/>
      <c r="BJ113" s="538"/>
      <c r="BK113" s="538"/>
      <c r="BL113" s="538"/>
      <c r="BM113" s="538"/>
    </row>
    <row r="114" spans="1:65" ht="65.099999999999994" customHeight="1" thickBot="1">
      <c r="A114" s="330"/>
      <c r="B114" s="514"/>
      <c r="C114" s="365"/>
      <c r="D114" s="106"/>
      <c r="E114" s="106"/>
      <c r="F114" s="434"/>
      <c r="G114" s="368"/>
      <c r="H114" s="100"/>
      <c r="I114" s="237"/>
      <c r="J114" s="100"/>
      <c r="K114" s="31"/>
      <c r="L114" s="222"/>
      <c r="M114" s="370"/>
      <c r="N114" s="350"/>
      <c r="O114" s="352"/>
      <c r="P114" s="350"/>
      <c r="Q114" s="353"/>
      <c r="R114" s="347"/>
      <c r="S114" s="208"/>
      <c r="T114" s="98"/>
      <c r="U114" s="47" t="s">
        <v>627</v>
      </c>
      <c r="V114" s="215"/>
      <c r="W114" s="215"/>
      <c r="X114" s="215"/>
      <c r="Y114" s="95" t="str">
        <f t="shared" si="13"/>
        <v/>
      </c>
      <c r="Z114" s="215"/>
      <c r="AA114" s="95" t="str">
        <f t="shared" si="14"/>
        <v/>
      </c>
      <c r="AB114" s="208"/>
      <c r="AC114" s="95" t="str">
        <f t="shared" si="15"/>
        <v/>
      </c>
      <c r="AD114" s="208"/>
      <c r="AE114" s="95" t="str">
        <f t="shared" si="16"/>
        <v/>
      </c>
      <c r="AF114" s="208"/>
      <c r="AG114" s="95" t="str">
        <f t="shared" si="17"/>
        <v/>
      </c>
      <c r="AH114" s="208"/>
      <c r="AI114" s="95" t="str">
        <f t="shared" si="18"/>
        <v/>
      </c>
      <c r="AJ114" s="208"/>
      <c r="AK114" s="27" t="str">
        <f t="shared" si="19"/>
        <v/>
      </c>
      <c r="AL114" s="48" t="str">
        <f t="shared" si="20"/>
        <v/>
      </c>
      <c r="AM114" s="48" t="str">
        <f t="shared" si="21"/>
        <v/>
      </c>
      <c r="AN114" s="293"/>
      <c r="AO114" s="293"/>
      <c r="AP114" s="293"/>
      <c r="AQ114" s="293"/>
      <c r="AR114" s="293"/>
      <c r="AS114" s="293"/>
      <c r="AT114" s="293"/>
      <c r="AU114" s="294" t="str">
        <f>IFERROR(VLOOKUP(AT114,'Seguridad Información'!$I$61:$J$65,2,0),"")</f>
        <v/>
      </c>
      <c r="AV114" s="79"/>
      <c r="AW114" s="78" t="str">
        <f t="shared" si="12"/>
        <v/>
      </c>
      <c r="AX114" s="77" t="str">
        <f t="shared" si="22"/>
        <v/>
      </c>
      <c r="AY114" s="21" t="str">
        <f>IFERROR(VLOOKUP((CONCATENATE(AM114,AX114)),Listados!$U$3:$V$11,2,FALSE),"")</f>
        <v/>
      </c>
      <c r="AZ114" s="48">
        <f t="shared" si="23"/>
        <v>100</v>
      </c>
      <c r="BA114" s="356"/>
      <c r="BB114" s="357"/>
      <c r="BC114" s="173">
        <f>+IF(AND(W114="Preventivo",BB109="Fuerte"),2,IF(AND(W114="Preventivo",BB109="Moderado"),1,0))</f>
        <v>0</v>
      </c>
      <c r="BD114" s="64">
        <f>+IF(AND(W114="Detectivo/Correctivo",$BB109="Fuerte"),2,IF(AND(W114="Detectivo/Correctivo",$BB114="Moderado"),1,IF(AND(W114="Preventivo",$BB109="Fuerte"),1,0)))</f>
        <v>0</v>
      </c>
      <c r="BE114" s="173" t="e">
        <f>+N109-BC114</f>
        <v>#N/A</v>
      </c>
      <c r="BF114" s="173" t="e">
        <f>+P109-BD114</f>
        <v>#N/A</v>
      </c>
      <c r="BG114" s="347"/>
      <c r="BH114" s="347"/>
      <c r="BI114" s="347"/>
      <c r="BJ114" s="539"/>
      <c r="BK114" s="539"/>
      <c r="BL114" s="539"/>
      <c r="BM114" s="539"/>
    </row>
    <row r="115" spans="1:65" ht="65.099999999999994" customHeight="1" thickBot="1">
      <c r="A115" s="328">
        <v>19</v>
      </c>
      <c r="B115" s="519"/>
      <c r="C115" s="371" t="str">
        <f>IFERROR(VLOOKUP(B115,Listados!B$3:C$20,2,FALSE),"")</f>
        <v/>
      </c>
      <c r="D115" s="107"/>
      <c r="E115" s="107"/>
      <c r="F115" s="432"/>
      <c r="G115" s="372"/>
      <c r="H115" s="100"/>
      <c r="I115" s="237"/>
      <c r="J115" s="100"/>
      <c r="K115" s="103"/>
      <c r="L115" s="17"/>
      <c r="M115" s="369"/>
      <c r="N115" s="348" t="e">
        <f>+VLOOKUP(M115,Listados!$K$8:$L$12,2,0)</f>
        <v>#N/A</v>
      </c>
      <c r="O115" s="351"/>
      <c r="P115" s="348" t="e">
        <f>+VLOOKUP(O115,Listados!$K$13:$L$17,2,0)</f>
        <v>#N/A</v>
      </c>
      <c r="Q115" s="347" t="str">
        <f>IF(AND(M115&lt;&gt;"",O115&lt;&gt;""),VLOOKUP(M115&amp;O115,Listados!$M$3:$N$27,2,FALSE),"")</f>
        <v/>
      </c>
      <c r="R115" s="345" t="e">
        <f>+VLOOKUP(Q115,Listados!$P$3:$Q$6,2,FALSE)</f>
        <v>#N/A</v>
      </c>
      <c r="S115" s="208"/>
      <c r="T115" s="94"/>
      <c r="U115" s="47" t="s">
        <v>627</v>
      </c>
      <c r="V115" s="215"/>
      <c r="W115" s="215"/>
      <c r="X115" s="215"/>
      <c r="Y115" s="95" t="str">
        <f t="shared" si="13"/>
        <v/>
      </c>
      <c r="Z115" s="215"/>
      <c r="AA115" s="95" t="str">
        <f t="shared" si="14"/>
        <v/>
      </c>
      <c r="AB115" s="208"/>
      <c r="AC115" s="95" t="str">
        <f t="shared" si="15"/>
        <v/>
      </c>
      <c r="AD115" s="208"/>
      <c r="AE115" s="95" t="str">
        <f t="shared" si="16"/>
        <v/>
      </c>
      <c r="AF115" s="208"/>
      <c r="AG115" s="95" t="str">
        <f t="shared" si="17"/>
        <v/>
      </c>
      <c r="AH115" s="208"/>
      <c r="AI115" s="95" t="str">
        <f t="shared" si="18"/>
        <v/>
      </c>
      <c r="AJ115" s="208"/>
      <c r="AK115" s="27" t="str">
        <f t="shared" si="19"/>
        <v/>
      </c>
      <c r="AL115" s="48" t="str">
        <f t="shared" si="20"/>
        <v/>
      </c>
      <c r="AM115" s="48" t="str">
        <f t="shared" si="21"/>
        <v/>
      </c>
      <c r="AN115" s="293"/>
      <c r="AO115" s="293"/>
      <c r="AP115" s="293"/>
      <c r="AQ115" s="293"/>
      <c r="AR115" s="293"/>
      <c r="AS115" s="293"/>
      <c r="AT115" s="293"/>
      <c r="AU115" s="294" t="str">
        <f>IFERROR(VLOOKUP(AT115,'Seguridad Información'!$I$61:$J$65,2,0),"")</f>
        <v/>
      </c>
      <c r="AV115" s="79"/>
      <c r="AW115" s="78" t="str">
        <f t="shared" si="12"/>
        <v/>
      </c>
      <c r="AX115" s="77" t="str">
        <f t="shared" si="22"/>
        <v/>
      </c>
      <c r="AY115" s="21" t="str">
        <f>IFERROR(VLOOKUP((CONCATENATE(AM115,AX115)),Listados!$U$3:$V$11,2,FALSE),"")</f>
        <v/>
      </c>
      <c r="AZ115" s="48">
        <f t="shared" si="23"/>
        <v>100</v>
      </c>
      <c r="BA115" s="354">
        <f>AVERAGE(AZ115:AZ120)</f>
        <v>100</v>
      </c>
      <c r="BB115" s="356" t="str">
        <f>IF(BA115&lt;=50, "Débil", IF(BA115&lt;=99,"Moderado","Fuerte"))</f>
        <v>Fuerte</v>
      </c>
      <c r="BC115" s="173">
        <f>+IF(AND(W115="Preventivo",BB115="Fuerte"),2,IF(AND(W115="Preventivo",BB115="Moderado"),1,0))</f>
        <v>0</v>
      </c>
      <c r="BD115" s="64">
        <f>+IF(AND(W115="Detectivo/Correctivo",$BB115="Fuerte"),2,IF(AND(W115="Detectivo/Correctivo",$BB115="Moderado"),1,IF(AND(W115="Preventivo",$BB115="Fuerte"),1,0)))</f>
        <v>0</v>
      </c>
      <c r="BE115" s="173" t="e">
        <f>+N115-BC115</f>
        <v>#N/A</v>
      </c>
      <c r="BF115" s="173" t="e">
        <f>+P115-BD115</f>
        <v>#N/A</v>
      </c>
      <c r="BG115" s="345" t="e">
        <f>+VLOOKUP(MIN(BE115,BE116,BE117,BE118,BE119,BE120),Listados!$J$18:$K$24,2,TRUE)</f>
        <v>#N/A</v>
      </c>
      <c r="BH115" s="345" t="e">
        <f>+VLOOKUP(MIN(BF115,BF116,BF117,BF118,BF119,BF120),Listados!$J$27:$K$32,2,TRUE)</f>
        <v>#N/A</v>
      </c>
      <c r="BI115" s="345" t="e">
        <f>IF(AND(BG115&lt;&gt;"",BH115&lt;&gt;""),VLOOKUP(BG115&amp;BH115,Listados!$M$3:$N$27,2,FALSE),"")</f>
        <v>#N/A</v>
      </c>
      <c r="BJ115" s="537" t="e">
        <f>+IF($R115="Asumir el riesgo","NA","")</f>
        <v>#N/A</v>
      </c>
      <c r="BK115" s="537" t="e">
        <f>+IF($R115="Asumir el riesgo","NA","")</f>
        <v>#N/A</v>
      </c>
      <c r="BL115" s="537" t="e">
        <f>+IF($R115="Asumir el riesgo","NA","")</f>
        <v>#N/A</v>
      </c>
      <c r="BM115" s="537" t="e">
        <f>+IF($R115="Asumir el riesgo","NA","")</f>
        <v>#N/A</v>
      </c>
    </row>
    <row r="116" spans="1:65" ht="65.099999999999994" customHeight="1" thickBot="1">
      <c r="A116" s="329"/>
      <c r="B116" s="514"/>
      <c r="C116" s="364"/>
      <c r="D116" s="233"/>
      <c r="E116" s="233"/>
      <c r="F116" s="433"/>
      <c r="G116" s="367"/>
      <c r="H116" s="100"/>
      <c r="I116" s="237"/>
      <c r="J116" s="100"/>
      <c r="K116" s="236"/>
      <c r="L116" s="222"/>
      <c r="M116" s="370"/>
      <c r="N116" s="349"/>
      <c r="O116" s="352"/>
      <c r="P116" s="349"/>
      <c r="Q116" s="353"/>
      <c r="R116" s="346"/>
      <c r="S116" s="208"/>
      <c r="T116" s="195"/>
      <c r="U116" s="47" t="s">
        <v>627</v>
      </c>
      <c r="V116" s="215"/>
      <c r="W116" s="215"/>
      <c r="X116" s="215"/>
      <c r="Y116" s="95" t="str">
        <f t="shared" si="13"/>
        <v/>
      </c>
      <c r="Z116" s="215"/>
      <c r="AA116" s="95" t="str">
        <f t="shared" si="14"/>
        <v/>
      </c>
      <c r="AB116" s="208"/>
      <c r="AC116" s="95" t="str">
        <f t="shared" si="15"/>
        <v/>
      </c>
      <c r="AD116" s="208"/>
      <c r="AE116" s="95" t="str">
        <f t="shared" si="16"/>
        <v/>
      </c>
      <c r="AF116" s="208"/>
      <c r="AG116" s="95" t="str">
        <f t="shared" si="17"/>
        <v/>
      </c>
      <c r="AH116" s="208"/>
      <c r="AI116" s="95" t="str">
        <f t="shared" si="18"/>
        <v/>
      </c>
      <c r="AJ116" s="208"/>
      <c r="AK116" s="27" t="str">
        <f t="shared" si="19"/>
        <v/>
      </c>
      <c r="AL116" s="48" t="str">
        <f t="shared" si="20"/>
        <v/>
      </c>
      <c r="AM116" s="48" t="str">
        <f t="shared" si="21"/>
        <v/>
      </c>
      <c r="AN116" s="293"/>
      <c r="AO116" s="293"/>
      <c r="AP116" s="293"/>
      <c r="AQ116" s="293"/>
      <c r="AR116" s="293"/>
      <c r="AS116" s="293"/>
      <c r="AT116" s="293"/>
      <c r="AU116" s="294" t="str">
        <f>IFERROR(VLOOKUP(AT116,'Seguridad Información'!$I$61:$J$65,2,0),"")</f>
        <v/>
      </c>
      <c r="AV116" s="79"/>
      <c r="AW116" s="78" t="str">
        <f t="shared" si="12"/>
        <v/>
      </c>
      <c r="AX116" s="77" t="str">
        <f t="shared" si="22"/>
        <v/>
      </c>
      <c r="AY116" s="21" t="str">
        <f>IFERROR(VLOOKUP((CONCATENATE(AM116,AX116)),Listados!$U$3:$V$11,2,FALSE),"")</f>
        <v/>
      </c>
      <c r="AZ116" s="48">
        <f t="shared" si="23"/>
        <v>100</v>
      </c>
      <c r="BA116" s="355"/>
      <c r="BB116" s="357"/>
      <c r="BC116" s="173">
        <f>+IF(AND(W116="Preventivo",BB115="Fuerte"),2,IF(AND(W116="Preventivo",BB115="Moderado"),1,0))</f>
        <v>0</v>
      </c>
      <c r="BD116" s="64">
        <f>+IF(AND(W116="Detectivo/Correctivo",$BB115="Fuerte"),2,IF(AND(W116="Detectivo/Correctivo",$BB116="Moderado"),1,IF(AND(W116="Preventivo",$BB115="Fuerte"),1,0)))</f>
        <v>0</v>
      </c>
      <c r="BE116" s="173" t="e">
        <f>+N115-BC116</f>
        <v>#N/A</v>
      </c>
      <c r="BF116" s="173" t="e">
        <f>+P115-BD116</f>
        <v>#N/A</v>
      </c>
      <c r="BG116" s="346"/>
      <c r="BH116" s="346"/>
      <c r="BI116" s="346"/>
      <c r="BJ116" s="538"/>
      <c r="BK116" s="538"/>
      <c r="BL116" s="538"/>
      <c r="BM116" s="538"/>
    </row>
    <row r="117" spans="1:65" ht="65.099999999999994" customHeight="1" thickBot="1">
      <c r="A117" s="329"/>
      <c r="B117" s="514"/>
      <c r="C117" s="364"/>
      <c r="D117" s="233"/>
      <c r="E117" s="233"/>
      <c r="F117" s="433"/>
      <c r="G117" s="367"/>
      <c r="H117" s="100"/>
      <c r="I117" s="237"/>
      <c r="J117" s="100"/>
      <c r="K117" s="236"/>
      <c r="L117" s="222"/>
      <c r="M117" s="370"/>
      <c r="N117" s="349"/>
      <c r="O117" s="352"/>
      <c r="P117" s="349"/>
      <c r="Q117" s="353"/>
      <c r="R117" s="346"/>
      <c r="S117" s="208"/>
      <c r="T117" s="96"/>
      <c r="U117" s="47" t="s">
        <v>627</v>
      </c>
      <c r="V117" s="215"/>
      <c r="W117" s="215"/>
      <c r="X117" s="215"/>
      <c r="Y117" s="95" t="str">
        <f t="shared" si="13"/>
        <v/>
      </c>
      <c r="Z117" s="215"/>
      <c r="AA117" s="95" t="str">
        <f t="shared" si="14"/>
        <v/>
      </c>
      <c r="AB117" s="208"/>
      <c r="AC117" s="95" t="str">
        <f t="shared" si="15"/>
        <v/>
      </c>
      <c r="AD117" s="208"/>
      <c r="AE117" s="95" t="str">
        <f t="shared" si="16"/>
        <v/>
      </c>
      <c r="AF117" s="208"/>
      <c r="AG117" s="95" t="str">
        <f t="shared" si="17"/>
        <v/>
      </c>
      <c r="AH117" s="208"/>
      <c r="AI117" s="95" t="str">
        <f t="shared" si="18"/>
        <v/>
      </c>
      <c r="AJ117" s="208"/>
      <c r="AK117" s="27" t="str">
        <f t="shared" si="19"/>
        <v/>
      </c>
      <c r="AL117" s="48" t="str">
        <f t="shared" si="20"/>
        <v/>
      </c>
      <c r="AM117" s="48" t="str">
        <f t="shared" si="21"/>
        <v/>
      </c>
      <c r="AN117" s="293"/>
      <c r="AO117" s="293"/>
      <c r="AP117" s="293"/>
      <c r="AQ117" s="293"/>
      <c r="AR117" s="293"/>
      <c r="AS117" s="293"/>
      <c r="AT117" s="293"/>
      <c r="AU117" s="294" t="str">
        <f>IFERROR(VLOOKUP(AT117,'Seguridad Información'!$I$61:$J$65,2,0),"")</f>
        <v/>
      </c>
      <c r="AV117" s="79"/>
      <c r="AW117" s="78" t="str">
        <f t="shared" si="12"/>
        <v/>
      </c>
      <c r="AX117" s="77" t="str">
        <f t="shared" si="22"/>
        <v/>
      </c>
      <c r="AY117" s="21" t="str">
        <f>IFERROR(VLOOKUP((CONCATENATE(AM117,AX117)),Listados!$U$3:$V$11,2,FALSE),"")</f>
        <v/>
      </c>
      <c r="AZ117" s="48">
        <f t="shared" si="23"/>
        <v>100</v>
      </c>
      <c r="BA117" s="355"/>
      <c r="BB117" s="357"/>
      <c r="BC117" s="173">
        <f>+IF(AND(W117="Preventivo",BB115="Fuerte"),2,IF(AND(W117="Preventivo",BB115="Moderado"),1,0))</f>
        <v>0</v>
      </c>
      <c r="BD117" s="64">
        <f>+IF(AND(W117="Detectivo/Correctivo",$BB115="Fuerte"),2,IF(AND(W117="Detectivo/Correctivo",$BB117="Moderado"),1,IF(AND(W117="Preventivo",$BB115="Fuerte"),1,0)))</f>
        <v>0</v>
      </c>
      <c r="BE117" s="173" t="e">
        <f>+N115-BC117</f>
        <v>#N/A</v>
      </c>
      <c r="BF117" s="173" t="e">
        <f>+P115-BD117</f>
        <v>#N/A</v>
      </c>
      <c r="BG117" s="346"/>
      <c r="BH117" s="346"/>
      <c r="BI117" s="346"/>
      <c r="BJ117" s="538"/>
      <c r="BK117" s="538"/>
      <c r="BL117" s="538"/>
      <c r="BM117" s="538"/>
    </row>
    <row r="118" spans="1:65" ht="65.099999999999994" customHeight="1" thickBot="1">
      <c r="A118" s="329"/>
      <c r="B118" s="514"/>
      <c r="C118" s="364"/>
      <c r="D118" s="233"/>
      <c r="E118" s="233"/>
      <c r="F118" s="433"/>
      <c r="G118" s="367"/>
      <c r="H118" s="100"/>
      <c r="I118" s="237"/>
      <c r="J118" s="100"/>
      <c r="K118" s="236"/>
      <c r="L118" s="222"/>
      <c r="M118" s="370"/>
      <c r="N118" s="349"/>
      <c r="O118" s="352"/>
      <c r="P118" s="349"/>
      <c r="Q118" s="353"/>
      <c r="R118" s="346"/>
      <c r="S118" s="208"/>
      <c r="T118" s="97"/>
      <c r="U118" s="47" t="s">
        <v>627</v>
      </c>
      <c r="V118" s="215"/>
      <c r="W118" s="215"/>
      <c r="X118" s="215"/>
      <c r="Y118" s="95" t="str">
        <f t="shared" si="13"/>
        <v/>
      </c>
      <c r="Z118" s="215"/>
      <c r="AA118" s="95" t="str">
        <f t="shared" si="14"/>
        <v/>
      </c>
      <c r="AB118" s="208"/>
      <c r="AC118" s="95" t="str">
        <f t="shared" si="15"/>
        <v/>
      </c>
      <c r="AD118" s="208"/>
      <c r="AE118" s="95" t="str">
        <f t="shared" si="16"/>
        <v/>
      </c>
      <c r="AF118" s="208"/>
      <c r="AG118" s="95" t="str">
        <f t="shared" si="17"/>
        <v/>
      </c>
      <c r="AH118" s="208"/>
      <c r="AI118" s="95" t="str">
        <f t="shared" si="18"/>
        <v/>
      </c>
      <c r="AJ118" s="208"/>
      <c r="AK118" s="27" t="str">
        <f t="shared" si="19"/>
        <v/>
      </c>
      <c r="AL118" s="48" t="str">
        <f t="shared" si="20"/>
        <v/>
      </c>
      <c r="AM118" s="48" t="str">
        <f t="shared" si="21"/>
        <v/>
      </c>
      <c r="AN118" s="293"/>
      <c r="AO118" s="293"/>
      <c r="AP118" s="293"/>
      <c r="AQ118" s="293"/>
      <c r="AR118" s="293"/>
      <c r="AS118" s="293"/>
      <c r="AT118" s="293"/>
      <c r="AU118" s="294" t="str">
        <f>IFERROR(VLOOKUP(AT118,'Seguridad Información'!$I$61:$J$65,2,0),"")</f>
        <v/>
      </c>
      <c r="AV118" s="79"/>
      <c r="AW118" s="78" t="str">
        <f t="shared" si="12"/>
        <v/>
      </c>
      <c r="AX118" s="77" t="str">
        <f t="shared" si="22"/>
        <v/>
      </c>
      <c r="AY118" s="21" t="str">
        <f>IFERROR(VLOOKUP((CONCATENATE(AM118,AX118)),Listados!$U$3:$V$11,2,FALSE),"")</f>
        <v/>
      </c>
      <c r="AZ118" s="48">
        <f t="shared" si="23"/>
        <v>100</v>
      </c>
      <c r="BA118" s="355"/>
      <c r="BB118" s="357"/>
      <c r="BC118" s="173">
        <f>+IF(AND(W118="Preventivo",BB115="Fuerte"),2,IF(AND(W118="Preventivo",BB115="Moderado"),1,0))</f>
        <v>0</v>
      </c>
      <c r="BD118" s="64">
        <f>+IF(AND(W118="Detectivo/Correctivo",$BB115="Fuerte"),2,IF(AND(W118="Detectivo/Correctivo",$BB118="Moderado"),1,IF(AND(W118="Preventivo",$BB115="Fuerte"),1,0)))</f>
        <v>0</v>
      </c>
      <c r="BE118" s="173" t="e">
        <f>+N115-BC118</f>
        <v>#N/A</v>
      </c>
      <c r="BF118" s="173" t="e">
        <f>+P115-BD118</f>
        <v>#N/A</v>
      </c>
      <c r="BG118" s="346"/>
      <c r="BH118" s="346"/>
      <c r="BI118" s="346"/>
      <c r="BJ118" s="538"/>
      <c r="BK118" s="538"/>
      <c r="BL118" s="538"/>
      <c r="BM118" s="538"/>
    </row>
    <row r="119" spans="1:65" ht="65.099999999999994" customHeight="1" thickBot="1">
      <c r="A119" s="329"/>
      <c r="B119" s="514"/>
      <c r="C119" s="364"/>
      <c r="D119" s="109"/>
      <c r="E119" s="109"/>
      <c r="F119" s="433"/>
      <c r="G119" s="367"/>
      <c r="H119" s="100"/>
      <c r="I119" s="237"/>
      <c r="J119" s="100"/>
      <c r="K119" s="29"/>
      <c r="L119" s="222"/>
      <c r="M119" s="370"/>
      <c r="N119" s="349"/>
      <c r="O119" s="352"/>
      <c r="P119" s="349"/>
      <c r="Q119" s="353"/>
      <c r="R119" s="346"/>
      <c r="S119" s="208"/>
      <c r="T119" s="195"/>
      <c r="U119" s="47" t="s">
        <v>627</v>
      </c>
      <c r="V119" s="215"/>
      <c r="W119" s="215"/>
      <c r="X119" s="215"/>
      <c r="Y119" s="95" t="str">
        <f t="shared" si="13"/>
        <v/>
      </c>
      <c r="Z119" s="215"/>
      <c r="AA119" s="95" t="str">
        <f t="shared" si="14"/>
        <v/>
      </c>
      <c r="AB119" s="208"/>
      <c r="AC119" s="95" t="str">
        <f t="shared" si="15"/>
        <v/>
      </c>
      <c r="AD119" s="208"/>
      <c r="AE119" s="95" t="str">
        <f t="shared" si="16"/>
        <v/>
      </c>
      <c r="AF119" s="208"/>
      <c r="AG119" s="95" t="str">
        <f t="shared" si="17"/>
        <v/>
      </c>
      <c r="AH119" s="208"/>
      <c r="AI119" s="95" t="str">
        <f t="shared" si="18"/>
        <v/>
      </c>
      <c r="AJ119" s="208"/>
      <c r="AK119" s="27" t="str">
        <f t="shared" si="19"/>
        <v/>
      </c>
      <c r="AL119" s="48" t="str">
        <f t="shared" si="20"/>
        <v/>
      </c>
      <c r="AM119" s="48" t="str">
        <f t="shared" si="21"/>
        <v/>
      </c>
      <c r="AN119" s="293"/>
      <c r="AO119" s="293"/>
      <c r="AP119" s="293"/>
      <c r="AQ119" s="293"/>
      <c r="AR119" s="293"/>
      <c r="AS119" s="293"/>
      <c r="AT119" s="293"/>
      <c r="AU119" s="294" t="str">
        <f>IFERROR(VLOOKUP(AT119,'Seguridad Información'!$I$61:$J$65,2,0),"")</f>
        <v/>
      </c>
      <c r="AV119" s="79"/>
      <c r="AW119" s="78" t="str">
        <f t="shared" si="12"/>
        <v/>
      </c>
      <c r="AX119" s="77" t="str">
        <f t="shared" si="22"/>
        <v/>
      </c>
      <c r="AY119" s="21" t="str">
        <f>IFERROR(VLOOKUP((CONCATENATE(AM119,AX119)),Listados!$U$3:$V$11,2,FALSE),"")</f>
        <v/>
      </c>
      <c r="AZ119" s="48">
        <f t="shared" si="23"/>
        <v>100</v>
      </c>
      <c r="BA119" s="355"/>
      <c r="BB119" s="357"/>
      <c r="BC119" s="173">
        <f>+IF(AND(W119="Preventivo",BB115="Fuerte"),2,IF(AND(W119="Preventivo",BB115="Moderado"),1,0))</f>
        <v>0</v>
      </c>
      <c r="BD119" s="64">
        <f>+IF(AND(W119="Detectivo/Correctivo",$BB115="Fuerte"),2,IF(AND(W119="Detectivo/Correctivo",$BB119="Moderado"),1,IF(AND(W119="Preventivo",$BB115="Fuerte"),1,0)))</f>
        <v>0</v>
      </c>
      <c r="BE119" s="173" t="e">
        <f>+N115-BC119</f>
        <v>#N/A</v>
      </c>
      <c r="BF119" s="173" t="e">
        <f>+P115-BD119</f>
        <v>#N/A</v>
      </c>
      <c r="BG119" s="346"/>
      <c r="BH119" s="346"/>
      <c r="BI119" s="346"/>
      <c r="BJ119" s="538"/>
      <c r="BK119" s="538"/>
      <c r="BL119" s="538"/>
      <c r="BM119" s="538"/>
    </row>
    <row r="120" spans="1:65" ht="65.099999999999994" customHeight="1" thickBot="1">
      <c r="A120" s="330"/>
      <c r="B120" s="514"/>
      <c r="C120" s="365"/>
      <c r="D120" s="106"/>
      <c r="E120" s="106"/>
      <c r="F120" s="434"/>
      <c r="G120" s="368"/>
      <c r="H120" s="100"/>
      <c r="I120" s="237"/>
      <c r="J120" s="100"/>
      <c r="K120" s="31"/>
      <c r="L120" s="222"/>
      <c r="M120" s="370"/>
      <c r="N120" s="350"/>
      <c r="O120" s="352"/>
      <c r="P120" s="350"/>
      <c r="Q120" s="353"/>
      <c r="R120" s="347"/>
      <c r="S120" s="208"/>
      <c r="T120" s="98"/>
      <c r="U120" s="47" t="s">
        <v>627</v>
      </c>
      <c r="V120" s="215"/>
      <c r="W120" s="215"/>
      <c r="X120" s="215"/>
      <c r="Y120" s="95" t="str">
        <f t="shared" si="13"/>
        <v/>
      </c>
      <c r="Z120" s="215"/>
      <c r="AA120" s="95" t="str">
        <f t="shared" si="14"/>
        <v/>
      </c>
      <c r="AB120" s="208"/>
      <c r="AC120" s="95" t="str">
        <f t="shared" si="15"/>
        <v/>
      </c>
      <c r="AD120" s="208"/>
      <c r="AE120" s="95" t="str">
        <f t="shared" si="16"/>
        <v/>
      </c>
      <c r="AF120" s="208"/>
      <c r="AG120" s="95" t="str">
        <f t="shared" si="17"/>
        <v/>
      </c>
      <c r="AH120" s="208"/>
      <c r="AI120" s="95" t="str">
        <f t="shared" si="18"/>
        <v/>
      </c>
      <c r="AJ120" s="208"/>
      <c r="AK120" s="27" t="str">
        <f t="shared" si="19"/>
        <v/>
      </c>
      <c r="AL120" s="48" t="str">
        <f t="shared" si="20"/>
        <v/>
      </c>
      <c r="AM120" s="48" t="str">
        <f t="shared" si="21"/>
        <v/>
      </c>
      <c r="AN120" s="293"/>
      <c r="AO120" s="293"/>
      <c r="AP120" s="293"/>
      <c r="AQ120" s="293"/>
      <c r="AR120" s="293"/>
      <c r="AS120" s="293"/>
      <c r="AT120" s="293"/>
      <c r="AU120" s="294" t="str">
        <f>IFERROR(VLOOKUP(AT120,'Seguridad Información'!$I$61:$J$65,2,0),"")</f>
        <v/>
      </c>
      <c r="AV120" s="79"/>
      <c r="AW120" s="78" t="str">
        <f t="shared" si="12"/>
        <v/>
      </c>
      <c r="AX120" s="77" t="str">
        <f t="shared" si="22"/>
        <v/>
      </c>
      <c r="AY120" s="21" t="str">
        <f>IFERROR(VLOOKUP((CONCATENATE(AM120,AX120)),Listados!$U$3:$V$11,2,FALSE),"")</f>
        <v/>
      </c>
      <c r="AZ120" s="48">
        <f t="shared" si="23"/>
        <v>100</v>
      </c>
      <c r="BA120" s="356"/>
      <c r="BB120" s="357"/>
      <c r="BC120" s="173">
        <f>+IF(AND(W120="Preventivo",BB115="Fuerte"),2,IF(AND(W120="Preventivo",BB115="Moderado"),1,0))</f>
        <v>0</v>
      </c>
      <c r="BD120" s="64">
        <f>+IF(AND(W120="Detectivo/Correctivo",$BB115="Fuerte"),2,IF(AND(W120="Detectivo/Correctivo",$BB120="Moderado"),1,IF(AND(W120="Preventivo",$BB115="Fuerte"),1,0)))</f>
        <v>0</v>
      </c>
      <c r="BE120" s="173" t="e">
        <f>+N115-BC120</f>
        <v>#N/A</v>
      </c>
      <c r="BF120" s="173" t="e">
        <f>+P115-BD120</f>
        <v>#N/A</v>
      </c>
      <c r="BG120" s="347"/>
      <c r="BH120" s="347"/>
      <c r="BI120" s="347"/>
      <c r="BJ120" s="539"/>
      <c r="BK120" s="539"/>
      <c r="BL120" s="539"/>
      <c r="BM120" s="539"/>
    </row>
    <row r="121" spans="1:65" ht="65.099999999999994" customHeight="1" thickBot="1">
      <c r="A121" s="328">
        <v>20</v>
      </c>
      <c r="B121" s="519"/>
      <c r="C121" s="371" t="str">
        <f>IFERROR(VLOOKUP(B121,Listados!B$3:C$20,2,FALSE),"")</f>
        <v/>
      </c>
      <c r="D121" s="107"/>
      <c r="E121" s="107"/>
      <c r="F121" s="432"/>
      <c r="G121" s="372"/>
      <c r="H121" s="100"/>
      <c r="I121" s="237"/>
      <c r="J121" s="100"/>
      <c r="K121" s="103"/>
      <c r="L121" s="17"/>
      <c r="M121" s="369"/>
      <c r="N121" s="348" t="e">
        <f>+VLOOKUP(M121,Listados!$K$8:$L$12,2,0)</f>
        <v>#N/A</v>
      </c>
      <c r="O121" s="351"/>
      <c r="P121" s="348" t="e">
        <f>+VLOOKUP(O121,Listados!$K$13:$L$17,2,0)</f>
        <v>#N/A</v>
      </c>
      <c r="Q121" s="347" t="str">
        <f>IF(AND(M121&lt;&gt;"",O121&lt;&gt;""),VLOOKUP(M121&amp;O121,Listados!$M$3:$N$27,2,FALSE),"")</f>
        <v/>
      </c>
      <c r="R121" s="345" t="e">
        <f>+VLOOKUP(Q121,Listados!$P$3:$Q$6,2,FALSE)</f>
        <v>#N/A</v>
      </c>
      <c r="S121" s="208"/>
      <c r="T121" s="94"/>
      <c r="U121" s="47" t="s">
        <v>627</v>
      </c>
      <c r="V121" s="215"/>
      <c r="W121" s="215"/>
      <c r="X121" s="215"/>
      <c r="Y121" s="95" t="str">
        <f t="shared" si="13"/>
        <v/>
      </c>
      <c r="Z121" s="215"/>
      <c r="AA121" s="95" t="str">
        <f t="shared" si="14"/>
        <v/>
      </c>
      <c r="AB121" s="208"/>
      <c r="AC121" s="95" t="str">
        <f t="shared" si="15"/>
        <v/>
      </c>
      <c r="AD121" s="208"/>
      <c r="AE121" s="95" t="str">
        <f t="shared" si="16"/>
        <v/>
      </c>
      <c r="AF121" s="208"/>
      <c r="AG121" s="95" t="str">
        <f t="shared" si="17"/>
        <v/>
      </c>
      <c r="AH121" s="208"/>
      <c r="AI121" s="95" t="str">
        <f t="shared" si="18"/>
        <v/>
      </c>
      <c r="AJ121" s="208"/>
      <c r="AK121" s="27" t="str">
        <f t="shared" si="19"/>
        <v/>
      </c>
      <c r="AL121" s="48" t="str">
        <f t="shared" si="20"/>
        <v/>
      </c>
      <c r="AM121" s="48" t="str">
        <f t="shared" si="21"/>
        <v/>
      </c>
      <c r="AN121" s="293"/>
      <c r="AO121" s="293"/>
      <c r="AP121" s="293"/>
      <c r="AQ121" s="293"/>
      <c r="AR121" s="293"/>
      <c r="AS121" s="293"/>
      <c r="AT121" s="293"/>
      <c r="AU121" s="294" t="str">
        <f>IFERROR(VLOOKUP(AT121,'Seguridad Información'!$I$61:$J$65,2,0),"")</f>
        <v/>
      </c>
      <c r="AV121" s="79"/>
      <c r="AW121" s="78" t="str">
        <f t="shared" si="12"/>
        <v/>
      </c>
      <c r="AX121" s="77" t="str">
        <f t="shared" si="22"/>
        <v/>
      </c>
      <c r="AY121" s="21" t="str">
        <f>IFERROR(VLOOKUP((CONCATENATE(AM121,AX121)),Listados!$U$3:$V$11,2,FALSE),"")</f>
        <v/>
      </c>
      <c r="AZ121" s="48">
        <f t="shared" si="23"/>
        <v>100</v>
      </c>
      <c r="BA121" s="354">
        <f>AVERAGE(AZ121:AZ126)</f>
        <v>100</v>
      </c>
      <c r="BB121" s="356" t="str">
        <f>IF(BA121&lt;=50, "Débil", IF(BA121&lt;=99,"Moderado","Fuerte"))</f>
        <v>Fuerte</v>
      </c>
      <c r="BC121" s="173">
        <f>+IF(AND(W121="Preventivo",BB121="Fuerte"),2,IF(AND(W121="Preventivo",BB121="Moderado"),1,0))</f>
        <v>0</v>
      </c>
      <c r="BD121" s="64">
        <f>+IF(AND(W121="Detectivo/Correctivo",$BB121="Fuerte"),2,IF(AND(W121="Detectivo/Correctivo",$BB121="Moderado"),1,IF(AND(W121="Preventivo",$BB121="Fuerte"),1,0)))</f>
        <v>0</v>
      </c>
      <c r="BE121" s="173" t="e">
        <f>+N121-BC121</f>
        <v>#N/A</v>
      </c>
      <c r="BF121" s="173" t="e">
        <f>+P121-BD121</f>
        <v>#N/A</v>
      </c>
      <c r="BG121" s="345" t="e">
        <f>+VLOOKUP(MIN(BE121,BE122,BE123,BE124,BE125,BE126),Listados!$J$18:$K$24,2,TRUE)</f>
        <v>#N/A</v>
      </c>
      <c r="BH121" s="345" t="e">
        <f>+VLOOKUP(MIN(BF121,BF122,BF123,BF124,BF125,BF126),Listados!$J$27:$K$32,2,TRUE)</f>
        <v>#N/A</v>
      </c>
      <c r="BI121" s="345" t="e">
        <f>IF(AND(BG121&lt;&gt;"",BH121&lt;&gt;""),VLOOKUP(BG121&amp;BH121,Listados!$M$3:$N$27,2,FALSE),"")</f>
        <v>#N/A</v>
      </c>
      <c r="BJ121" s="537" t="e">
        <f>+IF($R121="Asumir el riesgo","NA","")</f>
        <v>#N/A</v>
      </c>
      <c r="BK121" s="537" t="e">
        <f>+IF($R121="Asumir el riesgo","NA","")</f>
        <v>#N/A</v>
      </c>
      <c r="BL121" s="537" t="e">
        <f>+IF($R121="Asumir el riesgo","NA","")</f>
        <v>#N/A</v>
      </c>
      <c r="BM121" s="537" t="e">
        <f>+IF($R121="Asumir el riesgo","NA","")</f>
        <v>#N/A</v>
      </c>
    </row>
    <row r="122" spans="1:65" ht="65.099999999999994" customHeight="1" thickBot="1">
      <c r="A122" s="329"/>
      <c r="B122" s="514"/>
      <c r="C122" s="364"/>
      <c r="D122" s="233"/>
      <c r="E122" s="233"/>
      <c r="F122" s="433"/>
      <c r="G122" s="367"/>
      <c r="H122" s="100"/>
      <c r="I122" s="237"/>
      <c r="J122" s="100"/>
      <c r="K122" s="236"/>
      <c r="L122" s="222"/>
      <c r="M122" s="370"/>
      <c r="N122" s="349"/>
      <c r="O122" s="352"/>
      <c r="P122" s="349"/>
      <c r="Q122" s="353"/>
      <c r="R122" s="346"/>
      <c r="S122" s="208"/>
      <c r="T122" s="195"/>
      <c r="U122" s="47" t="s">
        <v>627</v>
      </c>
      <c r="V122" s="215"/>
      <c r="W122" s="215"/>
      <c r="X122" s="215"/>
      <c r="Y122" s="95" t="str">
        <f t="shared" si="13"/>
        <v/>
      </c>
      <c r="Z122" s="215"/>
      <c r="AA122" s="95" t="str">
        <f t="shared" si="14"/>
        <v/>
      </c>
      <c r="AB122" s="208"/>
      <c r="AC122" s="95" t="str">
        <f t="shared" si="15"/>
        <v/>
      </c>
      <c r="AD122" s="208"/>
      <c r="AE122" s="95" t="str">
        <f t="shared" si="16"/>
        <v/>
      </c>
      <c r="AF122" s="208"/>
      <c r="AG122" s="95" t="str">
        <f t="shared" si="17"/>
        <v/>
      </c>
      <c r="AH122" s="208"/>
      <c r="AI122" s="95" t="str">
        <f t="shared" si="18"/>
        <v/>
      </c>
      <c r="AJ122" s="208"/>
      <c r="AK122" s="27" t="str">
        <f t="shared" si="19"/>
        <v/>
      </c>
      <c r="AL122" s="48" t="str">
        <f t="shared" si="20"/>
        <v/>
      </c>
      <c r="AM122" s="48" t="str">
        <f t="shared" si="21"/>
        <v/>
      </c>
      <c r="AN122" s="293"/>
      <c r="AO122" s="293"/>
      <c r="AP122" s="293"/>
      <c r="AQ122" s="293"/>
      <c r="AR122" s="293"/>
      <c r="AS122" s="293"/>
      <c r="AT122" s="293"/>
      <c r="AU122" s="294" t="str">
        <f>IFERROR(VLOOKUP(AT122,'Seguridad Información'!$I$61:$J$65,2,0),"")</f>
        <v/>
      </c>
      <c r="AV122" s="79"/>
      <c r="AW122" s="78" t="str">
        <f t="shared" si="12"/>
        <v/>
      </c>
      <c r="AX122" s="77" t="str">
        <f t="shared" si="22"/>
        <v/>
      </c>
      <c r="AY122" s="21" t="str">
        <f>IFERROR(VLOOKUP((CONCATENATE(AM122,AX122)),Listados!$U$3:$V$11,2,FALSE),"")</f>
        <v/>
      </c>
      <c r="AZ122" s="48">
        <f t="shared" si="23"/>
        <v>100</v>
      </c>
      <c r="BA122" s="355"/>
      <c r="BB122" s="357"/>
      <c r="BC122" s="173">
        <f>+IF(AND(W122="Preventivo",BB121="Fuerte"),2,IF(AND(W122="Preventivo",BB121="Moderado"),1,0))</f>
        <v>0</v>
      </c>
      <c r="BD122" s="64">
        <f>+IF(AND(W122="Detectivo/Correctivo",$BB121="Fuerte"),2,IF(AND(W122="Detectivo/Correctivo",$BB122="Moderado"),1,IF(AND(W122="Preventivo",$BB121="Fuerte"),1,0)))</f>
        <v>0</v>
      </c>
      <c r="BE122" s="173" t="e">
        <f>+N121-BC122</f>
        <v>#N/A</v>
      </c>
      <c r="BF122" s="173" t="e">
        <f>+P121-BD122</f>
        <v>#N/A</v>
      </c>
      <c r="BG122" s="346"/>
      <c r="BH122" s="346"/>
      <c r="BI122" s="346"/>
      <c r="BJ122" s="538"/>
      <c r="BK122" s="538"/>
      <c r="BL122" s="538"/>
      <c r="BM122" s="538"/>
    </row>
    <row r="123" spans="1:65" ht="65.099999999999994" customHeight="1" thickBot="1">
      <c r="A123" s="329"/>
      <c r="B123" s="514"/>
      <c r="C123" s="364"/>
      <c r="D123" s="233"/>
      <c r="E123" s="233"/>
      <c r="F123" s="433"/>
      <c r="G123" s="367"/>
      <c r="H123" s="100"/>
      <c r="I123" s="237"/>
      <c r="J123" s="100"/>
      <c r="K123" s="236"/>
      <c r="L123" s="222"/>
      <c r="M123" s="370"/>
      <c r="N123" s="349"/>
      <c r="O123" s="352"/>
      <c r="P123" s="349"/>
      <c r="Q123" s="353"/>
      <c r="R123" s="346"/>
      <c r="S123" s="208"/>
      <c r="T123" s="96"/>
      <c r="U123" s="47" t="s">
        <v>627</v>
      </c>
      <c r="V123" s="215"/>
      <c r="W123" s="215"/>
      <c r="X123" s="215"/>
      <c r="Y123" s="95" t="str">
        <f t="shared" si="13"/>
        <v/>
      </c>
      <c r="Z123" s="215"/>
      <c r="AA123" s="95" t="str">
        <f t="shared" si="14"/>
        <v/>
      </c>
      <c r="AB123" s="208"/>
      <c r="AC123" s="95" t="str">
        <f t="shared" si="15"/>
        <v/>
      </c>
      <c r="AD123" s="208"/>
      <c r="AE123" s="95" t="str">
        <f t="shared" si="16"/>
        <v/>
      </c>
      <c r="AF123" s="208"/>
      <c r="AG123" s="95" t="str">
        <f t="shared" si="17"/>
        <v/>
      </c>
      <c r="AH123" s="208"/>
      <c r="AI123" s="95" t="str">
        <f t="shared" si="18"/>
        <v/>
      </c>
      <c r="AJ123" s="208"/>
      <c r="AK123" s="27" t="str">
        <f t="shared" si="19"/>
        <v/>
      </c>
      <c r="AL123" s="48" t="str">
        <f t="shared" si="20"/>
        <v/>
      </c>
      <c r="AM123" s="48" t="str">
        <f t="shared" si="21"/>
        <v/>
      </c>
      <c r="AN123" s="293"/>
      <c r="AO123" s="293"/>
      <c r="AP123" s="293"/>
      <c r="AQ123" s="293"/>
      <c r="AR123" s="293"/>
      <c r="AS123" s="293"/>
      <c r="AT123" s="293"/>
      <c r="AU123" s="294" t="str">
        <f>IFERROR(VLOOKUP(AT123,'Seguridad Información'!$I$61:$J$65,2,0),"")</f>
        <v/>
      </c>
      <c r="AV123" s="79"/>
      <c r="AW123" s="78" t="str">
        <f t="shared" si="12"/>
        <v/>
      </c>
      <c r="AX123" s="77" t="str">
        <f t="shared" si="22"/>
        <v/>
      </c>
      <c r="AY123" s="21" t="str">
        <f>IFERROR(VLOOKUP((CONCATENATE(AM123,AX123)),Listados!$U$3:$V$11,2,FALSE),"")</f>
        <v/>
      </c>
      <c r="AZ123" s="48">
        <f t="shared" si="23"/>
        <v>100</v>
      </c>
      <c r="BA123" s="355"/>
      <c r="BB123" s="357"/>
      <c r="BC123" s="173">
        <f>+IF(AND(W123="Preventivo",BB121="Fuerte"),2,IF(AND(W123="Preventivo",BB121="Moderado"),1,0))</f>
        <v>0</v>
      </c>
      <c r="BD123" s="64">
        <f>+IF(AND(W123="Detectivo/Correctivo",$BB121="Fuerte"),2,IF(AND(W123="Detectivo/Correctivo",$BB123="Moderado"),1,IF(AND(W123="Preventivo",$BB121="Fuerte"),1,0)))</f>
        <v>0</v>
      </c>
      <c r="BE123" s="173" t="e">
        <f>+N121-BC123</f>
        <v>#N/A</v>
      </c>
      <c r="BF123" s="173" t="e">
        <f>+P121-BD123</f>
        <v>#N/A</v>
      </c>
      <c r="BG123" s="346"/>
      <c r="BH123" s="346"/>
      <c r="BI123" s="346"/>
      <c r="BJ123" s="538"/>
      <c r="BK123" s="538"/>
      <c r="BL123" s="538"/>
      <c r="BM123" s="538"/>
    </row>
    <row r="124" spans="1:65" ht="65.099999999999994" customHeight="1" thickBot="1">
      <c r="A124" s="329"/>
      <c r="B124" s="514"/>
      <c r="C124" s="364"/>
      <c r="D124" s="233"/>
      <c r="E124" s="233"/>
      <c r="F124" s="433"/>
      <c r="G124" s="367"/>
      <c r="H124" s="100"/>
      <c r="I124" s="237"/>
      <c r="J124" s="100"/>
      <c r="K124" s="236"/>
      <c r="L124" s="222"/>
      <c r="M124" s="370"/>
      <c r="N124" s="349"/>
      <c r="O124" s="352"/>
      <c r="P124" s="349"/>
      <c r="Q124" s="353"/>
      <c r="R124" s="346"/>
      <c r="S124" s="208"/>
      <c r="T124" s="97"/>
      <c r="U124" s="47" t="s">
        <v>627</v>
      </c>
      <c r="V124" s="215"/>
      <c r="W124" s="215"/>
      <c r="X124" s="215"/>
      <c r="Y124" s="95" t="str">
        <f t="shared" si="13"/>
        <v/>
      </c>
      <c r="Z124" s="215"/>
      <c r="AA124" s="95" t="str">
        <f t="shared" si="14"/>
        <v/>
      </c>
      <c r="AB124" s="208"/>
      <c r="AC124" s="95" t="str">
        <f t="shared" si="15"/>
        <v/>
      </c>
      <c r="AD124" s="208"/>
      <c r="AE124" s="95" t="str">
        <f t="shared" si="16"/>
        <v/>
      </c>
      <c r="AF124" s="208"/>
      <c r="AG124" s="95" t="str">
        <f t="shared" si="17"/>
        <v/>
      </c>
      <c r="AH124" s="208"/>
      <c r="AI124" s="95" t="str">
        <f t="shared" si="18"/>
        <v/>
      </c>
      <c r="AJ124" s="208"/>
      <c r="AK124" s="27" t="str">
        <f t="shared" si="19"/>
        <v/>
      </c>
      <c r="AL124" s="48" t="str">
        <f t="shared" si="20"/>
        <v/>
      </c>
      <c r="AM124" s="48" t="str">
        <f t="shared" si="21"/>
        <v/>
      </c>
      <c r="AN124" s="293"/>
      <c r="AO124" s="293"/>
      <c r="AP124" s="293"/>
      <c r="AQ124" s="293"/>
      <c r="AR124" s="293"/>
      <c r="AS124" s="293"/>
      <c r="AT124" s="293"/>
      <c r="AU124" s="294" t="str">
        <f>IFERROR(VLOOKUP(AT124,'Seguridad Información'!$I$61:$J$65,2,0),"")</f>
        <v/>
      </c>
      <c r="AV124" s="79"/>
      <c r="AW124" s="78" t="str">
        <f t="shared" si="12"/>
        <v/>
      </c>
      <c r="AX124" s="77" t="str">
        <f t="shared" si="22"/>
        <v/>
      </c>
      <c r="AY124" s="21" t="str">
        <f>IFERROR(VLOOKUP((CONCATENATE(AM124,AX124)),Listados!$U$3:$V$11,2,FALSE),"")</f>
        <v/>
      </c>
      <c r="AZ124" s="48">
        <f t="shared" si="23"/>
        <v>100</v>
      </c>
      <c r="BA124" s="355"/>
      <c r="BB124" s="357"/>
      <c r="BC124" s="173">
        <f>+IF(AND(W124="Preventivo",BB121="Fuerte"),2,IF(AND(W124="Preventivo",BB121="Moderado"),1,0))</f>
        <v>0</v>
      </c>
      <c r="BD124" s="64">
        <f>+IF(AND(W124="Detectivo/Correctivo",$BB121="Fuerte"),2,IF(AND(W124="Detectivo/Correctivo",$BB124="Moderado"),1,IF(AND(W124="Preventivo",$BB121="Fuerte"),1,0)))</f>
        <v>0</v>
      </c>
      <c r="BE124" s="173" t="e">
        <f>+N121-BC124</f>
        <v>#N/A</v>
      </c>
      <c r="BF124" s="173" t="e">
        <f>+P121-BD124</f>
        <v>#N/A</v>
      </c>
      <c r="BG124" s="346"/>
      <c r="BH124" s="346"/>
      <c r="BI124" s="346"/>
      <c r="BJ124" s="538"/>
      <c r="BK124" s="538"/>
      <c r="BL124" s="538"/>
      <c r="BM124" s="538"/>
    </row>
    <row r="125" spans="1:65" ht="65.099999999999994" customHeight="1" thickBot="1">
      <c r="A125" s="329"/>
      <c r="B125" s="514"/>
      <c r="C125" s="364"/>
      <c r="D125" s="109"/>
      <c r="E125" s="109"/>
      <c r="F125" s="433"/>
      <c r="G125" s="367"/>
      <c r="H125" s="100"/>
      <c r="I125" s="237"/>
      <c r="J125" s="100"/>
      <c r="K125" s="29"/>
      <c r="L125" s="222"/>
      <c r="M125" s="370"/>
      <c r="N125" s="349"/>
      <c r="O125" s="352"/>
      <c r="P125" s="349"/>
      <c r="Q125" s="353"/>
      <c r="R125" s="346"/>
      <c r="S125" s="208"/>
      <c r="T125" s="195"/>
      <c r="U125" s="47" t="s">
        <v>627</v>
      </c>
      <c r="V125" s="215"/>
      <c r="W125" s="215"/>
      <c r="X125" s="215"/>
      <c r="Y125" s="95" t="str">
        <f t="shared" si="13"/>
        <v/>
      </c>
      <c r="Z125" s="215"/>
      <c r="AA125" s="95" t="str">
        <f t="shared" si="14"/>
        <v/>
      </c>
      <c r="AB125" s="208"/>
      <c r="AC125" s="95" t="str">
        <f t="shared" si="15"/>
        <v/>
      </c>
      <c r="AD125" s="208"/>
      <c r="AE125" s="95" t="str">
        <f t="shared" si="16"/>
        <v/>
      </c>
      <c r="AF125" s="208"/>
      <c r="AG125" s="95" t="str">
        <f t="shared" si="17"/>
        <v/>
      </c>
      <c r="AH125" s="208"/>
      <c r="AI125" s="95" t="str">
        <f t="shared" si="18"/>
        <v/>
      </c>
      <c r="AJ125" s="208"/>
      <c r="AK125" s="27" t="str">
        <f t="shared" si="19"/>
        <v/>
      </c>
      <c r="AL125" s="48" t="str">
        <f t="shared" si="20"/>
        <v/>
      </c>
      <c r="AM125" s="48" t="str">
        <f t="shared" si="21"/>
        <v/>
      </c>
      <c r="AN125" s="293"/>
      <c r="AO125" s="293"/>
      <c r="AP125" s="293"/>
      <c r="AQ125" s="293"/>
      <c r="AR125" s="293"/>
      <c r="AS125" s="293"/>
      <c r="AT125" s="293"/>
      <c r="AU125" s="294" t="str">
        <f>IFERROR(VLOOKUP(AT125,'Seguridad Información'!$I$61:$J$65,2,0),"")</f>
        <v/>
      </c>
      <c r="AV125" s="79"/>
      <c r="AW125" s="78" t="str">
        <f t="shared" si="12"/>
        <v/>
      </c>
      <c r="AX125" s="77" t="str">
        <f t="shared" si="22"/>
        <v/>
      </c>
      <c r="AY125" s="21" t="str">
        <f>IFERROR(VLOOKUP((CONCATENATE(AM125,AX125)),Listados!$U$3:$V$11,2,FALSE),"")</f>
        <v/>
      </c>
      <c r="AZ125" s="48">
        <f t="shared" si="23"/>
        <v>100</v>
      </c>
      <c r="BA125" s="355"/>
      <c r="BB125" s="357"/>
      <c r="BC125" s="173">
        <f>+IF(AND(W125="Preventivo",BB121="Fuerte"),2,IF(AND(W125="Preventivo",BB121="Moderado"),1,0))</f>
        <v>0</v>
      </c>
      <c r="BD125" s="64">
        <f>+IF(AND(W125="Detectivo/Correctivo",$BB121="Fuerte"),2,IF(AND(W125="Detectivo/Correctivo",$BB125="Moderado"),1,IF(AND(W125="Preventivo",$BB121="Fuerte"),1,0)))</f>
        <v>0</v>
      </c>
      <c r="BE125" s="173" t="e">
        <f>+N121-BC125</f>
        <v>#N/A</v>
      </c>
      <c r="BF125" s="173" t="e">
        <f>+P121-BD125</f>
        <v>#N/A</v>
      </c>
      <c r="BG125" s="346"/>
      <c r="BH125" s="346"/>
      <c r="BI125" s="346"/>
      <c r="BJ125" s="538"/>
      <c r="BK125" s="538"/>
      <c r="BL125" s="538"/>
      <c r="BM125" s="538"/>
    </row>
    <row r="126" spans="1:65" ht="65.099999999999994" customHeight="1" thickBot="1">
      <c r="A126" s="330"/>
      <c r="B126" s="514"/>
      <c r="C126" s="365"/>
      <c r="D126" s="106"/>
      <c r="E126" s="106"/>
      <c r="F126" s="434"/>
      <c r="G126" s="368"/>
      <c r="H126" s="100"/>
      <c r="I126" s="237"/>
      <c r="J126" s="100"/>
      <c r="K126" s="31"/>
      <c r="L126" s="222"/>
      <c r="M126" s="370"/>
      <c r="N126" s="350"/>
      <c r="O126" s="352"/>
      <c r="P126" s="350"/>
      <c r="Q126" s="353"/>
      <c r="R126" s="347"/>
      <c r="S126" s="208"/>
      <c r="T126" s="98"/>
      <c r="U126" s="47" t="s">
        <v>627</v>
      </c>
      <c r="V126" s="215"/>
      <c r="W126" s="215"/>
      <c r="X126" s="215"/>
      <c r="Y126" s="95" t="str">
        <f t="shared" si="13"/>
        <v/>
      </c>
      <c r="Z126" s="215"/>
      <c r="AA126" s="95" t="str">
        <f t="shared" si="14"/>
        <v/>
      </c>
      <c r="AB126" s="208"/>
      <c r="AC126" s="95" t="str">
        <f t="shared" si="15"/>
        <v/>
      </c>
      <c r="AD126" s="208"/>
      <c r="AE126" s="95" t="str">
        <f t="shared" si="16"/>
        <v/>
      </c>
      <c r="AF126" s="208"/>
      <c r="AG126" s="95" t="str">
        <f t="shared" si="17"/>
        <v/>
      </c>
      <c r="AH126" s="208"/>
      <c r="AI126" s="95" t="str">
        <f t="shared" si="18"/>
        <v/>
      </c>
      <c r="AJ126" s="208"/>
      <c r="AK126" s="27" t="str">
        <f t="shared" si="19"/>
        <v/>
      </c>
      <c r="AL126" s="48" t="str">
        <f t="shared" si="20"/>
        <v/>
      </c>
      <c r="AM126" s="48" t="str">
        <f t="shared" si="21"/>
        <v/>
      </c>
      <c r="AN126" s="293"/>
      <c r="AO126" s="293"/>
      <c r="AP126" s="293"/>
      <c r="AQ126" s="293"/>
      <c r="AR126" s="293"/>
      <c r="AS126" s="293"/>
      <c r="AT126" s="293"/>
      <c r="AU126" s="294" t="str">
        <f>IFERROR(VLOOKUP(AT126,'Seguridad Información'!$I$61:$J$65,2,0),"")</f>
        <v/>
      </c>
      <c r="AV126" s="79"/>
      <c r="AW126" s="78" t="str">
        <f t="shared" si="12"/>
        <v/>
      </c>
      <c r="AX126" s="77" t="str">
        <f t="shared" si="22"/>
        <v/>
      </c>
      <c r="AY126" s="21" t="str">
        <f>IFERROR(VLOOKUP((CONCATENATE(AM126,AX126)),Listados!$U$3:$V$11,2,FALSE),"")</f>
        <v/>
      </c>
      <c r="AZ126" s="48">
        <f t="shared" si="23"/>
        <v>100</v>
      </c>
      <c r="BA126" s="356"/>
      <c r="BB126" s="357"/>
      <c r="BC126" s="173">
        <f>+IF(AND(W126="Preventivo",BB121="Fuerte"),2,IF(AND(W126="Preventivo",BB121="Moderado"),1,0))</f>
        <v>0</v>
      </c>
      <c r="BD126" s="64">
        <f>+IF(AND(W126="Detectivo/Correctivo",$BB121="Fuerte"),2,IF(AND(W126="Detectivo/Correctivo",$BB126="Moderado"),1,IF(AND(W126="Preventivo",$BB121="Fuerte"),1,0)))</f>
        <v>0</v>
      </c>
      <c r="BE126" s="173" t="e">
        <f>+N121-BC126</f>
        <v>#N/A</v>
      </c>
      <c r="BF126" s="173" t="e">
        <f>+P121-BD126</f>
        <v>#N/A</v>
      </c>
      <c r="BG126" s="347"/>
      <c r="BH126" s="347"/>
      <c r="BI126" s="347"/>
      <c r="BJ126" s="539"/>
      <c r="BK126" s="539"/>
      <c r="BL126" s="539"/>
      <c r="BM126" s="539"/>
    </row>
    <row r="127" spans="1:65" ht="65.099999999999994" customHeight="1" thickBot="1">
      <c r="A127" s="328">
        <v>21</v>
      </c>
      <c r="B127" s="519"/>
      <c r="C127" s="371" t="str">
        <f>IFERROR(VLOOKUP(B127,Listados!B$3:C$20,2,FALSE),"")</f>
        <v/>
      </c>
      <c r="D127" s="107"/>
      <c r="E127" s="107"/>
      <c r="F127" s="432"/>
      <c r="G127" s="372"/>
      <c r="H127" s="100"/>
      <c r="I127" s="237"/>
      <c r="J127" s="100"/>
      <c r="K127" s="103"/>
      <c r="L127" s="17"/>
      <c r="M127" s="369"/>
      <c r="N127" s="348" t="e">
        <f>+VLOOKUP(M127,Listados!$K$8:$L$12,2,0)</f>
        <v>#N/A</v>
      </c>
      <c r="O127" s="351"/>
      <c r="P127" s="348" t="e">
        <f>+VLOOKUP(O127,Listados!$K$13:$L$17,2,0)</f>
        <v>#N/A</v>
      </c>
      <c r="Q127" s="347" t="str">
        <f>IF(AND(M127&lt;&gt;"",O127&lt;&gt;""),VLOOKUP(M127&amp;O127,Listados!$M$3:$N$27,2,FALSE),"")</f>
        <v/>
      </c>
      <c r="R127" s="345" t="e">
        <f>+VLOOKUP(Q127,Listados!$P$3:$Q$6,2,FALSE)</f>
        <v>#N/A</v>
      </c>
      <c r="S127" s="208"/>
      <c r="T127" s="94"/>
      <c r="U127" s="47" t="s">
        <v>627</v>
      </c>
      <c r="V127" s="215"/>
      <c r="W127" s="215"/>
      <c r="X127" s="215"/>
      <c r="Y127" s="95" t="str">
        <f t="shared" si="13"/>
        <v/>
      </c>
      <c r="Z127" s="215"/>
      <c r="AA127" s="95" t="str">
        <f t="shared" si="14"/>
        <v/>
      </c>
      <c r="AB127" s="208"/>
      <c r="AC127" s="95" t="str">
        <f t="shared" si="15"/>
        <v/>
      </c>
      <c r="AD127" s="208"/>
      <c r="AE127" s="95" t="str">
        <f t="shared" si="16"/>
        <v/>
      </c>
      <c r="AF127" s="208"/>
      <c r="AG127" s="95" t="str">
        <f t="shared" si="17"/>
        <v/>
      </c>
      <c r="AH127" s="208"/>
      <c r="AI127" s="95" t="str">
        <f t="shared" si="18"/>
        <v/>
      </c>
      <c r="AJ127" s="208"/>
      <c r="AK127" s="27" t="str">
        <f t="shared" si="19"/>
        <v/>
      </c>
      <c r="AL127" s="48" t="str">
        <f t="shared" si="20"/>
        <v/>
      </c>
      <c r="AM127" s="48" t="str">
        <f t="shared" si="21"/>
        <v/>
      </c>
      <c r="AN127" s="293"/>
      <c r="AO127" s="293"/>
      <c r="AP127" s="293"/>
      <c r="AQ127" s="293"/>
      <c r="AR127" s="293"/>
      <c r="AS127" s="293"/>
      <c r="AT127" s="293"/>
      <c r="AU127" s="294" t="str">
        <f>IFERROR(VLOOKUP(AT127,'Seguridad Información'!$I$61:$J$65,2,0),"")</f>
        <v/>
      </c>
      <c r="AV127" s="79"/>
      <c r="AW127" s="78" t="str">
        <f t="shared" si="12"/>
        <v/>
      </c>
      <c r="AX127" s="77" t="str">
        <f t="shared" si="22"/>
        <v/>
      </c>
      <c r="AY127" s="21" t="str">
        <f>IFERROR(VLOOKUP((CONCATENATE(AM127,AX127)),Listados!$U$3:$V$11,2,FALSE),"")</f>
        <v/>
      </c>
      <c r="AZ127" s="48">
        <f t="shared" si="23"/>
        <v>100</v>
      </c>
      <c r="BA127" s="354">
        <f>AVERAGE(AZ127:AZ132)</f>
        <v>100</v>
      </c>
      <c r="BB127" s="356" t="str">
        <f>IF(BA127&lt;=50, "Débil", IF(BA127&lt;=99,"Moderado","Fuerte"))</f>
        <v>Fuerte</v>
      </c>
      <c r="BC127" s="173">
        <f>+IF(AND(W127="Preventivo",BB127="Fuerte"),2,IF(AND(W127="Preventivo",BB127="Moderado"),1,0))</f>
        <v>0</v>
      </c>
      <c r="BD127" s="64">
        <f>+IF(AND(W127="Detectivo/Correctivo",$BB127="Fuerte"),2,IF(AND(W127="Detectivo/Correctivo",$BB127="Moderado"),1,IF(AND(W127="Preventivo",$BB127="Fuerte"),1,0)))</f>
        <v>0</v>
      </c>
      <c r="BE127" s="173" t="e">
        <f>+N127-BC127</f>
        <v>#N/A</v>
      </c>
      <c r="BF127" s="173" t="e">
        <f>+P127-BD127</f>
        <v>#N/A</v>
      </c>
      <c r="BG127" s="345" t="e">
        <f>+VLOOKUP(MIN(BE127,BE128,BE129,BE130,BE131,BE132),Listados!$J$18:$K$24,2,TRUE)</f>
        <v>#N/A</v>
      </c>
      <c r="BH127" s="345" t="e">
        <f>+VLOOKUP(MIN(BF127,BF128,BF129,BF130,BF131,BF132),Listados!$J$27:$K$32,2,TRUE)</f>
        <v>#N/A</v>
      </c>
      <c r="BI127" s="345" t="e">
        <f>IF(AND(BG127&lt;&gt;"",BH127&lt;&gt;""),VLOOKUP(BG127&amp;BH127,Listados!$M$3:$N$27,2,FALSE),"")</f>
        <v>#N/A</v>
      </c>
      <c r="BJ127" s="537" t="e">
        <f>+IF($R127="Asumir el riesgo","NA","")</f>
        <v>#N/A</v>
      </c>
      <c r="BK127" s="537" t="e">
        <f>+IF($R127="Asumir el riesgo","NA","")</f>
        <v>#N/A</v>
      </c>
      <c r="BL127" s="537" t="e">
        <f>+IF($R127="Asumir el riesgo","NA","")</f>
        <v>#N/A</v>
      </c>
      <c r="BM127" s="537" t="e">
        <f>+IF($R127="Asumir el riesgo","NA","")</f>
        <v>#N/A</v>
      </c>
    </row>
    <row r="128" spans="1:65" ht="65.099999999999994" customHeight="1" thickBot="1">
      <c r="A128" s="329"/>
      <c r="B128" s="514"/>
      <c r="C128" s="364"/>
      <c r="D128" s="233"/>
      <c r="E128" s="233"/>
      <c r="F128" s="433"/>
      <c r="G128" s="367"/>
      <c r="H128" s="100"/>
      <c r="I128" s="237"/>
      <c r="J128" s="100"/>
      <c r="K128" s="236"/>
      <c r="L128" s="222"/>
      <c r="M128" s="370"/>
      <c r="N128" s="349"/>
      <c r="O128" s="352"/>
      <c r="P128" s="349"/>
      <c r="Q128" s="353"/>
      <c r="R128" s="346"/>
      <c r="S128" s="208"/>
      <c r="T128" s="195"/>
      <c r="U128" s="47" t="s">
        <v>627</v>
      </c>
      <c r="V128" s="215"/>
      <c r="W128" s="215"/>
      <c r="X128" s="215"/>
      <c r="Y128" s="95" t="str">
        <f t="shared" si="13"/>
        <v/>
      </c>
      <c r="Z128" s="215"/>
      <c r="AA128" s="95" t="str">
        <f t="shared" si="14"/>
        <v/>
      </c>
      <c r="AB128" s="208"/>
      <c r="AC128" s="95" t="str">
        <f t="shared" si="15"/>
        <v/>
      </c>
      <c r="AD128" s="208"/>
      <c r="AE128" s="95" t="str">
        <f t="shared" si="16"/>
        <v/>
      </c>
      <c r="AF128" s="208"/>
      <c r="AG128" s="95" t="str">
        <f t="shared" si="17"/>
        <v/>
      </c>
      <c r="AH128" s="208"/>
      <c r="AI128" s="95" t="str">
        <f t="shared" si="18"/>
        <v/>
      </c>
      <c r="AJ128" s="208"/>
      <c r="AK128" s="27" t="str">
        <f t="shared" si="19"/>
        <v/>
      </c>
      <c r="AL128" s="48" t="str">
        <f t="shared" si="20"/>
        <v/>
      </c>
      <c r="AM128" s="48" t="str">
        <f t="shared" si="21"/>
        <v/>
      </c>
      <c r="AN128" s="293"/>
      <c r="AO128" s="293"/>
      <c r="AP128" s="293"/>
      <c r="AQ128" s="293"/>
      <c r="AR128" s="293"/>
      <c r="AS128" s="293"/>
      <c r="AT128" s="293"/>
      <c r="AU128" s="294" t="str">
        <f>IFERROR(VLOOKUP(AT128,'Seguridad Información'!$I$61:$J$65,2,0),"")</f>
        <v/>
      </c>
      <c r="AV128" s="79"/>
      <c r="AW128" s="78" t="str">
        <f t="shared" si="12"/>
        <v/>
      </c>
      <c r="AX128" s="77" t="str">
        <f t="shared" si="22"/>
        <v/>
      </c>
      <c r="AY128" s="21" t="str">
        <f>IFERROR(VLOOKUP((CONCATENATE(AM128,AX128)),Listados!$U$3:$V$11,2,FALSE),"")</f>
        <v/>
      </c>
      <c r="AZ128" s="48">
        <f t="shared" si="23"/>
        <v>100</v>
      </c>
      <c r="BA128" s="355"/>
      <c r="BB128" s="357"/>
      <c r="BC128" s="173">
        <f>+IF(AND(W128="Preventivo",BB127="Fuerte"),2,IF(AND(W128="Preventivo",BB127="Moderado"),1,0))</f>
        <v>0</v>
      </c>
      <c r="BD128" s="64">
        <f>+IF(AND(W128="Detectivo/Correctivo",$BB127="Fuerte"),2,IF(AND(W128="Detectivo/Correctivo",$BB128="Moderado"),1,IF(AND(W128="Preventivo",$BB127="Fuerte"),1,0)))</f>
        <v>0</v>
      </c>
      <c r="BE128" s="173" t="e">
        <f>+N127-BC128</f>
        <v>#N/A</v>
      </c>
      <c r="BF128" s="173" t="e">
        <f>+P127-BD128</f>
        <v>#N/A</v>
      </c>
      <c r="BG128" s="346"/>
      <c r="BH128" s="346"/>
      <c r="BI128" s="346"/>
      <c r="BJ128" s="538"/>
      <c r="BK128" s="538"/>
      <c r="BL128" s="538"/>
      <c r="BM128" s="538"/>
    </row>
    <row r="129" spans="1:65" ht="65.099999999999994" customHeight="1" thickBot="1">
      <c r="A129" s="329"/>
      <c r="B129" s="514"/>
      <c r="C129" s="364"/>
      <c r="D129" s="233"/>
      <c r="E129" s="233"/>
      <c r="F129" s="433"/>
      <c r="G129" s="367"/>
      <c r="H129" s="100"/>
      <c r="I129" s="237"/>
      <c r="J129" s="100"/>
      <c r="K129" s="236"/>
      <c r="L129" s="222"/>
      <c r="M129" s="370"/>
      <c r="N129" s="349"/>
      <c r="O129" s="352"/>
      <c r="P129" s="349"/>
      <c r="Q129" s="353"/>
      <c r="R129" s="346"/>
      <c r="S129" s="208"/>
      <c r="T129" s="96"/>
      <c r="U129" s="47" t="s">
        <v>627</v>
      </c>
      <c r="V129" s="215"/>
      <c r="W129" s="215"/>
      <c r="X129" s="215"/>
      <c r="Y129" s="95" t="str">
        <f t="shared" si="13"/>
        <v/>
      </c>
      <c r="Z129" s="215"/>
      <c r="AA129" s="95" t="str">
        <f t="shared" si="14"/>
        <v/>
      </c>
      <c r="AB129" s="208"/>
      <c r="AC129" s="95" t="str">
        <f t="shared" si="15"/>
        <v/>
      </c>
      <c r="AD129" s="208"/>
      <c r="AE129" s="95" t="str">
        <f t="shared" si="16"/>
        <v/>
      </c>
      <c r="AF129" s="208"/>
      <c r="AG129" s="95" t="str">
        <f t="shared" si="17"/>
        <v/>
      </c>
      <c r="AH129" s="208"/>
      <c r="AI129" s="95" t="str">
        <f t="shared" si="18"/>
        <v/>
      </c>
      <c r="AJ129" s="208"/>
      <c r="AK129" s="27" t="str">
        <f t="shared" si="19"/>
        <v/>
      </c>
      <c r="AL129" s="48" t="str">
        <f t="shared" si="20"/>
        <v/>
      </c>
      <c r="AM129" s="48" t="str">
        <f t="shared" si="21"/>
        <v/>
      </c>
      <c r="AN129" s="293"/>
      <c r="AO129" s="293"/>
      <c r="AP129" s="293"/>
      <c r="AQ129" s="293"/>
      <c r="AR129" s="293"/>
      <c r="AS129" s="293"/>
      <c r="AT129" s="293"/>
      <c r="AU129" s="294" t="str">
        <f>IFERROR(VLOOKUP(AT129,'Seguridad Información'!$I$61:$J$65,2,0),"")</f>
        <v/>
      </c>
      <c r="AV129" s="79"/>
      <c r="AW129" s="78" t="str">
        <f t="shared" si="12"/>
        <v/>
      </c>
      <c r="AX129" s="77" t="str">
        <f t="shared" si="22"/>
        <v/>
      </c>
      <c r="AY129" s="21" t="str">
        <f>IFERROR(VLOOKUP((CONCATENATE(AM129,AX129)),Listados!$U$3:$V$11,2,FALSE),"")</f>
        <v/>
      </c>
      <c r="AZ129" s="48">
        <f t="shared" si="23"/>
        <v>100</v>
      </c>
      <c r="BA129" s="355"/>
      <c r="BB129" s="357"/>
      <c r="BC129" s="173">
        <f>+IF(AND(W129="Preventivo",BB127="Fuerte"),2,IF(AND(W129="Preventivo",BB127="Moderado"),1,0))</f>
        <v>0</v>
      </c>
      <c r="BD129" s="64">
        <f>+IF(AND(W129="Detectivo/Correctivo",$BB127="Fuerte"),2,IF(AND(W129="Detectivo/Correctivo",$BB129="Moderado"),1,IF(AND(W129="Preventivo",$BB127="Fuerte"),1,0)))</f>
        <v>0</v>
      </c>
      <c r="BE129" s="173" t="e">
        <f>+N127-BC129</f>
        <v>#N/A</v>
      </c>
      <c r="BF129" s="173" t="e">
        <f>+P127-BD129</f>
        <v>#N/A</v>
      </c>
      <c r="BG129" s="346"/>
      <c r="BH129" s="346"/>
      <c r="BI129" s="346"/>
      <c r="BJ129" s="538"/>
      <c r="BK129" s="538"/>
      <c r="BL129" s="538"/>
      <c r="BM129" s="538"/>
    </row>
    <row r="130" spans="1:65" ht="65.099999999999994" customHeight="1" thickBot="1">
      <c r="A130" s="329"/>
      <c r="B130" s="514"/>
      <c r="C130" s="364"/>
      <c r="D130" s="233"/>
      <c r="E130" s="233"/>
      <c r="F130" s="433"/>
      <c r="G130" s="367"/>
      <c r="H130" s="100"/>
      <c r="I130" s="237"/>
      <c r="J130" s="100"/>
      <c r="K130" s="236"/>
      <c r="L130" s="222"/>
      <c r="M130" s="370"/>
      <c r="N130" s="349"/>
      <c r="O130" s="352"/>
      <c r="P130" s="349"/>
      <c r="Q130" s="353"/>
      <c r="R130" s="346"/>
      <c r="S130" s="208"/>
      <c r="T130" s="97"/>
      <c r="U130" s="47" t="s">
        <v>627</v>
      </c>
      <c r="V130" s="215"/>
      <c r="W130" s="215"/>
      <c r="X130" s="215"/>
      <c r="Y130" s="95" t="str">
        <f t="shared" si="13"/>
        <v/>
      </c>
      <c r="Z130" s="215"/>
      <c r="AA130" s="95" t="str">
        <f t="shared" si="14"/>
        <v/>
      </c>
      <c r="AB130" s="208"/>
      <c r="AC130" s="95" t="str">
        <f t="shared" si="15"/>
        <v/>
      </c>
      <c r="AD130" s="208"/>
      <c r="AE130" s="95" t="str">
        <f t="shared" si="16"/>
        <v/>
      </c>
      <c r="AF130" s="208"/>
      <c r="AG130" s="95" t="str">
        <f t="shared" si="17"/>
        <v/>
      </c>
      <c r="AH130" s="208"/>
      <c r="AI130" s="95" t="str">
        <f t="shared" si="18"/>
        <v/>
      </c>
      <c r="AJ130" s="208"/>
      <c r="AK130" s="27" t="str">
        <f t="shared" si="19"/>
        <v/>
      </c>
      <c r="AL130" s="48" t="str">
        <f t="shared" si="20"/>
        <v/>
      </c>
      <c r="AM130" s="48" t="str">
        <f t="shared" si="21"/>
        <v/>
      </c>
      <c r="AN130" s="293"/>
      <c r="AO130" s="293"/>
      <c r="AP130" s="293"/>
      <c r="AQ130" s="293"/>
      <c r="AR130" s="293"/>
      <c r="AS130" s="293"/>
      <c r="AT130" s="293"/>
      <c r="AU130" s="294" t="str">
        <f>IFERROR(VLOOKUP(AT130,'Seguridad Información'!$I$61:$J$65,2,0),"")</f>
        <v/>
      </c>
      <c r="AV130" s="79"/>
      <c r="AW130" s="78" t="str">
        <f t="shared" si="12"/>
        <v/>
      </c>
      <c r="AX130" s="77" t="str">
        <f t="shared" si="22"/>
        <v/>
      </c>
      <c r="AY130" s="21" t="str">
        <f>IFERROR(VLOOKUP((CONCATENATE(AM130,AX130)),Listados!$U$3:$V$11,2,FALSE),"")</f>
        <v/>
      </c>
      <c r="AZ130" s="48">
        <f t="shared" si="23"/>
        <v>100</v>
      </c>
      <c r="BA130" s="355"/>
      <c r="BB130" s="357"/>
      <c r="BC130" s="173">
        <f>+IF(AND(W130="Preventivo",BB127="Fuerte"),2,IF(AND(W130="Preventivo",BB127="Moderado"),1,0))</f>
        <v>0</v>
      </c>
      <c r="BD130" s="64">
        <f>+IF(AND(W130="Detectivo/Correctivo",$BB127="Fuerte"),2,IF(AND(W130="Detectivo/Correctivo",$BB130="Moderado"),1,IF(AND(W130="Preventivo",$BB127="Fuerte"),1,0)))</f>
        <v>0</v>
      </c>
      <c r="BE130" s="173" t="e">
        <f>+N127-BC130</f>
        <v>#N/A</v>
      </c>
      <c r="BF130" s="173" t="e">
        <f>+P127-BD130</f>
        <v>#N/A</v>
      </c>
      <c r="BG130" s="346"/>
      <c r="BH130" s="346"/>
      <c r="BI130" s="346"/>
      <c r="BJ130" s="538"/>
      <c r="BK130" s="538"/>
      <c r="BL130" s="538"/>
      <c r="BM130" s="538"/>
    </row>
    <row r="131" spans="1:65" ht="65.099999999999994" customHeight="1" thickBot="1">
      <c r="A131" s="329"/>
      <c r="B131" s="514"/>
      <c r="C131" s="364"/>
      <c r="D131" s="109"/>
      <c r="E131" s="109"/>
      <c r="F131" s="433"/>
      <c r="G131" s="367"/>
      <c r="H131" s="100"/>
      <c r="I131" s="237"/>
      <c r="J131" s="100"/>
      <c r="K131" s="29"/>
      <c r="L131" s="222"/>
      <c r="M131" s="370"/>
      <c r="N131" s="349"/>
      <c r="O131" s="352"/>
      <c r="P131" s="349"/>
      <c r="Q131" s="353"/>
      <c r="R131" s="346"/>
      <c r="S131" s="208"/>
      <c r="T131" s="195"/>
      <c r="U131" s="47" t="s">
        <v>627</v>
      </c>
      <c r="V131" s="215"/>
      <c r="W131" s="215"/>
      <c r="X131" s="215"/>
      <c r="Y131" s="95" t="str">
        <f t="shared" si="13"/>
        <v/>
      </c>
      <c r="Z131" s="215"/>
      <c r="AA131" s="95" t="str">
        <f t="shared" si="14"/>
        <v/>
      </c>
      <c r="AB131" s="208"/>
      <c r="AC131" s="95" t="str">
        <f t="shared" si="15"/>
        <v/>
      </c>
      <c r="AD131" s="208"/>
      <c r="AE131" s="95" t="str">
        <f t="shared" si="16"/>
        <v/>
      </c>
      <c r="AF131" s="208"/>
      <c r="AG131" s="95" t="str">
        <f t="shared" si="17"/>
        <v/>
      </c>
      <c r="AH131" s="208"/>
      <c r="AI131" s="95" t="str">
        <f t="shared" si="18"/>
        <v/>
      </c>
      <c r="AJ131" s="208"/>
      <c r="AK131" s="27" t="str">
        <f t="shared" si="19"/>
        <v/>
      </c>
      <c r="AL131" s="48" t="str">
        <f t="shared" si="20"/>
        <v/>
      </c>
      <c r="AM131" s="48" t="str">
        <f t="shared" si="21"/>
        <v/>
      </c>
      <c r="AN131" s="293"/>
      <c r="AO131" s="293"/>
      <c r="AP131" s="293"/>
      <c r="AQ131" s="293"/>
      <c r="AR131" s="293"/>
      <c r="AS131" s="293"/>
      <c r="AT131" s="293"/>
      <c r="AU131" s="294" t="str">
        <f>IFERROR(VLOOKUP(AT131,'Seguridad Información'!$I$61:$J$65,2,0),"")</f>
        <v/>
      </c>
      <c r="AV131" s="79"/>
      <c r="AW131" s="78" t="str">
        <f t="shared" si="12"/>
        <v/>
      </c>
      <c r="AX131" s="77" t="str">
        <f t="shared" si="22"/>
        <v/>
      </c>
      <c r="AY131" s="21" t="str">
        <f>IFERROR(VLOOKUP((CONCATENATE(AM131,AX131)),Listados!$U$3:$V$11,2,FALSE),"")</f>
        <v/>
      </c>
      <c r="AZ131" s="48">
        <f t="shared" si="23"/>
        <v>100</v>
      </c>
      <c r="BA131" s="355"/>
      <c r="BB131" s="357"/>
      <c r="BC131" s="173">
        <f>+IF(AND(W131="Preventivo",BB127="Fuerte"),2,IF(AND(W131="Preventivo",BB127="Moderado"),1,0))</f>
        <v>0</v>
      </c>
      <c r="BD131" s="64">
        <f>+IF(AND(W131="Detectivo/Correctivo",$BB127="Fuerte"),2,IF(AND(W131="Detectivo/Correctivo",$BB131="Moderado"),1,IF(AND(W131="Preventivo",$BB127="Fuerte"),1,0)))</f>
        <v>0</v>
      </c>
      <c r="BE131" s="173" t="e">
        <f>+N127-BC131</f>
        <v>#N/A</v>
      </c>
      <c r="BF131" s="173" t="e">
        <f>+P127-BD131</f>
        <v>#N/A</v>
      </c>
      <c r="BG131" s="346"/>
      <c r="BH131" s="346"/>
      <c r="BI131" s="346"/>
      <c r="BJ131" s="538"/>
      <c r="BK131" s="538"/>
      <c r="BL131" s="538"/>
      <c r="BM131" s="538"/>
    </row>
    <row r="132" spans="1:65" ht="65.099999999999994" customHeight="1" thickBot="1">
      <c r="A132" s="330"/>
      <c r="B132" s="514"/>
      <c r="C132" s="365"/>
      <c r="D132" s="106"/>
      <c r="E132" s="106"/>
      <c r="F132" s="434"/>
      <c r="G132" s="368"/>
      <c r="H132" s="100"/>
      <c r="I132" s="237"/>
      <c r="J132" s="100"/>
      <c r="K132" s="31"/>
      <c r="L132" s="222"/>
      <c r="M132" s="370"/>
      <c r="N132" s="350"/>
      <c r="O132" s="352"/>
      <c r="P132" s="350"/>
      <c r="Q132" s="353"/>
      <c r="R132" s="347"/>
      <c r="S132" s="208"/>
      <c r="T132" s="98"/>
      <c r="U132" s="47" t="s">
        <v>627</v>
      </c>
      <c r="V132" s="215"/>
      <c r="W132" s="215"/>
      <c r="X132" s="215"/>
      <c r="Y132" s="95" t="str">
        <f t="shared" si="13"/>
        <v/>
      </c>
      <c r="Z132" s="215"/>
      <c r="AA132" s="95" t="str">
        <f t="shared" si="14"/>
        <v/>
      </c>
      <c r="AB132" s="208"/>
      <c r="AC132" s="95" t="str">
        <f t="shared" si="15"/>
        <v/>
      </c>
      <c r="AD132" s="208"/>
      <c r="AE132" s="95" t="str">
        <f t="shared" si="16"/>
        <v/>
      </c>
      <c r="AF132" s="208"/>
      <c r="AG132" s="95" t="str">
        <f t="shared" si="17"/>
        <v/>
      </c>
      <c r="AH132" s="208"/>
      <c r="AI132" s="95" t="str">
        <f t="shared" si="18"/>
        <v/>
      </c>
      <c r="AJ132" s="208"/>
      <c r="AK132" s="27" t="str">
        <f t="shared" si="19"/>
        <v/>
      </c>
      <c r="AL132" s="48" t="str">
        <f t="shared" si="20"/>
        <v/>
      </c>
      <c r="AM132" s="48" t="str">
        <f t="shared" si="21"/>
        <v/>
      </c>
      <c r="AN132" s="293"/>
      <c r="AO132" s="293"/>
      <c r="AP132" s="293"/>
      <c r="AQ132" s="293"/>
      <c r="AR132" s="293"/>
      <c r="AS132" s="293"/>
      <c r="AT132" s="293"/>
      <c r="AU132" s="294" t="str">
        <f>IFERROR(VLOOKUP(AT132,'Seguridad Información'!$I$61:$J$65,2,0),"")</f>
        <v/>
      </c>
      <c r="AV132" s="79"/>
      <c r="AW132" s="78" t="str">
        <f t="shared" si="12"/>
        <v/>
      </c>
      <c r="AX132" s="77" t="str">
        <f t="shared" si="22"/>
        <v/>
      </c>
      <c r="AY132" s="21" t="str">
        <f>IFERROR(VLOOKUP((CONCATENATE(AM132,AX132)),Listados!$U$3:$V$11,2,FALSE),"")</f>
        <v/>
      </c>
      <c r="AZ132" s="48">
        <f t="shared" si="23"/>
        <v>100</v>
      </c>
      <c r="BA132" s="356"/>
      <c r="BB132" s="357"/>
      <c r="BC132" s="173">
        <f>+IF(AND(W132="Preventivo",BB127="Fuerte"),2,IF(AND(W132="Preventivo",BB127="Moderado"),1,0))</f>
        <v>0</v>
      </c>
      <c r="BD132" s="64">
        <f>+IF(AND(W132="Detectivo/Correctivo",$BB127="Fuerte"),2,IF(AND(W132="Detectivo/Correctivo",$BB132="Moderado"),1,IF(AND(W132="Preventivo",$BB127="Fuerte"),1,0)))</f>
        <v>0</v>
      </c>
      <c r="BE132" s="173" t="e">
        <f>+N127-BC132</f>
        <v>#N/A</v>
      </c>
      <c r="BF132" s="173" t="e">
        <f>+P127-BD132</f>
        <v>#N/A</v>
      </c>
      <c r="BG132" s="347"/>
      <c r="BH132" s="347"/>
      <c r="BI132" s="347"/>
      <c r="BJ132" s="539"/>
      <c r="BK132" s="539"/>
      <c r="BL132" s="539"/>
      <c r="BM132" s="539"/>
    </row>
    <row r="133" spans="1:65" ht="65.099999999999994" customHeight="1" thickBot="1">
      <c r="A133" s="328">
        <v>22</v>
      </c>
      <c r="B133" s="519"/>
      <c r="C133" s="371" t="str">
        <f>IFERROR(VLOOKUP(B133,Listados!B$3:C$20,2,FALSE),"")</f>
        <v/>
      </c>
      <c r="D133" s="107"/>
      <c r="E133" s="107"/>
      <c r="F133" s="432"/>
      <c r="G133" s="372"/>
      <c r="H133" s="100"/>
      <c r="I133" s="237"/>
      <c r="J133" s="100"/>
      <c r="K133" s="103"/>
      <c r="L133" s="17"/>
      <c r="M133" s="369"/>
      <c r="N133" s="348" t="e">
        <f>+VLOOKUP(M133,Listados!$K$8:$L$12,2,0)</f>
        <v>#N/A</v>
      </c>
      <c r="O133" s="351"/>
      <c r="P133" s="348" t="e">
        <f>+VLOOKUP(O133,Listados!$K$13:$L$17,2,0)</f>
        <v>#N/A</v>
      </c>
      <c r="Q133" s="347" t="str">
        <f>IF(AND(M133&lt;&gt;"",O133&lt;&gt;""),VLOOKUP(M133&amp;O133,Listados!$M$3:$N$27,2,FALSE),"")</f>
        <v/>
      </c>
      <c r="R133" s="345" t="e">
        <f>+VLOOKUP(Q133,Listados!$P$3:$Q$6,2,FALSE)</f>
        <v>#N/A</v>
      </c>
      <c r="S133" s="208"/>
      <c r="T133" s="94"/>
      <c r="U133" s="47" t="s">
        <v>627</v>
      </c>
      <c r="V133" s="215"/>
      <c r="W133" s="215"/>
      <c r="X133" s="215"/>
      <c r="Y133" s="95" t="str">
        <f t="shared" si="13"/>
        <v/>
      </c>
      <c r="Z133" s="215"/>
      <c r="AA133" s="95" t="str">
        <f t="shared" si="14"/>
        <v/>
      </c>
      <c r="AB133" s="208"/>
      <c r="AC133" s="95" t="str">
        <f t="shared" si="15"/>
        <v/>
      </c>
      <c r="AD133" s="208"/>
      <c r="AE133" s="95" t="str">
        <f t="shared" si="16"/>
        <v/>
      </c>
      <c r="AF133" s="208"/>
      <c r="AG133" s="95" t="str">
        <f t="shared" si="17"/>
        <v/>
      </c>
      <c r="AH133" s="208"/>
      <c r="AI133" s="95" t="str">
        <f t="shared" si="18"/>
        <v/>
      </c>
      <c r="AJ133" s="208"/>
      <c r="AK133" s="27" t="str">
        <f t="shared" si="19"/>
        <v/>
      </c>
      <c r="AL133" s="48" t="str">
        <f t="shared" si="20"/>
        <v/>
      </c>
      <c r="AM133" s="48" t="str">
        <f t="shared" si="21"/>
        <v/>
      </c>
      <c r="AN133" s="293"/>
      <c r="AO133" s="293"/>
      <c r="AP133" s="293"/>
      <c r="AQ133" s="293"/>
      <c r="AR133" s="293"/>
      <c r="AS133" s="293"/>
      <c r="AT133" s="293"/>
      <c r="AU133" s="294" t="str">
        <f>IFERROR(VLOOKUP(AT133,'Seguridad Información'!$I$61:$J$65,2,0),"")</f>
        <v/>
      </c>
      <c r="AV133" s="79"/>
      <c r="AW133" s="78" t="str">
        <f t="shared" si="12"/>
        <v/>
      </c>
      <c r="AX133" s="77" t="str">
        <f t="shared" si="22"/>
        <v/>
      </c>
      <c r="AY133" s="21" t="str">
        <f>IFERROR(VLOOKUP((CONCATENATE(AM133,AX133)),Listados!$U$3:$V$11,2,FALSE),"")</f>
        <v/>
      </c>
      <c r="AZ133" s="48">
        <f t="shared" si="23"/>
        <v>100</v>
      </c>
      <c r="BA133" s="354">
        <f>AVERAGE(AZ133:AZ138)</f>
        <v>100</v>
      </c>
      <c r="BB133" s="356" t="str">
        <f>IF(BA133&lt;=50, "Débil", IF(BA133&lt;=99,"Moderado","Fuerte"))</f>
        <v>Fuerte</v>
      </c>
      <c r="BC133" s="173">
        <f>+IF(AND(W133="Preventivo",BB133="Fuerte"),2,IF(AND(W133="Preventivo",BB133="Moderado"),1,0))</f>
        <v>0</v>
      </c>
      <c r="BD133" s="64">
        <f>+IF(AND(W133="Detectivo/Correctivo",$BB133="Fuerte"),2,IF(AND(W133="Detectivo/Correctivo",$BB133="Moderado"),1,IF(AND(W133="Preventivo",$BB133="Fuerte"),1,0)))</f>
        <v>0</v>
      </c>
      <c r="BE133" s="173" t="e">
        <f>+N133-BC133</f>
        <v>#N/A</v>
      </c>
      <c r="BF133" s="173" t="e">
        <f>+P133-BD133</f>
        <v>#N/A</v>
      </c>
      <c r="BG133" s="345" t="e">
        <f>+VLOOKUP(MIN(BE133,BE134,BE135,BE136,BE137,BE138),Listados!$J$18:$K$24,2,TRUE)</f>
        <v>#N/A</v>
      </c>
      <c r="BH133" s="345" t="e">
        <f>+VLOOKUP(MIN(BF133,BF134,BF135,BF136,BF137,BF138),Listados!$J$27:$K$32,2,TRUE)</f>
        <v>#N/A</v>
      </c>
      <c r="BI133" s="345" t="e">
        <f>IF(AND(BG133&lt;&gt;"",BH133&lt;&gt;""),VLOOKUP(BG133&amp;BH133,Listados!$M$3:$N$27,2,FALSE),"")</f>
        <v>#N/A</v>
      </c>
      <c r="BJ133" s="537" t="e">
        <f>+IF($R133="Asumir el riesgo","NA","")</f>
        <v>#N/A</v>
      </c>
      <c r="BK133" s="537" t="e">
        <f>+IF($R133="Asumir el riesgo","NA","")</f>
        <v>#N/A</v>
      </c>
      <c r="BL133" s="537" t="e">
        <f>+IF($R133="Asumir el riesgo","NA","")</f>
        <v>#N/A</v>
      </c>
      <c r="BM133" s="537" t="e">
        <f>+IF($R133="Asumir el riesgo","NA","")</f>
        <v>#N/A</v>
      </c>
    </row>
    <row r="134" spans="1:65" ht="65.099999999999994" customHeight="1" thickBot="1">
      <c r="A134" s="329"/>
      <c r="B134" s="514"/>
      <c r="C134" s="364"/>
      <c r="D134" s="233"/>
      <c r="E134" s="233"/>
      <c r="F134" s="433"/>
      <c r="G134" s="367"/>
      <c r="H134" s="100"/>
      <c r="I134" s="237"/>
      <c r="J134" s="100"/>
      <c r="K134" s="236"/>
      <c r="L134" s="222"/>
      <c r="M134" s="370"/>
      <c r="N134" s="349"/>
      <c r="O134" s="352"/>
      <c r="P134" s="349"/>
      <c r="Q134" s="353"/>
      <c r="R134" s="346"/>
      <c r="S134" s="208"/>
      <c r="T134" s="195"/>
      <c r="U134" s="47" t="s">
        <v>627</v>
      </c>
      <c r="V134" s="215"/>
      <c r="W134" s="215"/>
      <c r="X134" s="215"/>
      <c r="Y134" s="95" t="str">
        <f t="shared" si="13"/>
        <v/>
      </c>
      <c r="Z134" s="215"/>
      <c r="AA134" s="95" t="str">
        <f t="shared" si="14"/>
        <v/>
      </c>
      <c r="AB134" s="208"/>
      <c r="AC134" s="95" t="str">
        <f t="shared" si="15"/>
        <v/>
      </c>
      <c r="AD134" s="208"/>
      <c r="AE134" s="95" t="str">
        <f t="shared" si="16"/>
        <v/>
      </c>
      <c r="AF134" s="208"/>
      <c r="AG134" s="95" t="str">
        <f t="shared" si="17"/>
        <v/>
      </c>
      <c r="AH134" s="208"/>
      <c r="AI134" s="95" t="str">
        <f t="shared" si="18"/>
        <v/>
      </c>
      <c r="AJ134" s="208"/>
      <c r="AK134" s="27" t="str">
        <f t="shared" si="19"/>
        <v/>
      </c>
      <c r="AL134" s="48" t="str">
        <f t="shared" si="20"/>
        <v/>
      </c>
      <c r="AM134" s="48" t="str">
        <f t="shared" si="21"/>
        <v/>
      </c>
      <c r="AN134" s="293"/>
      <c r="AO134" s="293"/>
      <c r="AP134" s="293"/>
      <c r="AQ134" s="293"/>
      <c r="AR134" s="293"/>
      <c r="AS134" s="293"/>
      <c r="AT134" s="293"/>
      <c r="AU134" s="294" t="str">
        <f>IFERROR(VLOOKUP(AT134,'Seguridad Información'!$I$61:$J$65,2,0),"")</f>
        <v/>
      </c>
      <c r="AV134" s="79"/>
      <c r="AW134" s="78" t="str">
        <f t="shared" si="12"/>
        <v/>
      </c>
      <c r="AX134" s="77" t="str">
        <f t="shared" si="22"/>
        <v/>
      </c>
      <c r="AY134" s="21" t="str">
        <f>IFERROR(VLOOKUP((CONCATENATE(AM134,AX134)),Listados!$U$3:$V$11,2,FALSE),"")</f>
        <v/>
      </c>
      <c r="AZ134" s="48">
        <f t="shared" si="23"/>
        <v>100</v>
      </c>
      <c r="BA134" s="355"/>
      <c r="BB134" s="357"/>
      <c r="BC134" s="173">
        <f>+IF(AND(W134="Preventivo",BB133="Fuerte"),2,IF(AND(W134="Preventivo",BB133="Moderado"),1,0))</f>
        <v>0</v>
      </c>
      <c r="BD134" s="64">
        <f>+IF(AND(W134="Detectivo/Correctivo",$BB133="Fuerte"),2,IF(AND(W134="Detectivo/Correctivo",$BB134="Moderado"),1,IF(AND(W134="Preventivo",$BB133="Fuerte"),1,0)))</f>
        <v>0</v>
      </c>
      <c r="BE134" s="173" t="e">
        <f>+N133-BC134</f>
        <v>#N/A</v>
      </c>
      <c r="BF134" s="173" t="e">
        <f>+P133-BD134</f>
        <v>#N/A</v>
      </c>
      <c r="BG134" s="346"/>
      <c r="BH134" s="346"/>
      <c r="BI134" s="346"/>
      <c r="BJ134" s="538"/>
      <c r="BK134" s="538"/>
      <c r="BL134" s="538"/>
      <c r="BM134" s="538"/>
    </row>
    <row r="135" spans="1:65" ht="65.099999999999994" customHeight="1" thickBot="1">
      <c r="A135" s="329"/>
      <c r="B135" s="514"/>
      <c r="C135" s="364"/>
      <c r="D135" s="233"/>
      <c r="E135" s="233"/>
      <c r="F135" s="433"/>
      <c r="G135" s="367"/>
      <c r="H135" s="100"/>
      <c r="I135" s="237"/>
      <c r="J135" s="100"/>
      <c r="K135" s="236"/>
      <c r="L135" s="222"/>
      <c r="M135" s="370"/>
      <c r="N135" s="349"/>
      <c r="O135" s="352"/>
      <c r="P135" s="349"/>
      <c r="Q135" s="353"/>
      <c r="R135" s="346"/>
      <c r="S135" s="208"/>
      <c r="T135" s="96"/>
      <c r="U135" s="47" t="s">
        <v>627</v>
      </c>
      <c r="V135" s="215"/>
      <c r="W135" s="215"/>
      <c r="X135" s="215"/>
      <c r="Y135" s="95" t="str">
        <f t="shared" si="13"/>
        <v/>
      </c>
      <c r="Z135" s="215"/>
      <c r="AA135" s="95" t="str">
        <f t="shared" si="14"/>
        <v/>
      </c>
      <c r="AB135" s="208"/>
      <c r="AC135" s="95" t="str">
        <f t="shared" si="15"/>
        <v/>
      </c>
      <c r="AD135" s="208"/>
      <c r="AE135" s="95" t="str">
        <f t="shared" si="16"/>
        <v/>
      </c>
      <c r="AF135" s="208"/>
      <c r="AG135" s="95" t="str">
        <f t="shared" si="17"/>
        <v/>
      </c>
      <c r="AH135" s="208"/>
      <c r="AI135" s="95" t="str">
        <f t="shared" si="18"/>
        <v/>
      </c>
      <c r="AJ135" s="208"/>
      <c r="AK135" s="27" t="str">
        <f t="shared" si="19"/>
        <v/>
      </c>
      <c r="AL135" s="48" t="str">
        <f t="shared" si="20"/>
        <v/>
      </c>
      <c r="AM135" s="48" t="str">
        <f t="shared" si="21"/>
        <v/>
      </c>
      <c r="AN135" s="293"/>
      <c r="AO135" s="293"/>
      <c r="AP135" s="293"/>
      <c r="AQ135" s="293"/>
      <c r="AR135" s="293"/>
      <c r="AS135" s="293"/>
      <c r="AT135" s="293"/>
      <c r="AU135" s="294" t="str">
        <f>IFERROR(VLOOKUP(AT135,'Seguridad Información'!$I$61:$J$65,2,0),"")</f>
        <v/>
      </c>
      <c r="AV135" s="79"/>
      <c r="AW135" s="78" t="str">
        <f t="shared" ref="AW135:AW198" si="24">IFERROR(AVERAGE(AO135,AQ135,AS135,AU135),"")</f>
        <v/>
      </c>
      <c r="AX135" s="77" t="str">
        <f t="shared" si="22"/>
        <v/>
      </c>
      <c r="AY135" s="21" t="str">
        <f>IFERROR(VLOOKUP((CONCATENATE(AM135,AX135)),Listados!$U$3:$V$11,2,FALSE),"")</f>
        <v/>
      </c>
      <c r="AZ135" s="48">
        <f t="shared" si="23"/>
        <v>100</v>
      </c>
      <c r="BA135" s="355"/>
      <c r="BB135" s="357"/>
      <c r="BC135" s="173">
        <f>+IF(AND(W135="Preventivo",BB133="Fuerte"),2,IF(AND(W135="Preventivo",BB133="Moderado"),1,0))</f>
        <v>0</v>
      </c>
      <c r="BD135" s="64">
        <f>+IF(AND(W135="Detectivo/Correctivo",$BB133="Fuerte"),2,IF(AND(W135="Detectivo/Correctivo",$BB135="Moderado"),1,IF(AND(W135="Preventivo",$BB133="Fuerte"),1,0)))</f>
        <v>0</v>
      </c>
      <c r="BE135" s="173" t="e">
        <f>+N133-BC135</f>
        <v>#N/A</v>
      </c>
      <c r="BF135" s="173" t="e">
        <f>+P133-BD135</f>
        <v>#N/A</v>
      </c>
      <c r="BG135" s="346"/>
      <c r="BH135" s="346"/>
      <c r="BI135" s="346"/>
      <c r="BJ135" s="538"/>
      <c r="BK135" s="538"/>
      <c r="BL135" s="538"/>
      <c r="BM135" s="538"/>
    </row>
    <row r="136" spans="1:65" ht="65.099999999999994" customHeight="1" thickBot="1">
      <c r="A136" s="329"/>
      <c r="B136" s="514"/>
      <c r="C136" s="364"/>
      <c r="D136" s="233"/>
      <c r="E136" s="233"/>
      <c r="F136" s="433"/>
      <c r="G136" s="367"/>
      <c r="H136" s="100"/>
      <c r="I136" s="237"/>
      <c r="J136" s="100"/>
      <c r="K136" s="236"/>
      <c r="L136" s="222"/>
      <c r="M136" s="370"/>
      <c r="N136" s="349"/>
      <c r="O136" s="352"/>
      <c r="P136" s="349"/>
      <c r="Q136" s="353"/>
      <c r="R136" s="346"/>
      <c r="S136" s="208"/>
      <c r="T136" s="97"/>
      <c r="U136" s="47" t="s">
        <v>627</v>
      </c>
      <c r="V136" s="215"/>
      <c r="W136" s="215"/>
      <c r="X136" s="215"/>
      <c r="Y136" s="95" t="str">
        <f t="shared" ref="Y136:Y199" si="25">+IF(X136="si",15,"")</f>
        <v/>
      </c>
      <c r="Z136" s="215"/>
      <c r="AA136" s="95" t="str">
        <f t="shared" ref="AA136:AA199" si="26">+IF(Z136="si",15,"")</f>
        <v/>
      </c>
      <c r="AB136" s="208"/>
      <c r="AC136" s="95" t="str">
        <f t="shared" ref="AC136:AC199" si="27">+IF(AB136="si",15,"")</f>
        <v/>
      </c>
      <c r="AD136" s="208"/>
      <c r="AE136" s="95" t="str">
        <f t="shared" ref="AE136:AE199" si="28">+IF(AD136="si",15,"")</f>
        <v/>
      </c>
      <c r="AF136" s="208"/>
      <c r="AG136" s="95" t="str">
        <f t="shared" ref="AG136:AG199" si="29">+IF(AF136="si",15,"")</f>
        <v/>
      </c>
      <c r="AH136" s="208"/>
      <c r="AI136" s="95" t="str">
        <f t="shared" ref="AI136:AI199" si="30">+IF(AH136="si",15,"")</f>
        <v/>
      </c>
      <c r="AJ136" s="208"/>
      <c r="AK136" s="27" t="str">
        <f t="shared" ref="AK136:AK199" si="31">+IF(AJ136="Completa",10,IF(AJ136="Incompleta",5,""))</f>
        <v/>
      </c>
      <c r="AL136" s="48" t="str">
        <f t="shared" ref="AL136:AL199" si="32">IF((SUM(Y136,AA136,AC136,AE136,AG136,AI136,AK136)=0),"",(SUM(Y136,AA136,AC136,AE136,AG136,AI136,AK136)))</f>
        <v/>
      </c>
      <c r="AM136" s="48" t="str">
        <f t="shared" ref="AM136:AM199" si="33">IF(AL136&lt;=85,"Débil",IF(AL136&lt;=95,"Moderado",IF(AL136=100,"Fuerte","")))</f>
        <v/>
      </c>
      <c r="AN136" s="293"/>
      <c r="AO136" s="293"/>
      <c r="AP136" s="293"/>
      <c r="AQ136" s="293"/>
      <c r="AR136" s="293"/>
      <c r="AS136" s="293"/>
      <c r="AT136" s="293"/>
      <c r="AU136" s="294" t="str">
        <f>IFERROR(VLOOKUP(AT136,'Seguridad Información'!$I$61:$J$65,2,0),"")</f>
        <v/>
      </c>
      <c r="AV136" s="79"/>
      <c r="AW136" s="78" t="str">
        <f t="shared" si="24"/>
        <v/>
      </c>
      <c r="AX136" s="77" t="str">
        <f t="shared" ref="AX136:AX199" si="34">IF(AW136&lt;=80,"Débil",IF(AW136&lt;=90,"Moderado",IF(AW136=100,"Fuerte","")))</f>
        <v/>
      </c>
      <c r="AY136" s="21" t="str">
        <f>IFERROR(VLOOKUP((CONCATENATE(AM136,AX136)),Listados!$U$3:$V$11,2,FALSE),"")</f>
        <v/>
      </c>
      <c r="AZ136" s="48">
        <f t="shared" si="23"/>
        <v>100</v>
      </c>
      <c r="BA136" s="355"/>
      <c r="BB136" s="357"/>
      <c r="BC136" s="173">
        <f>+IF(AND(W136="Preventivo",BB133="Fuerte"),2,IF(AND(W136="Preventivo",BB133="Moderado"),1,0))</f>
        <v>0</v>
      </c>
      <c r="BD136" s="64">
        <f>+IF(AND(W136="Detectivo/Correctivo",$BB133="Fuerte"),2,IF(AND(W136="Detectivo/Correctivo",$BB136="Moderado"),1,IF(AND(W136="Preventivo",$BB133="Fuerte"),1,0)))</f>
        <v>0</v>
      </c>
      <c r="BE136" s="173" t="e">
        <f>+N133-BC136</f>
        <v>#N/A</v>
      </c>
      <c r="BF136" s="173" t="e">
        <f>+P133-BD136</f>
        <v>#N/A</v>
      </c>
      <c r="BG136" s="346"/>
      <c r="BH136" s="346"/>
      <c r="BI136" s="346"/>
      <c r="BJ136" s="538"/>
      <c r="BK136" s="538"/>
      <c r="BL136" s="538"/>
      <c r="BM136" s="538"/>
    </row>
    <row r="137" spans="1:65" ht="65.099999999999994" customHeight="1" thickBot="1">
      <c r="A137" s="329"/>
      <c r="B137" s="514"/>
      <c r="C137" s="364"/>
      <c r="D137" s="109"/>
      <c r="E137" s="109"/>
      <c r="F137" s="433"/>
      <c r="G137" s="367"/>
      <c r="H137" s="100"/>
      <c r="I137" s="237"/>
      <c r="J137" s="100"/>
      <c r="K137" s="29"/>
      <c r="L137" s="222"/>
      <c r="M137" s="370"/>
      <c r="N137" s="349"/>
      <c r="O137" s="352"/>
      <c r="P137" s="349"/>
      <c r="Q137" s="353"/>
      <c r="R137" s="346"/>
      <c r="S137" s="208"/>
      <c r="T137" s="195"/>
      <c r="U137" s="47" t="s">
        <v>627</v>
      </c>
      <c r="V137" s="215"/>
      <c r="W137" s="215"/>
      <c r="X137" s="215"/>
      <c r="Y137" s="95" t="str">
        <f t="shared" si="25"/>
        <v/>
      </c>
      <c r="Z137" s="215"/>
      <c r="AA137" s="95" t="str">
        <f t="shared" si="26"/>
        <v/>
      </c>
      <c r="AB137" s="208"/>
      <c r="AC137" s="95" t="str">
        <f t="shared" si="27"/>
        <v/>
      </c>
      <c r="AD137" s="208"/>
      <c r="AE137" s="95" t="str">
        <f t="shared" si="28"/>
        <v/>
      </c>
      <c r="AF137" s="208"/>
      <c r="AG137" s="95" t="str">
        <f t="shared" si="29"/>
        <v/>
      </c>
      <c r="AH137" s="208"/>
      <c r="AI137" s="95" t="str">
        <f t="shared" si="30"/>
        <v/>
      </c>
      <c r="AJ137" s="208"/>
      <c r="AK137" s="27" t="str">
        <f t="shared" si="31"/>
        <v/>
      </c>
      <c r="AL137" s="48" t="str">
        <f t="shared" si="32"/>
        <v/>
      </c>
      <c r="AM137" s="48" t="str">
        <f t="shared" si="33"/>
        <v/>
      </c>
      <c r="AN137" s="293"/>
      <c r="AO137" s="293"/>
      <c r="AP137" s="293"/>
      <c r="AQ137" s="293"/>
      <c r="AR137" s="293"/>
      <c r="AS137" s="293"/>
      <c r="AT137" s="293"/>
      <c r="AU137" s="294" t="str">
        <f>IFERROR(VLOOKUP(AT137,'Seguridad Información'!$I$61:$J$65,2,0),"")</f>
        <v/>
      </c>
      <c r="AV137" s="79"/>
      <c r="AW137" s="78" t="str">
        <f t="shared" si="24"/>
        <v/>
      </c>
      <c r="AX137" s="77" t="str">
        <f t="shared" si="34"/>
        <v/>
      </c>
      <c r="AY137" s="21" t="str">
        <f>IFERROR(VLOOKUP((CONCATENATE(AM137,AX137)),Listados!$U$3:$V$11,2,FALSE),"")</f>
        <v/>
      </c>
      <c r="AZ137" s="48">
        <f t="shared" ref="AZ137:AZ200" si="35">IF(ISBLANK(AY137),"",IF(AY137="Débil", 0, IF(AY137="Moderado",50,100)))</f>
        <v>100</v>
      </c>
      <c r="BA137" s="355"/>
      <c r="BB137" s="357"/>
      <c r="BC137" s="173">
        <f>+IF(AND(W137="Preventivo",BB133="Fuerte"),2,IF(AND(W137="Preventivo",BB133="Moderado"),1,0))</f>
        <v>0</v>
      </c>
      <c r="BD137" s="64">
        <f>+IF(AND(W137="Detectivo/Correctivo",$BB133="Fuerte"),2,IF(AND(W137="Detectivo/Correctivo",$BB137="Moderado"),1,IF(AND(W137="Preventivo",$BB133="Fuerte"),1,0)))</f>
        <v>0</v>
      </c>
      <c r="BE137" s="173" t="e">
        <f>+N133-BC137</f>
        <v>#N/A</v>
      </c>
      <c r="BF137" s="173" t="e">
        <f>+P133-BD137</f>
        <v>#N/A</v>
      </c>
      <c r="BG137" s="346"/>
      <c r="BH137" s="346"/>
      <c r="BI137" s="346"/>
      <c r="BJ137" s="538"/>
      <c r="BK137" s="538"/>
      <c r="BL137" s="538"/>
      <c r="BM137" s="538"/>
    </row>
    <row r="138" spans="1:65" ht="65.099999999999994" customHeight="1" thickBot="1">
      <c r="A138" s="330"/>
      <c r="B138" s="514"/>
      <c r="C138" s="365"/>
      <c r="D138" s="106"/>
      <c r="E138" s="106"/>
      <c r="F138" s="434"/>
      <c r="G138" s="368"/>
      <c r="H138" s="100"/>
      <c r="I138" s="237"/>
      <c r="J138" s="100"/>
      <c r="K138" s="31"/>
      <c r="L138" s="222"/>
      <c r="M138" s="370"/>
      <c r="N138" s="350"/>
      <c r="O138" s="352"/>
      <c r="P138" s="350"/>
      <c r="Q138" s="353"/>
      <c r="R138" s="347"/>
      <c r="S138" s="208"/>
      <c r="T138" s="98"/>
      <c r="U138" s="47" t="s">
        <v>627</v>
      </c>
      <c r="V138" s="215"/>
      <c r="W138" s="215"/>
      <c r="X138" s="215"/>
      <c r="Y138" s="95" t="str">
        <f t="shared" si="25"/>
        <v/>
      </c>
      <c r="Z138" s="215"/>
      <c r="AA138" s="95" t="str">
        <f t="shared" si="26"/>
        <v/>
      </c>
      <c r="AB138" s="208"/>
      <c r="AC138" s="95" t="str">
        <f t="shared" si="27"/>
        <v/>
      </c>
      <c r="AD138" s="208"/>
      <c r="AE138" s="95" t="str">
        <f t="shared" si="28"/>
        <v/>
      </c>
      <c r="AF138" s="208"/>
      <c r="AG138" s="95" t="str">
        <f t="shared" si="29"/>
        <v/>
      </c>
      <c r="AH138" s="208"/>
      <c r="AI138" s="95" t="str">
        <f t="shared" si="30"/>
        <v/>
      </c>
      <c r="AJ138" s="208"/>
      <c r="AK138" s="27" t="str">
        <f t="shared" si="31"/>
        <v/>
      </c>
      <c r="AL138" s="48" t="str">
        <f t="shared" si="32"/>
        <v/>
      </c>
      <c r="AM138" s="48" t="str">
        <f t="shared" si="33"/>
        <v/>
      </c>
      <c r="AN138" s="293"/>
      <c r="AO138" s="293"/>
      <c r="AP138" s="293"/>
      <c r="AQ138" s="293"/>
      <c r="AR138" s="293"/>
      <c r="AS138" s="293"/>
      <c r="AT138" s="293"/>
      <c r="AU138" s="294" t="str">
        <f>IFERROR(VLOOKUP(AT138,'Seguridad Información'!$I$61:$J$65,2,0),"")</f>
        <v/>
      </c>
      <c r="AV138" s="79"/>
      <c r="AW138" s="78" t="str">
        <f t="shared" si="24"/>
        <v/>
      </c>
      <c r="AX138" s="77" t="str">
        <f t="shared" si="34"/>
        <v/>
      </c>
      <c r="AY138" s="21" t="str">
        <f>IFERROR(VLOOKUP((CONCATENATE(AM138,AX138)),Listados!$U$3:$V$11,2,FALSE),"")</f>
        <v/>
      </c>
      <c r="AZ138" s="48">
        <f t="shared" si="35"/>
        <v>100</v>
      </c>
      <c r="BA138" s="356"/>
      <c r="BB138" s="357"/>
      <c r="BC138" s="173">
        <f>+IF(AND(W138="Preventivo",BB133="Fuerte"),2,IF(AND(W138="Preventivo",BB133="Moderado"),1,0))</f>
        <v>0</v>
      </c>
      <c r="BD138" s="64">
        <f>+IF(AND(W138="Detectivo/Correctivo",$BB133="Fuerte"),2,IF(AND(W138="Detectivo/Correctivo",$BB138="Moderado"),1,IF(AND(W138="Preventivo",$BB133="Fuerte"),1,0)))</f>
        <v>0</v>
      </c>
      <c r="BE138" s="173" t="e">
        <f>+N133-BC138</f>
        <v>#N/A</v>
      </c>
      <c r="BF138" s="173" t="e">
        <f>+P133-BD138</f>
        <v>#N/A</v>
      </c>
      <c r="BG138" s="347"/>
      <c r="BH138" s="347"/>
      <c r="BI138" s="347"/>
      <c r="BJ138" s="539"/>
      <c r="BK138" s="539"/>
      <c r="BL138" s="539"/>
      <c r="BM138" s="539"/>
    </row>
    <row r="139" spans="1:65" ht="65.099999999999994" customHeight="1" thickBot="1">
      <c r="A139" s="328">
        <v>23</v>
      </c>
      <c r="B139" s="519"/>
      <c r="C139" s="371" t="str">
        <f>IFERROR(VLOOKUP(B139,Listados!B$3:C$20,2,FALSE),"")</f>
        <v/>
      </c>
      <c r="D139" s="107"/>
      <c r="E139" s="107"/>
      <c r="F139" s="432"/>
      <c r="G139" s="372"/>
      <c r="H139" s="100"/>
      <c r="I139" s="237"/>
      <c r="J139" s="100"/>
      <c r="K139" s="103"/>
      <c r="L139" s="17"/>
      <c r="M139" s="369"/>
      <c r="N139" s="348" t="e">
        <f>+VLOOKUP(M139,Listados!$K$8:$L$12,2,0)</f>
        <v>#N/A</v>
      </c>
      <c r="O139" s="351"/>
      <c r="P139" s="348" t="e">
        <f>+VLOOKUP(O139,Listados!$K$13:$L$17,2,0)</f>
        <v>#N/A</v>
      </c>
      <c r="Q139" s="347" t="str">
        <f>IF(AND(M139&lt;&gt;"",O139&lt;&gt;""),VLOOKUP(M139&amp;O139,Listados!$M$3:$N$27,2,FALSE),"")</f>
        <v/>
      </c>
      <c r="R139" s="345" t="e">
        <f>+VLOOKUP(Q139,Listados!$P$3:$Q$6,2,FALSE)</f>
        <v>#N/A</v>
      </c>
      <c r="S139" s="208"/>
      <c r="T139" s="94"/>
      <c r="U139" s="47" t="s">
        <v>627</v>
      </c>
      <c r="V139" s="215"/>
      <c r="W139" s="215"/>
      <c r="X139" s="215"/>
      <c r="Y139" s="95" t="str">
        <f t="shared" si="25"/>
        <v/>
      </c>
      <c r="Z139" s="215"/>
      <c r="AA139" s="95" t="str">
        <f t="shared" si="26"/>
        <v/>
      </c>
      <c r="AB139" s="208"/>
      <c r="AC139" s="95" t="str">
        <f t="shared" si="27"/>
        <v/>
      </c>
      <c r="AD139" s="208"/>
      <c r="AE139" s="95" t="str">
        <f t="shared" si="28"/>
        <v/>
      </c>
      <c r="AF139" s="208"/>
      <c r="AG139" s="95" t="str">
        <f t="shared" si="29"/>
        <v/>
      </c>
      <c r="AH139" s="208"/>
      <c r="AI139" s="95" t="str">
        <f t="shared" si="30"/>
        <v/>
      </c>
      <c r="AJ139" s="208"/>
      <c r="AK139" s="27" t="str">
        <f t="shared" si="31"/>
        <v/>
      </c>
      <c r="AL139" s="48" t="str">
        <f t="shared" si="32"/>
        <v/>
      </c>
      <c r="AM139" s="48" t="str">
        <f t="shared" si="33"/>
        <v/>
      </c>
      <c r="AN139" s="293"/>
      <c r="AO139" s="293"/>
      <c r="AP139" s="293"/>
      <c r="AQ139" s="293"/>
      <c r="AR139" s="293"/>
      <c r="AS139" s="293"/>
      <c r="AT139" s="293"/>
      <c r="AU139" s="294" t="str">
        <f>IFERROR(VLOOKUP(AT139,'Seguridad Información'!$I$61:$J$65,2,0),"")</f>
        <v/>
      </c>
      <c r="AV139" s="79"/>
      <c r="AW139" s="78" t="str">
        <f t="shared" si="24"/>
        <v/>
      </c>
      <c r="AX139" s="77" t="str">
        <f t="shared" si="34"/>
        <v/>
      </c>
      <c r="AY139" s="21" t="str">
        <f>IFERROR(VLOOKUP((CONCATENATE(AM139,AX139)),Listados!$U$3:$V$11,2,FALSE),"")</f>
        <v/>
      </c>
      <c r="AZ139" s="48">
        <f t="shared" si="35"/>
        <v>100</v>
      </c>
      <c r="BA139" s="354">
        <f>AVERAGE(AZ139:AZ144)</f>
        <v>100</v>
      </c>
      <c r="BB139" s="356" t="str">
        <f>IF(BA139&lt;=50, "Débil", IF(BA139&lt;=99,"Moderado","Fuerte"))</f>
        <v>Fuerte</v>
      </c>
      <c r="BC139" s="173">
        <f>+IF(AND(W139="Preventivo",BB139="Fuerte"),2,IF(AND(W139="Preventivo",BB139="Moderado"),1,0))</f>
        <v>0</v>
      </c>
      <c r="BD139" s="64">
        <f>+IF(AND(W139="Detectivo/Correctivo",$BB139="Fuerte"),2,IF(AND(W139="Detectivo/Correctivo",$BB139="Moderado"),1,IF(AND(W139="Preventivo",$BB139="Fuerte"),1,0)))</f>
        <v>0</v>
      </c>
      <c r="BE139" s="173" t="e">
        <f>+N139-BC139</f>
        <v>#N/A</v>
      </c>
      <c r="BF139" s="173" t="e">
        <f>+P139-BD139</f>
        <v>#N/A</v>
      </c>
      <c r="BG139" s="345" t="e">
        <f>+VLOOKUP(MIN(BE139,BE140,BE141,BE142,BE143,BE144),Listados!$J$18:$K$24,2,TRUE)</f>
        <v>#N/A</v>
      </c>
      <c r="BH139" s="345" t="e">
        <f>+VLOOKUP(MIN(BF139,BF140,BF141,BF142,BF143,BF144),Listados!$J$27:$K$32,2,TRUE)</f>
        <v>#N/A</v>
      </c>
      <c r="BI139" s="345" t="e">
        <f>IF(AND(BG139&lt;&gt;"",BH139&lt;&gt;""),VLOOKUP(BG139&amp;BH139,Listados!$M$3:$N$27,2,FALSE),"")</f>
        <v>#N/A</v>
      </c>
      <c r="BJ139" s="537" t="e">
        <f>+IF($R139="Asumir el riesgo","NA","")</f>
        <v>#N/A</v>
      </c>
      <c r="BK139" s="537" t="e">
        <f>+IF($R139="Asumir el riesgo","NA","")</f>
        <v>#N/A</v>
      </c>
      <c r="BL139" s="537" t="e">
        <f>+IF($R139="Asumir el riesgo","NA","")</f>
        <v>#N/A</v>
      </c>
      <c r="BM139" s="537" t="e">
        <f>+IF($R139="Asumir el riesgo","NA","")</f>
        <v>#N/A</v>
      </c>
    </row>
    <row r="140" spans="1:65" ht="65.099999999999994" customHeight="1" thickBot="1">
      <c r="A140" s="329"/>
      <c r="B140" s="514"/>
      <c r="C140" s="364"/>
      <c r="D140" s="233"/>
      <c r="E140" s="233"/>
      <c r="F140" s="433"/>
      <c r="G140" s="367"/>
      <c r="H140" s="100"/>
      <c r="I140" s="237"/>
      <c r="J140" s="100"/>
      <c r="K140" s="236"/>
      <c r="L140" s="222"/>
      <c r="M140" s="370"/>
      <c r="N140" s="349"/>
      <c r="O140" s="352"/>
      <c r="P140" s="349"/>
      <c r="Q140" s="353"/>
      <c r="R140" s="346"/>
      <c r="S140" s="208"/>
      <c r="T140" s="195"/>
      <c r="U140" s="47" t="s">
        <v>627</v>
      </c>
      <c r="V140" s="215"/>
      <c r="W140" s="215"/>
      <c r="X140" s="215"/>
      <c r="Y140" s="95" t="str">
        <f t="shared" si="25"/>
        <v/>
      </c>
      <c r="Z140" s="215"/>
      <c r="AA140" s="95" t="str">
        <f t="shared" si="26"/>
        <v/>
      </c>
      <c r="AB140" s="208"/>
      <c r="AC140" s="95" t="str">
        <f t="shared" si="27"/>
        <v/>
      </c>
      <c r="AD140" s="208"/>
      <c r="AE140" s="95" t="str">
        <f t="shared" si="28"/>
        <v/>
      </c>
      <c r="AF140" s="208"/>
      <c r="AG140" s="95" t="str">
        <f t="shared" si="29"/>
        <v/>
      </c>
      <c r="AH140" s="208"/>
      <c r="AI140" s="95" t="str">
        <f t="shared" si="30"/>
        <v/>
      </c>
      <c r="AJ140" s="208"/>
      <c r="AK140" s="27" t="str">
        <f t="shared" si="31"/>
        <v/>
      </c>
      <c r="AL140" s="48" t="str">
        <f t="shared" si="32"/>
        <v/>
      </c>
      <c r="AM140" s="48" t="str">
        <f t="shared" si="33"/>
        <v/>
      </c>
      <c r="AN140" s="293"/>
      <c r="AO140" s="293"/>
      <c r="AP140" s="293"/>
      <c r="AQ140" s="293"/>
      <c r="AR140" s="293"/>
      <c r="AS140" s="293"/>
      <c r="AT140" s="293"/>
      <c r="AU140" s="294" t="str">
        <f>IFERROR(VLOOKUP(AT140,'Seguridad Información'!$I$61:$J$65,2,0),"")</f>
        <v/>
      </c>
      <c r="AV140" s="79"/>
      <c r="AW140" s="78" t="str">
        <f t="shared" si="24"/>
        <v/>
      </c>
      <c r="AX140" s="77" t="str">
        <f t="shared" si="34"/>
        <v/>
      </c>
      <c r="AY140" s="21" t="str">
        <f>IFERROR(VLOOKUP((CONCATENATE(AM140,AX140)),Listados!$U$3:$V$11,2,FALSE),"")</f>
        <v/>
      </c>
      <c r="AZ140" s="48">
        <f t="shared" si="35"/>
        <v>100</v>
      </c>
      <c r="BA140" s="355"/>
      <c r="BB140" s="357"/>
      <c r="BC140" s="173">
        <f>+IF(AND(W140="Preventivo",BB139="Fuerte"),2,IF(AND(W140="Preventivo",BB139="Moderado"),1,0))</f>
        <v>0</v>
      </c>
      <c r="BD140" s="64">
        <f>+IF(AND(W140="Detectivo/Correctivo",$BB139="Fuerte"),2,IF(AND(W140="Detectivo/Correctivo",$BB140="Moderado"),1,IF(AND(W140="Preventivo",$BB139="Fuerte"),1,0)))</f>
        <v>0</v>
      </c>
      <c r="BE140" s="173" t="e">
        <f>+N139-BC140</f>
        <v>#N/A</v>
      </c>
      <c r="BF140" s="173" t="e">
        <f>+P139-BD140</f>
        <v>#N/A</v>
      </c>
      <c r="BG140" s="346"/>
      <c r="BH140" s="346"/>
      <c r="BI140" s="346"/>
      <c r="BJ140" s="538"/>
      <c r="BK140" s="538"/>
      <c r="BL140" s="538"/>
      <c r="BM140" s="538"/>
    </row>
    <row r="141" spans="1:65" ht="65.099999999999994" customHeight="1" thickBot="1">
      <c r="A141" s="329"/>
      <c r="B141" s="514"/>
      <c r="C141" s="364"/>
      <c r="D141" s="233"/>
      <c r="E141" s="233"/>
      <c r="F141" s="433"/>
      <c r="G141" s="367"/>
      <c r="H141" s="100"/>
      <c r="I141" s="237"/>
      <c r="J141" s="100"/>
      <c r="K141" s="236"/>
      <c r="L141" s="222"/>
      <c r="M141" s="370"/>
      <c r="N141" s="349"/>
      <c r="O141" s="352"/>
      <c r="P141" s="349"/>
      <c r="Q141" s="353"/>
      <c r="R141" s="346"/>
      <c r="S141" s="208"/>
      <c r="T141" s="96"/>
      <c r="U141" s="47" t="s">
        <v>627</v>
      </c>
      <c r="V141" s="215"/>
      <c r="W141" s="215"/>
      <c r="X141" s="215"/>
      <c r="Y141" s="95" t="str">
        <f t="shared" si="25"/>
        <v/>
      </c>
      <c r="Z141" s="215"/>
      <c r="AA141" s="95" t="str">
        <f t="shared" si="26"/>
        <v/>
      </c>
      <c r="AB141" s="208"/>
      <c r="AC141" s="95" t="str">
        <f t="shared" si="27"/>
        <v/>
      </c>
      <c r="AD141" s="208"/>
      <c r="AE141" s="95" t="str">
        <f t="shared" si="28"/>
        <v/>
      </c>
      <c r="AF141" s="208"/>
      <c r="AG141" s="95" t="str">
        <f t="shared" si="29"/>
        <v/>
      </c>
      <c r="AH141" s="208"/>
      <c r="AI141" s="95" t="str">
        <f t="shared" si="30"/>
        <v/>
      </c>
      <c r="AJ141" s="208"/>
      <c r="AK141" s="27" t="str">
        <f t="shared" si="31"/>
        <v/>
      </c>
      <c r="AL141" s="48" t="str">
        <f t="shared" si="32"/>
        <v/>
      </c>
      <c r="AM141" s="48" t="str">
        <f t="shared" si="33"/>
        <v/>
      </c>
      <c r="AN141" s="293"/>
      <c r="AO141" s="293"/>
      <c r="AP141" s="293"/>
      <c r="AQ141" s="293"/>
      <c r="AR141" s="293"/>
      <c r="AS141" s="293"/>
      <c r="AT141" s="293"/>
      <c r="AU141" s="294" t="str">
        <f>IFERROR(VLOOKUP(AT141,'Seguridad Información'!$I$61:$J$65,2,0),"")</f>
        <v/>
      </c>
      <c r="AV141" s="79"/>
      <c r="AW141" s="78" t="str">
        <f t="shared" si="24"/>
        <v/>
      </c>
      <c r="AX141" s="77" t="str">
        <f t="shared" si="34"/>
        <v/>
      </c>
      <c r="AY141" s="21" t="str">
        <f>IFERROR(VLOOKUP((CONCATENATE(AM141,AX141)),Listados!$U$3:$V$11,2,FALSE),"")</f>
        <v/>
      </c>
      <c r="AZ141" s="48">
        <f t="shared" si="35"/>
        <v>100</v>
      </c>
      <c r="BA141" s="355"/>
      <c r="BB141" s="357"/>
      <c r="BC141" s="173">
        <f>+IF(AND(W141="Preventivo",BB139="Fuerte"),2,IF(AND(W141="Preventivo",BB139="Moderado"),1,0))</f>
        <v>0</v>
      </c>
      <c r="BD141" s="64">
        <f>+IF(AND(W141="Detectivo/Correctivo",$BB139="Fuerte"),2,IF(AND(W141="Detectivo/Correctivo",$BB141="Moderado"),1,IF(AND(W141="Preventivo",$BB139="Fuerte"),1,0)))</f>
        <v>0</v>
      </c>
      <c r="BE141" s="173" t="e">
        <f>+N139-BC141</f>
        <v>#N/A</v>
      </c>
      <c r="BF141" s="173" t="e">
        <f>+P139-BD141</f>
        <v>#N/A</v>
      </c>
      <c r="BG141" s="346"/>
      <c r="BH141" s="346"/>
      <c r="BI141" s="346"/>
      <c r="BJ141" s="538"/>
      <c r="BK141" s="538"/>
      <c r="BL141" s="538"/>
      <c r="BM141" s="538"/>
    </row>
    <row r="142" spans="1:65" ht="65.099999999999994" customHeight="1" thickBot="1">
      <c r="A142" s="329"/>
      <c r="B142" s="514"/>
      <c r="C142" s="364"/>
      <c r="D142" s="233"/>
      <c r="E142" s="233"/>
      <c r="F142" s="433"/>
      <c r="G142" s="367"/>
      <c r="H142" s="100"/>
      <c r="I142" s="237"/>
      <c r="J142" s="100"/>
      <c r="K142" s="236"/>
      <c r="L142" s="222"/>
      <c r="M142" s="370"/>
      <c r="N142" s="349"/>
      <c r="O142" s="352"/>
      <c r="P142" s="349"/>
      <c r="Q142" s="353"/>
      <c r="R142" s="346"/>
      <c r="S142" s="208"/>
      <c r="T142" s="97"/>
      <c r="U142" s="47" t="s">
        <v>627</v>
      </c>
      <c r="V142" s="215"/>
      <c r="W142" s="215"/>
      <c r="X142" s="215"/>
      <c r="Y142" s="95" t="str">
        <f t="shared" si="25"/>
        <v/>
      </c>
      <c r="Z142" s="215"/>
      <c r="AA142" s="95" t="str">
        <f t="shared" si="26"/>
        <v/>
      </c>
      <c r="AB142" s="208"/>
      <c r="AC142" s="95" t="str">
        <f t="shared" si="27"/>
        <v/>
      </c>
      <c r="AD142" s="208"/>
      <c r="AE142" s="95" t="str">
        <f t="shared" si="28"/>
        <v/>
      </c>
      <c r="AF142" s="208"/>
      <c r="AG142" s="95" t="str">
        <f t="shared" si="29"/>
        <v/>
      </c>
      <c r="AH142" s="208"/>
      <c r="AI142" s="95" t="str">
        <f t="shared" si="30"/>
        <v/>
      </c>
      <c r="AJ142" s="208"/>
      <c r="AK142" s="27" t="str">
        <f t="shared" si="31"/>
        <v/>
      </c>
      <c r="AL142" s="48" t="str">
        <f t="shared" si="32"/>
        <v/>
      </c>
      <c r="AM142" s="48" t="str">
        <f t="shared" si="33"/>
        <v/>
      </c>
      <c r="AN142" s="293"/>
      <c r="AO142" s="293"/>
      <c r="AP142" s="293"/>
      <c r="AQ142" s="293"/>
      <c r="AR142" s="293"/>
      <c r="AS142" s="293"/>
      <c r="AT142" s="293"/>
      <c r="AU142" s="294" t="str">
        <f>IFERROR(VLOOKUP(AT142,'Seguridad Información'!$I$61:$J$65,2,0),"")</f>
        <v/>
      </c>
      <c r="AV142" s="79"/>
      <c r="AW142" s="78" t="str">
        <f t="shared" si="24"/>
        <v/>
      </c>
      <c r="AX142" s="77" t="str">
        <f t="shared" si="34"/>
        <v/>
      </c>
      <c r="AY142" s="21" t="str">
        <f>IFERROR(VLOOKUP((CONCATENATE(AM142,AX142)),Listados!$U$3:$V$11,2,FALSE),"")</f>
        <v/>
      </c>
      <c r="AZ142" s="48">
        <f t="shared" si="35"/>
        <v>100</v>
      </c>
      <c r="BA142" s="355"/>
      <c r="BB142" s="357"/>
      <c r="BC142" s="173">
        <f>+IF(AND(W142="Preventivo",BB139="Fuerte"),2,IF(AND(W142="Preventivo",BB139="Moderado"),1,0))</f>
        <v>0</v>
      </c>
      <c r="BD142" s="64">
        <f>+IF(AND(W142="Detectivo/Correctivo",$BB139="Fuerte"),2,IF(AND(W142="Detectivo/Correctivo",$BB142="Moderado"),1,IF(AND(W142="Preventivo",$BB139="Fuerte"),1,0)))</f>
        <v>0</v>
      </c>
      <c r="BE142" s="173" t="e">
        <f>+N139-BC142</f>
        <v>#N/A</v>
      </c>
      <c r="BF142" s="173" t="e">
        <f>+P139-BD142</f>
        <v>#N/A</v>
      </c>
      <c r="BG142" s="346"/>
      <c r="BH142" s="346"/>
      <c r="BI142" s="346"/>
      <c r="BJ142" s="538"/>
      <c r="BK142" s="538"/>
      <c r="BL142" s="538"/>
      <c r="BM142" s="538"/>
    </row>
    <row r="143" spans="1:65" ht="65.099999999999994" customHeight="1" thickBot="1">
      <c r="A143" s="329"/>
      <c r="B143" s="514"/>
      <c r="C143" s="364"/>
      <c r="D143" s="109"/>
      <c r="E143" s="109"/>
      <c r="F143" s="433"/>
      <c r="G143" s="367"/>
      <c r="H143" s="100"/>
      <c r="I143" s="237"/>
      <c r="J143" s="100"/>
      <c r="K143" s="29"/>
      <c r="L143" s="222"/>
      <c r="M143" s="370"/>
      <c r="N143" s="349"/>
      <c r="O143" s="352"/>
      <c r="P143" s="349"/>
      <c r="Q143" s="353"/>
      <c r="R143" s="346"/>
      <c r="S143" s="208"/>
      <c r="T143" s="195"/>
      <c r="U143" s="47" t="s">
        <v>627</v>
      </c>
      <c r="V143" s="215"/>
      <c r="W143" s="215"/>
      <c r="X143" s="215"/>
      <c r="Y143" s="95" t="str">
        <f t="shared" si="25"/>
        <v/>
      </c>
      <c r="Z143" s="215"/>
      <c r="AA143" s="95" t="str">
        <f t="shared" si="26"/>
        <v/>
      </c>
      <c r="AB143" s="208"/>
      <c r="AC143" s="95" t="str">
        <f t="shared" si="27"/>
        <v/>
      </c>
      <c r="AD143" s="208"/>
      <c r="AE143" s="95" t="str">
        <f t="shared" si="28"/>
        <v/>
      </c>
      <c r="AF143" s="208"/>
      <c r="AG143" s="95" t="str">
        <f t="shared" si="29"/>
        <v/>
      </c>
      <c r="AH143" s="208"/>
      <c r="AI143" s="95" t="str">
        <f t="shared" si="30"/>
        <v/>
      </c>
      <c r="AJ143" s="208"/>
      <c r="AK143" s="27" t="str">
        <f t="shared" si="31"/>
        <v/>
      </c>
      <c r="AL143" s="48" t="str">
        <f t="shared" si="32"/>
        <v/>
      </c>
      <c r="AM143" s="48" t="str">
        <f t="shared" si="33"/>
        <v/>
      </c>
      <c r="AN143" s="293"/>
      <c r="AO143" s="293"/>
      <c r="AP143" s="293"/>
      <c r="AQ143" s="293"/>
      <c r="AR143" s="293"/>
      <c r="AS143" s="293"/>
      <c r="AT143" s="293"/>
      <c r="AU143" s="294" t="str">
        <f>IFERROR(VLOOKUP(AT143,'Seguridad Información'!$I$61:$J$65,2,0),"")</f>
        <v/>
      </c>
      <c r="AV143" s="79"/>
      <c r="AW143" s="78" t="str">
        <f t="shared" si="24"/>
        <v/>
      </c>
      <c r="AX143" s="77" t="str">
        <f t="shared" si="34"/>
        <v/>
      </c>
      <c r="AY143" s="21" t="str">
        <f>IFERROR(VLOOKUP((CONCATENATE(AM143,AX143)),Listados!$U$3:$V$11,2,FALSE),"")</f>
        <v/>
      </c>
      <c r="AZ143" s="48">
        <f t="shared" si="35"/>
        <v>100</v>
      </c>
      <c r="BA143" s="355"/>
      <c r="BB143" s="357"/>
      <c r="BC143" s="173">
        <f>+IF(AND(W143="Preventivo",BB139="Fuerte"),2,IF(AND(W143="Preventivo",BB139="Moderado"),1,0))</f>
        <v>0</v>
      </c>
      <c r="BD143" s="64">
        <f>+IF(AND(W143="Detectivo/Correctivo",$BB139="Fuerte"),2,IF(AND(W143="Detectivo/Correctivo",$BB143="Moderado"),1,IF(AND(W143="Preventivo",$BB139="Fuerte"),1,0)))</f>
        <v>0</v>
      </c>
      <c r="BE143" s="173" t="e">
        <f>+N139-BC143</f>
        <v>#N/A</v>
      </c>
      <c r="BF143" s="173" t="e">
        <f>+P139-BD143</f>
        <v>#N/A</v>
      </c>
      <c r="BG143" s="346"/>
      <c r="BH143" s="346"/>
      <c r="BI143" s="346"/>
      <c r="BJ143" s="538"/>
      <c r="BK143" s="538"/>
      <c r="BL143" s="538"/>
      <c r="BM143" s="538"/>
    </row>
    <row r="144" spans="1:65" ht="65.099999999999994" customHeight="1" thickBot="1">
      <c r="A144" s="330"/>
      <c r="B144" s="514"/>
      <c r="C144" s="365"/>
      <c r="D144" s="106"/>
      <c r="E144" s="106"/>
      <c r="F144" s="434"/>
      <c r="G144" s="368"/>
      <c r="H144" s="100"/>
      <c r="I144" s="237"/>
      <c r="J144" s="100"/>
      <c r="K144" s="31"/>
      <c r="L144" s="222"/>
      <c r="M144" s="370"/>
      <c r="N144" s="350"/>
      <c r="O144" s="352"/>
      <c r="P144" s="350"/>
      <c r="Q144" s="353"/>
      <c r="R144" s="347"/>
      <c r="S144" s="208"/>
      <c r="T144" s="98"/>
      <c r="U144" s="47" t="s">
        <v>627</v>
      </c>
      <c r="V144" s="215"/>
      <c r="W144" s="215"/>
      <c r="X144" s="215"/>
      <c r="Y144" s="95" t="str">
        <f t="shared" si="25"/>
        <v/>
      </c>
      <c r="Z144" s="215"/>
      <c r="AA144" s="95" t="str">
        <f t="shared" si="26"/>
        <v/>
      </c>
      <c r="AB144" s="208"/>
      <c r="AC144" s="95" t="str">
        <f t="shared" si="27"/>
        <v/>
      </c>
      <c r="AD144" s="208"/>
      <c r="AE144" s="95" t="str">
        <f t="shared" si="28"/>
        <v/>
      </c>
      <c r="AF144" s="208"/>
      <c r="AG144" s="95" t="str">
        <f t="shared" si="29"/>
        <v/>
      </c>
      <c r="AH144" s="208"/>
      <c r="AI144" s="95" t="str">
        <f t="shared" si="30"/>
        <v/>
      </c>
      <c r="AJ144" s="208"/>
      <c r="AK144" s="27" t="str">
        <f t="shared" si="31"/>
        <v/>
      </c>
      <c r="AL144" s="48" t="str">
        <f t="shared" si="32"/>
        <v/>
      </c>
      <c r="AM144" s="48" t="str">
        <f t="shared" si="33"/>
        <v/>
      </c>
      <c r="AN144" s="293"/>
      <c r="AO144" s="293"/>
      <c r="AP144" s="293"/>
      <c r="AQ144" s="293"/>
      <c r="AR144" s="293"/>
      <c r="AS144" s="293"/>
      <c r="AT144" s="293"/>
      <c r="AU144" s="294" t="str">
        <f>IFERROR(VLOOKUP(AT144,'Seguridad Información'!$I$61:$J$65,2,0),"")</f>
        <v/>
      </c>
      <c r="AV144" s="79"/>
      <c r="AW144" s="78" t="str">
        <f t="shared" si="24"/>
        <v/>
      </c>
      <c r="AX144" s="77" t="str">
        <f t="shared" si="34"/>
        <v/>
      </c>
      <c r="AY144" s="21" t="str">
        <f>IFERROR(VLOOKUP((CONCATENATE(AM144,AX144)),Listados!$U$3:$V$11,2,FALSE),"")</f>
        <v/>
      </c>
      <c r="AZ144" s="48">
        <f t="shared" si="35"/>
        <v>100</v>
      </c>
      <c r="BA144" s="356"/>
      <c r="BB144" s="357"/>
      <c r="BC144" s="173">
        <f>+IF(AND(W144="Preventivo",BB139="Fuerte"),2,IF(AND(W144="Preventivo",BB139="Moderado"),1,0))</f>
        <v>0</v>
      </c>
      <c r="BD144" s="64">
        <f>+IF(AND(W144="Detectivo/Correctivo",$BB139="Fuerte"),2,IF(AND(W144="Detectivo/Correctivo",$BB144="Moderado"),1,IF(AND(W144="Preventivo",$BB139="Fuerte"),1,0)))</f>
        <v>0</v>
      </c>
      <c r="BE144" s="173" t="e">
        <f>+N139-BC144</f>
        <v>#N/A</v>
      </c>
      <c r="BF144" s="173" t="e">
        <f>+P139-BD144</f>
        <v>#N/A</v>
      </c>
      <c r="BG144" s="347"/>
      <c r="BH144" s="347"/>
      <c r="BI144" s="347"/>
      <c r="BJ144" s="539"/>
      <c r="BK144" s="539"/>
      <c r="BL144" s="539"/>
      <c r="BM144" s="539"/>
    </row>
    <row r="145" spans="1:65" ht="65.099999999999994" customHeight="1" thickBot="1">
      <c r="A145" s="328">
        <v>24</v>
      </c>
      <c r="B145" s="519"/>
      <c r="C145" s="371" t="str">
        <f>IFERROR(VLOOKUP(B145,Listados!B$3:C$20,2,FALSE),"")</f>
        <v/>
      </c>
      <c r="D145" s="107"/>
      <c r="E145" s="107"/>
      <c r="F145" s="432"/>
      <c r="G145" s="372"/>
      <c r="H145" s="100"/>
      <c r="I145" s="237"/>
      <c r="J145" s="100"/>
      <c r="K145" s="103"/>
      <c r="L145" s="17"/>
      <c r="M145" s="369"/>
      <c r="N145" s="348" t="e">
        <f>+VLOOKUP(M145,Listados!$K$8:$L$12,2,0)</f>
        <v>#N/A</v>
      </c>
      <c r="O145" s="351"/>
      <c r="P145" s="348" t="e">
        <f>+VLOOKUP(O145,Listados!$K$13:$L$17,2,0)</f>
        <v>#N/A</v>
      </c>
      <c r="Q145" s="347" t="str">
        <f>IF(AND(M145&lt;&gt;"",O145&lt;&gt;""),VLOOKUP(M145&amp;O145,Listados!$M$3:$N$27,2,FALSE),"")</f>
        <v/>
      </c>
      <c r="R145" s="345" t="e">
        <f>+VLOOKUP(Q145,Listados!$P$3:$Q$6,2,FALSE)</f>
        <v>#N/A</v>
      </c>
      <c r="S145" s="208"/>
      <c r="T145" s="94"/>
      <c r="U145" s="47" t="s">
        <v>627</v>
      </c>
      <c r="V145" s="215"/>
      <c r="W145" s="215"/>
      <c r="X145" s="215"/>
      <c r="Y145" s="95" t="str">
        <f t="shared" si="25"/>
        <v/>
      </c>
      <c r="Z145" s="215"/>
      <c r="AA145" s="95" t="str">
        <f t="shared" si="26"/>
        <v/>
      </c>
      <c r="AB145" s="208"/>
      <c r="AC145" s="95" t="str">
        <f t="shared" si="27"/>
        <v/>
      </c>
      <c r="AD145" s="208"/>
      <c r="AE145" s="95" t="str">
        <f t="shared" si="28"/>
        <v/>
      </c>
      <c r="AF145" s="208"/>
      <c r="AG145" s="95" t="str">
        <f t="shared" si="29"/>
        <v/>
      </c>
      <c r="AH145" s="208"/>
      <c r="AI145" s="95" t="str">
        <f t="shared" si="30"/>
        <v/>
      </c>
      <c r="AJ145" s="208"/>
      <c r="AK145" s="27" t="str">
        <f t="shared" si="31"/>
        <v/>
      </c>
      <c r="AL145" s="48" t="str">
        <f t="shared" si="32"/>
        <v/>
      </c>
      <c r="AM145" s="48" t="str">
        <f t="shared" si="33"/>
        <v/>
      </c>
      <c r="AN145" s="293"/>
      <c r="AO145" s="293"/>
      <c r="AP145" s="293"/>
      <c r="AQ145" s="293"/>
      <c r="AR145" s="293"/>
      <c r="AS145" s="293"/>
      <c r="AT145" s="293"/>
      <c r="AU145" s="294" t="str">
        <f>IFERROR(VLOOKUP(AT145,'Seguridad Información'!$I$61:$J$65,2,0),"")</f>
        <v/>
      </c>
      <c r="AV145" s="79"/>
      <c r="AW145" s="78" t="str">
        <f t="shared" si="24"/>
        <v/>
      </c>
      <c r="AX145" s="77" t="str">
        <f t="shared" si="34"/>
        <v/>
      </c>
      <c r="AY145" s="21" t="str">
        <f>IFERROR(VLOOKUP((CONCATENATE(AM145,AX145)),Listados!$U$3:$V$11,2,FALSE),"")</f>
        <v/>
      </c>
      <c r="AZ145" s="48">
        <f t="shared" si="35"/>
        <v>100</v>
      </c>
      <c r="BA145" s="354">
        <f>AVERAGE(AZ145:AZ150)</f>
        <v>100</v>
      </c>
      <c r="BB145" s="356" t="str">
        <f>IF(BA145&lt;=50, "Débil", IF(BA145&lt;=99,"Moderado","Fuerte"))</f>
        <v>Fuerte</v>
      </c>
      <c r="BC145" s="173">
        <f>+IF(AND(W145="Preventivo",BB145="Fuerte"),2,IF(AND(W145="Preventivo",BB145="Moderado"),1,0))</f>
        <v>0</v>
      </c>
      <c r="BD145" s="64">
        <f>+IF(AND(W145="Detectivo/Correctivo",$BB145="Fuerte"),2,IF(AND(W145="Detectivo/Correctivo",$BB145="Moderado"),1,IF(AND(W145="Preventivo",$BB145="Fuerte"),1,0)))</f>
        <v>0</v>
      </c>
      <c r="BE145" s="173" t="e">
        <f>+N145-BC145</f>
        <v>#N/A</v>
      </c>
      <c r="BF145" s="173" t="e">
        <f>+P145-BD145</f>
        <v>#N/A</v>
      </c>
      <c r="BG145" s="345" t="e">
        <f>+VLOOKUP(MIN(BE145,BE146,BE147,BE148,BE149,BE150),Listados!$J$18:$K$24,2,TRUE)</f>
        <v>#N/A</v>
      </c>
      <c r="BH145" s="345" t="e">
        <f>+VLOOKUP(MIN(BF145,BF146,BF147,BF148,BF149,BF150),Listados!$J$27:$K$32,2,TRUE)</f>
        <v>#N/A</v>
      </c>
      <c r="BI145" s="345" t="e">
        <f>IF(AND(BG145&lt;&gt;"",BH145&lt;&gt;""),VLOOKUP(BG145&amp;BH145,Listados!$M$3:$N$27,2,FALSE),"")</f>
        <v>#N/A</v>
      </c>
      <c r="BJ145" s="537" t="e">
        <f>+IF($R145="Asumir el riesgo","NA","")</f>
        <v>#N/A</v>
      </c>
      <c r="BK145" s="537" t="e">
        <f>+IF($R145="Asumir el riesgo","NA","")</f>
        <v>#N/A</v>
      </c>
      <c r="BL145" s="537" t="e">
        <f>+IF($R145="Asumir el riesgo","NA","")</f>
        <v>#N/A</v>
      </c>
      <c r="BM145" s="537" t="e">
        <f>+IF($R145="Asumir el riesgo","NA","")</f>
        <v>#N/A</v>
      </c>
    </row>
    <row r="146" spans="1:65" ht="65.099999999999994" customHeight="1" thickBot="1">
      <c r="A146" s="329"/>
      <c r="B146" s="514"/>
      <c r="C146" s="364"/>
      <c r="D146" s="233"/>
      <c r="E146" s="233"/>
      <c r="F146" s="433"/>
      <c r="G146" s="367"/>
      <c r="H146" s="100"/>
      <c r="I146" s="237"/>
      <c r="J146" s="100"/>
      <c r="K146" s="236"/>
      <c r="L146" s="222"/>
      <c r="M146" s="370"/>
      <c r="N146" s="349"/>
      <c r="O146" s="352"/>
      <c r="P146" s="349"/>
      <c r="Q146" s="353"/>
      <c r="R146" s="346"/>
      <c r="S146" s="208"/>
      <c r="T146" s="195"/>
      <c r="U146" s="47" t="s">
        <v>627</v>
      </c>
      <c r="V146" s="215"/>
      <c r="W146" s="215"/>
      <c r="X146" s="215"/>
      <c r="Y146" s="95" t="str">
        <f t="shared" si="25"/>
        <v/>
      </c>
      <c r="Z146" s="215"/>
      <c r="AA146" s="95" t="str">
        <f t="shared" si="26"/>
        <v/>
      </c>
      <c r="AB146" s="208"/>
      <c r="AC146" s="95" t="str">
        <f t="shared" si="27"/>
        <v/>
      </c>
      <c r="AD146" s="208"/>
      <c r="AE146" s="95" t="str">
        <f t="shared" si="28"/>
        <v/>
      </c>
      <c r="AF146" s="208"/>
      <c r="AG146" s="95" t="str">
        <f t="shared" si="29"/>
        <v/>
      </c>
      <c r="AH146" s="208"/>
      <c r="AI146" s="95" t="str">
        <f t="shared" si="30"/>
        <v/>
      </c>
      <c r="AJ146" s="208"/>
      <c r="AK146" s="27" t="str">
        <f t="shared" si="31"/>
        <v/>
      </c>
      <c r="AL146" s="48" t="str">
        <f t="shared" si="32"/>
        <v/>
      </c>
      <c r="AM146" s="48" t="str">
        <f t="shared" si="33"/>
        <v/>
      </c>
      <c r="AN146" s="293"/>
      <c r="AO146" s="293"/>
      <c r="AP146" s="293"/>
      <c r="AQ146" s="293"/>
      <c r="AR146" s="293"/>
      <c r="AS146" s="293"/>
      <c r="AT146" s="293"/>
      <c r="AU146" s="294" t="str">
        <f>IFERROR(VLOOKUP(AT146,'Seguridad Información'!$I$61:$J$65,2,0),"")</f>
        <v/>
      </c>
      <c r="AV146" s="79"/>
      <c r="AW146" s="78" t="str">
        <f t="shared" si="24"/>
        <v/>
      </c>
      <c r="AX146" s="77" t="str">
        <f t="shared" si="34"/>
        <v/>
      </c>
      <c r="AY146" s="21" t="str">
        <f>IFERROR(VLOOKUP((CONCATENATE(AM146,AX146)),Listados!$U$3:$V$11,2,FALSE),"")</f>
        <v/>
      </c>
      <c r="AZ146" s="48">
        <f t="shared" si="35"/>
        <v>100</v>
      </c>
      <c r="BA146" s="355"/>
      <c r="BB146" s="357"/>
      <c r="BC146" s="173">
        <f>+IF(AND(W146="Preventivo",BB145="Fuerte"),2,IF(AND(W146="Preventivo",BB145="Moderado"),1,0))</f>
        <v>0</v>
      </c>
      <c r="BD146" s="64">
        <f>+IF(AND(W146="Detectivo/Correctivo",$BB145="Fuerte"),2,IF(AND(W146="Detectivo/Correctivo",$BB146="Moderado"),1,IF(AND(W146="Preventivo",$BB145="Fuerte"),1,0)))</f>
        <v>0</v>
      </c>
      <c r="BE146" s="173" t="e">
        <f>+N145-BC146</f>
        <v>#N/A</v>
      </c>
      <c r="BF146" s="173" t="e">
        <f>+P145-BD146</f>
        <v>#N/A</v>
      </c>
      <c r="BG146" s="346"/>
      <c r="BH146" s="346"/>
      <c r="BI146" s="346"/>
      <c r="BJ146" s="538"/>
      <c r="BK146" s="538"/>
      <c r="BL146" s="538"/>
      <c r="BM146" s="538"/>
    </row>
    <row r="147" spans="1:65" ht="65.099999999999994" customHeight="1" thickBot="1">
      <c r="A147" s="329"/>
      <c r="B147" s="514"/>
      <c r="C147" s="364"/>
      <c r="D147" s="233"/>
      <c r="E147" s="233"/>
      <c r="F147" s="433"/>
      <c r="G147" s="367"/>
      <c r="H147" s="100"/>
      <c r="I147" s="237"/>
      <c r="J147" s="100"/>
      <c r="K147" s="236"/>
      <c r="L147" s="222"/>
      <c r="M147" s="370"/>
      <c r="N147" s="349"/>
      <c r="O147" s="352"/>
      <c r="P147" s="349"/>
      <c r="Q147" s="353"/>
      <c r="R147" s="346"/>
      <c r="S147" s="208"/>
      <c r="T147" s="96"/>
      <c r="U147" s="47" t="s">
        <v>627</v>
      </c>
      <c r="V147" s="215"/>
      <c r="W147" s="215"/>
      <c r="X147" s="215"/>
      <c r="Y147" s="95" t="str">
        <f t="shared" si="25"/>
        <v/>
      </c>
      <c r="Z147" s="215"/>
      <c r="AA147" s="95" t="str">
        <f t="shared" si="26"/>
        <v/>
      </c>
      <c r="AB147" s="208"/>
      <c r="AC147" s="95" t="str">
        <f t="shared" si="27"/>
        <v/>
      </c>
      <c r="AD147" s="208"/>
      <c r="AE147" s="95" t="str">
        <f t="shared" si="28"/>
        <v/>
      </c>
      <c r="AF147" s="208"/>
      <c r="AG147" s="95" t="str">
        <f t="shared" si="29"/>
        <v/>
      </c>
      <c r="AH147" s="208"/>
      <c r="AI147" s="95" t="str">
        <f t="shared" si="30"/>
        <v/>
      </c>
      <c r="AJ147" s="208"/>
      <c r="AK147" s="27" t="str">
        <f t="shared" si="31"/>
        <v/>
      </c>
      <c r="AL147" s="48" t="str">
        <f t="shared" si="32"/>
        <v/>
      </c>
      <c r="AM147" s="48" t="str">
        <f t="shared" si="33"/>
        <v/>
      </c>
      <c r="AN147" s="293"/>
      <c r="AO147" s="293"/>
      <c r="AP147" s="293"/>
      <c r="AQ147" s="293"/>
      <c r="AR147" s="293"/>
      <c r="AS147" s="293"/>
      <c r="AT147" s="293"/>
      <c r="AU147" s="294" t="str">
        <f>IFERROR(VLOOKUP(AT147,'Seguridad Información'!$I$61:$J$65,2,0),"")</f>
        <v/>
      </c>
      <c r="AV147" s="79"/>
      <c r="AW147" s="78" t="str">
        <f t="shared" si="24"/>
        <v/>
      </c>
      <c r="AX147" s="77" t="str">
        <f t="shared" si="34"/>
        <v/>
      </c>
      <c r="AY147" s="21" t="str">
        <f>IFERROR(VLOOKUP((CONCATENATE(AM147,AX147)),Listados!$U$3:$V$11,2,FALSE),"")</f>
        <v/>
      </c>
      <c r="AZ147" s="48">
        <f t="shared" si="35"/>
        <v>100</v>
      </c>
      <c r="BA147" s="355"/>
      <c r="BB147" s="357"/>
      <c r="BC147" s="173">
        <f>+IF(AND(W147="Preventivo",BB145="Fuerte"),2,IF(AND(W147="Preventivo",BB145="Moderado"),1,0))</f>
        <v>0</v>
      </c>
      <c r="BD147" s="64">
        <f>+IF(AND(W147="Detectivo/Correctivo",$BB145="Fuerte"),2,IF(AND(W147="Detectivo/Correctivo",$BB147="Moderado"),1,IF(AND(W147="Preventivo",$BB145="Fuerte"),1,0)))</f>
        <v>0</v>
      </c>
      <c r="BE147" s="173" t="e">
        <f>+N145-BC147</f>
        <v>#N/A</v>
      </c>
      <c r="BF147" s="173" t="e">
        <f>+P145-BD147</f>
        <v>#N/A</v>
      </c>
      <c r="BG147" s="346"/>
      <c r="BH147" s="346"/>
      <c r="BI147" s="346"/>
      <c r="BJ147" s="538"/>
      <c r="BK147" s="538"/>
      <c r="BL147" s="538"/>
      <c r="BM147" s="538"/>
    </row>
    <row r="148" spans="1:65" ht="65.099999999999994" customHeight="1" thickBot="1">
      <c r="A148" s="329"/>
      <c r="B148" s="514"/>
      <c r="C148" s="364"/>
      <c r="D148" s="233"/>
      <c r="E148" s="233"/>
      <c r="F148" s="433"/>
      <c r="G148" s="367"/>
      <c r="H148" s="100"/>
      <c r="I148" s="237"/>
      <c r="J148" s="100"/>
      <c r="K148" s="236"/>
      <c r="L148" s="222"/>
      <c r="M148" s="370"/>
      <c r="N148" s="349"/>
      <c r="O148" s="352"/>
      <c r="P148" s="349"/>
      <c r="Q148" s="353"/>
      <c r="R148" s="346"/>
      <c r="S148" s="208"/>
      <c r="T148" s="97"/>
      <c r="U148" s="47" t="s">
        <v>627</v>
      </c>
      <c r="V148" s="215"/>
      <c r="W148" s="215"/>
      <c r="X148" s="215"/>
      <c r="Y148" s="95" t="str">
        <f t="shared" si="25"/>
        <v/>
      </c>
      <c r="Z148" s="215"/>
      <c r="AA148" s="95" t="str">
        <f t="shared" si="26"/>
        <v/>
      </c>
      <c r="AB148" s="208"/>
      <c r="AC148" s="95" t="str">
        <f t="shared" si="27"/>
        <v/>
      </c>
      <c r="AD148" s="208"/>
      <c r="AE148" s="95" t="str">
        <f t="shared" si="28"/>
        <v/>
      </c>
      <c r="AF148" s="208"/>
      <c r="AG148" s="95" t="str">
        <f t="shared" si="29"/>
        <v/>
      </c>
      <c r="AH148" s="208"/>
      <c r="AI148" s="95" t="str">
        <f t="shared" si="30"/>
        <v/>
      </c>
      <c r="AJ148" s="208"/>
      <c r="AK148" s="27" t="str">
        <f t="shared" si="31"/>
        <v/>
      </c>
      <c r="AL148" s="48" t="str">
        <f t="shared" si="32"/>
        <v/>
      </c>
      <c r="AM148" s="48" t="str">
        <f t="shared" si="33"/>
        <v/>
      </c>
      <c r="AN148" s="293"/>
      <c r="AO148" s="293"/>
      <c r="AP148" s="293"/>
      <c r="AQ148" s="293"/>
      <c r="AR148" s="293"/>
      <c r="AS148" s="293"/>
      <c r="AT148" s="293"/>
      <c r="AU148" s="294" t="str">
        <f>IFERROR(VLOOKUP(AT148,'Seguridad Información'!$I$61:$J$65,2,0),"")</f>
        <v/>
      </c>
      <c r="AV148" s="79"/>
      <c r="AW148" s="78" t="str">
        <f t="shared" si="24"/>
        <v/>
      </c>
      <c r="AX148" s="77" t="str">
        <f t="shared" si="34"/>
        <v/>
      </c>
      <c r="AY148" s="21" t="str">
        <f>IFERROR(VLOOKUP((CONCATENATE(AM148,AX148)),Listados!$U$3:$V$11,2,FALSE),"")</f>
        <v/>
      </c>
      <c r="AZ148" s="48">
        <f t="shared" si="35"/>
        <v>100</v>
      </c>
      <c r="BA148" s="355"/>
      <c r="BB148" s="357"/>
      <c r="BC148" s="173">
        <f>+IF(AND(W148="Preventivo",BB145="Fuerte"),2,IF(AND(W148="Preventivo",BB145="Moderado"),1,0))</f>
        <v>0</v>
      </c>
      <c r="BD148" s="64">
        <f>+IF(AND(W148="Detectivo/Correctivo",$BB145="Fuerte"),2,IF(AND(W148="Detectivo/Correctivo",$BB148="Moderado"),1,IF(AND(W148="Preventivo",$BB145="Fuerte"),1,0)))</f>
        <v>0</v>
      </c>
      <c r="BE148" s="173" t="e">
        <f>+N145-BC148</f>
        <v>#N/A</v>
      </c>
      <c r="BF148" s="173" t="e">
        <f>+P145-BD148</f>
        <v>#N/A</v>
      </c>
      <c r="BG148" s="346"/>
      <c r="BH148" s="346"/>
      <c r="BI148" s="346"/>
      <c r="BJ148" s="538"/>
      <c r="BK148" s="538"/>
      <c r="BL148" s="538"/>
      <c r="BM148" s="538"/>
    </row>
    <row r="149" spans="1:65" ht="65.099999999999994" customHeight="1" thickBot="1">
      <c r="A149" s="329"/>
      <c r="B149" s="514"/>
      <c r="C149" s="364"/>
      <c r="D149" s="109"/>
      <c r="E149" s="109"/>
      <c r="F149" s="433"/>
      <c r="G149" s="367"/>
      <c r="H149" s="100"/>
      <c r="I149" s="237"/>
      <c r="J149" s="100"/>
      <c r="K149" s="29"/>
      <c r="L149" s="222"/>
      <c r="M149" s="370"/>
      <c r="N149" s="349"/>
      <c r="O149" s="352"/>
      <c r="P149" s="349"/>
      <c r="Q149" s="353"/>
      <c r="R149" s="346"/>
      <c r="S149" s="208"/>
      <c r="T149" s="195"/>
      <c r="U149" s="47" t="s">
        <v>627</v>
      </c>
      <c r="V149" s="215"/>
      <c r="W149" s="215"/>
      <c r="X149" s="215"/>
      <c r="Y149" s="95" t="str">
        <f t="shared" si="25"/>
        <v/>
      </c>
      <c r="Z149" s="215"/>
      <c r="AA149" s="95" t="str">
        <f t="shared" si="26"/>
        <v/>
      </c>
      <c r="AB149" s="208"/>
      <c r="AC149" s="95" t="str">
        <f t="shared" si="27"/>
        <v/>
      </c>
      <c r="AD149" s="208"/>
      <c r="AE149" s="95" t="str">
        <f t="shared" si="28"/>
        <v/>
      </c>
      <c r="AF149" s="208"/>
      <c r="AG149" s="95" t="str">
        <f t="shared" si="29"/>
        <v/>
      </c>
      <c r="AH149" s="208"/>
      <c r="AI149" s="95" t="str">
        <f t="shared" si="30"/>
        <v/>
      </c>
      <c r="AJ149" s="208"/>
      <c r="AK149" s="27" t="str">
        <f t="shared" si="31"/>
        <v/>
      </c>
      <c r="AL149" s="48" t="str">
        <f t="shared" si="32"/>
        <v/>
      </c>
      <c r="AM149" s="48" t="str">
        <f t="shared" si="33"/>
        <v/>
      </c>
      <c r="AN149" s="293"/>
      <c r="AO149" s="293"/>
      <c r="AP149" s="293"/>
      <c r="AQ149" s="293"/>
      <c r="AR149" s="293"/>
      <c r="AS149" s="293"/>
      <c r="AT149" s="293"/>
      <c r="AU149" s="294" t="str">
        <f>IFERROR(VLOOKUP(AT149,'Seguridad Información'!$I$61:$J$65,2,0),"")</f>
        <v/>
      </c>
      <c r="AV149" s="79"/>
      <c r="AW149" s="78" t="str">
        <f t="shared" si="24"/>
        <v/>
      </c>
      <c r="AX149" s="77" t="str">
        <f t="shared" si="34"/>
        <v/>
      </c>
      <c r="AY149" s="21" t="str">
        <f>IFERROR(VLOOKUP((CONCATENATE(AM149,AX149)),Listados!$U$3:$V$11,2,FALSE),"")</f>
        <v/>
      </c>
      <c r="AZ149" s="48">
        <f t="shared" si="35"/>
        <v>100</v>
      </c>
      <c r="BA149" s="355"/>
      <c r="BB149" s="357"/>
      <c r="BC149" s="173">
        <f>+IF(AND(W149="Preventivo",BB145="Fuerte"),2,IF(AND(W149="Preventivo",BB145="Moderado"),1,0))</f>
        <v>0</v>
      </c>
      <c r="BD149" s="64">
        <f>+IF(AND(W149="Detectivo/Correctivo",$BB145="Fuerte"),2,IF(AND(W149="Detectivo/Correctivo",$BB149="Moderado"),1,IF(AND(W149="Preventivo",$BB145="Fuerte"),1,0)))</f>
        <v>0</v>
      </c>
      <c r="BE149" s="173" t="e">
        <f>+N145-BC149</f>
        <v>#N/A</v>
      </c>
      <c r="BF149" s="173" t="e">
        <f>+P145-BD149</f>
        <v>#N/A</v>
      </c>
      <c r="BG149" s="346"/>
      <c r="BH149" s="346"/>
      <c r="BI149" s="346"/>
      <c r="BJ149" s="538"/>
      <c r="BK149" s="538"/>
      <c r="BL149" s="538"/>
      <c r="BM149" s="538"/>
    </row>
    <row r="150" spans="1:65" ht="65.099999999999994" customHeight="1" thickBot="1">
      <c r="A150" s="330"/>
      <c r="B150" s="514"/>
      <c r="C150" s="365"/>
      <c r="D150" s="106"/>
      <c r="E150" s="106"/>
      <c r="F150" s="434"/>
      <c r="G150" s="368"/>
      <c r="H150" s="100"/>
      <c r="I150" s="237"/>
      <c r="J150" s="100"/>
      <c r="K150" s="31"/>
      <c r="L150" s="222"/>
      <c r="M150" s="370"/>
      <c r="N150" s="350"/>
      <c r="O150" s="352"/>
      <c r="P150" s="350"/>
      <c r="Q150" s="353"/>
      <c r="R150" s="347"/>
      <c r="S150" s="208"/>
      <c r="T150" s="98"/>
      <c r="U150" s="47" t="s">
        <v>627</v>
      </c>
      <c r="V150" s="215"/>
      <c r="W150" s="215"/>
      <c r="X150" s="215"/>
      <c r="Y150" s="95" t="str">
        <f t="shared" si="25"/>
        <v/>
      </c>
      <c r="Z150" s="215"/>
      <c r="AA150" s="95" t="str">
        <f t="shared" si="26"/>
        <v/>
      </c>
      <c r="AB150" s="208"/>
      <c r="AC150" s="95" t="str">
        <f t="shared" si="27"/>
        <v/>
      </c>
      <c r="AD150" s="208"/>
      <c r="AE150" s="95" t="str">
        <f t="shared" si="28"/>
        <v/>
      </c>
      <c r="AF150" s="208"/>
      <c r="AG150" s="95" t="str">
        <f t="shared" si="29"/>
        <v/>
      </c>
      <c r="AH150" s="208"/>
      <c r="AI150" s="95" t="str">
        <f t="shared" si="30"/>
        <v/>
      </c>
      <c r="AJ150" s="208"/>
      <c r="AK150" s="27" t="str">
        <f t="shared" si="31"/>
        <v/>
      </c>
      <c r="AL150" s="48" t="str">
        <f t="shared" si="32"/>
        <v/>
      </c>
      <c r="AM150" s="48" t="str">
        <f t="shared" si="33"/>
        <v/>
      </c>
      <c r="AN150" s="293"/>
      <c r="AO150" s="293"/>
      <c r="AP150" s="293"/>
      <c r="AQ150" s="293"/>
      <c r="AR150" s="293"/>
      <c r="AS150" s="293"/>
      <c r="AT150" s="293"/>
      <c r="AU150" s="294" t="str">
        <f>IFERROR(VLOOKUP(AT150,'Seguridad Información'!$I$61:$J$65,2,0),"")</f>
        <v/>
      </c>
      <c r="AV150" s="79"/>
      <c r="AW150" s="78" t="str">
        <f t="shared" si="24"/>
        <v/>
      </c>
      <c r="AX150" s="77" t="str">
        <f t="shared" si="34"/>
        <v/>
      </c>
      <c r="AY150" s="21" t="str">
        <f>IFERROR(VLOOKUP((CONCATENATE(AM150,AX150)),Listados!$U$3:$V$11,2,FALSE),"")</f>
        <v/>
      </c>
      <c r="AZ150" s="48">
        <f t="shared" si="35"/>
        <v>100</v>
      </c>
      <c r="BA150" s="356"/>
      <c r="BB150" s="357"/>
      <c r="BC150" s="173">
        <f>+IF(AND(W150="Preventivo",BB145="Fuerte"),2,IF(AND(W150="Preventivo",BB145="Moderado"),1,0))</f>
        <v>0</v>
      </c>
      <c r="BD150" s="64">
        <f>+IF(AND(W150="Detectivo/Correctivo",$BB145="Fuerte"),2,IF(AND(W150="Detectivo/Correctivo",$BB150="Moderado"),1,IF(AND(W150="Preventivo",$BB145="Fuerte"),1,0)))</f>
        <v>0</v>
      </c>
      <c r="BE150" s="173" t="e">
        <f>+N145-BC150</f>
        <v>#N/A</v>
      </c>
      <c r="BF150" s="173" t="e">
        <f>+P145-BD150</f>
        <v>#N/A</v>
      </c>
      <c r="BG150" s="347"/>
      <c r="BH150" s="347"/>
      <c r="BI150" s="347"/>
      <c r="BJ150" s="539"/>
      <c r="BK150" s="539"/>
      <c r="BL150" s="539"/>
      <c r="BM150" s="539"/>
    </row>
    <row r="151" spans="1:65" ht="65.099999999999994" customHeight="1" thickBot="1">
      <c r="A151" s="328">
        <v>25</v>
      </c>
      <c r="B151" s="519"/>
      <c r="C151" s="371" t="str">
        <f>IFERROR(VLOOKUP(B151,Listados!B$3:C$20,2,FALSE),"")</f>
        <v/>
      </c>
      <c r="D151" s="107"/>
      <c r="E151" s="107"/>
      <c r="F151" s="432"/>
      <c r="G151" s="372"/>
      <c r="H151" s="100"/>
      <c r="I151" s="237"/>
      <c r="J151" s="100"/>
      <c r="K151" s="103"/>
      <c r="L151" s="17"/>
      <c r="M151" s="369"/>
      <c r="N151" s="348" t="e">
        <f>+VLOOKUP(M151,Listados!$K$8:$L$12,2,0)</f>
        <v>#N/A</v>
      </c>
      <c r="O151" s="351"/>
      <c r="P151" s="348" t="e">
        <f>+VLOOKUP(O151,Listados!$K$13:$L$17,2,0)</f>
        <v>#N/A</v>
      </c>
      <c r="Q151" s="347" t="str">
        <f>IF(AND(M151&lt;&gt;"",O151&lt;&gt;""),VLOOKUP(M151&amp;O151,Listados!$M$3:$N$27,2,FALSE),"")</f>
        <v/>
      </c>
      <c r="R151" s="345" t="e">
        <f>+VLOOKUP(Q151,Listados!$P$3:$Q$6,2,FALSE)</f>
        <v>#N/A</v>
      </c>
      <c r="S151" s="208"/>
      <c r="T151" s="94"/>
      <c r="U151" s="47" t="s">
        <v>627</v>
      </c>
      <c r="V151" s="215"/>
      <c r="W151" s="215"/>
      <c r="X151" s="215"/>
      <c r="Y151" s="95" t="str">
        <f t="shared" si="25"/>
        <v/>
      </c>
      <c r="Z151" s="215"/>
      <c r="AA151" s="95" t="str">
        <f t="shared" si="26"/>
        <v/>
      </c>
      <c r="AB151" s="208"/>
      <c r="AC151" s="95" t="str">
        <f t="shared" si="27"/>
        <v/>
      </c>
      <c r="AD151" s="208"/>
      <c r="AE151" s="95" t="str">
        <f t="shared" si="28"/>
        <v/>
      </c>
      <c r="AF151" s="208"/>
      <c r="AG151" s="95" t="str">
        <f t="shared" si="29"/>
        <v/>
      </c>
      <c r="AH151" s="208"/>
      <c r="AI151" s="95" t="str">
        <f t="shared" si="30"/>
        <v/>
      </c>
      <c r="AJ151" s="208"/>
      <c r="AK151" s="27" t="str">
        <f t="shared" si="31"/>
        <v/>
      </c>
      <c r="AL151" s="48" t="str">
        <f t="shared" si="32"/>
        <v/>
      </c>
      <c r="AM151" s="48" t="str">
        <f t="shared" si="33"/>
        <v/>
      </c>
      <c r="AN151" s="293"/>
      <c r="AO151" s="293"/>
      <c r="AP151" s="293"/>
      <c r="AQ151" s="293"/>
      <c r="AR151" s="293"/>
      <c r="AS151" s="293"/>
      <c r="AT151" s="293"/>
      <c r="AU151" s="294" t="str">
        <f>IFERROR(VLOOKUP(AT151,'Seguridad Información'!$I$61:$J$65,2,0),"")</f>
        <v/>
      </c>
      <c r="AV151" s="79"/>
      <c r="AW151" s="78" t="str">
        <f t="shared" si="24"/>
        <v/>
      </c>
      <c r="AX151" s="77" t="str">
        <f t="shared" si="34"/>
        <v/>
      </c>
      <c r="AY151" s="21" t="str">
        <f>IFERROR(VLOOKUP((CONCATENATE(AM151,AX151)),Listados!$U$3:$V$11,2,FALSE),"")</f>
        <v/>
      </c>
      <c r="AZ151" s="48">
        <f t="shared" si="35"/>
        <v>100</v>
      </c>
      <c r="BA151" s="354">
        <f>AVERAGE(AZ151:AZ156)</f>
        <v>100</v>
      </c>
      <c r="BB151" s="356" t="str">
        <f>IF(BA151&lt;=50, "Débil", IF(BA151&lt;=99,"Moderado","Fuerte"))</f>
        <v>Fuerte</v>
      </c>
      <c r="BC151" s="173">
        <f>+IF(AND(W151="Preventivo",BB151="Fuerte"),2,IF(AND(W151="Preventivo",BB151="Moderado"),1,0))</f>
        <v>0</v>
      </c>
      <c r="BD151" s="64">
        <f>+IF(AND(W151="Detectivo/Correctivo",$BB151="Fuerte"),2,IF(AND(W151="Detectivo/Correctivo",$BB151="Moderado"),1,IF(AND(W151="Preventivo",$BB151="Fuerte"),1,0)))</f>
        <v>0</v>
      </c>
      <c r="BE151" s="173" t="e">
        <f>+N151-BC151</f>
        <v>#N/A</v>
      </c>
      <c r="BF151" s="173" t="e">
        <f>+P151-BD151</f>
        <v>#N/A</v>
      </c>
      <c r="BG151" s="345" t="e">
        <f>+VLOOKUP(MIN(BE151,BE152,BE153,BE154,BE155,BE156),Listados!$J$18:$K$24,2,TRUE)</f>
        <v>#N/A</v>
      </c>
      <c r="BH151" s="345" t="e">
        <f>+VLOOKUP(MIN(BF151,BF152,BF153,BF154,BF155,BF156),Listados!$J$27:$K$32,2,TRUE)</f>
        <v>#N/A</v>
      </c>
      <c r="BI151" s="345" t="e">
        <f>IF(AND(BG151&lt;&gt;"",BH151&lt;&gt;""),VLOOKUP(BG151&amp;BH151,Listados!$M$3:$N$27,2,FALSE),"")</f>
        <v>#N/A</v>
      </c>
      <c r="BJ151" s="537" t="e">
        <f>+IF($R151="Asumir el riesgo","NA","")</f>
        <v>#N/A</v>
      </c>
      <c r="BK151" s="537" t="e">
        <f>+IF($R151="Asumir el riesgo","NA","")</f>
        <v>#N/A</v>
      </c>
      <c r="BL151" s="537" t="e">
        <f>+IF($R151="Asumir el riesgo","NA","")</f>
        <v>#N/A</v>
      </c>
      <c r="BM151" s="537" t="e">
        <f>+IF($R151="Asumir el riesgo","NA","")</f>
        <v>#N/A</v>
      </c>
    </row>
    <row r="152" spans="1:65" ht="65.099999999999994" customHeight="1" thickBot="1">
      <c r="A152" s="329"/>
      <c r="B152" s="514"/>
      <c r="C152" s="364"/>
      <c r="D152" s="233"/>
      <c r="E152" s="233"/>
      <c r="F152" s="433"/>
      <c r="G152" s="367"/>
      <c r="H152" s="100"/>
      <c r="I152" s="237"/>
      <c r="J152" s="100"/>
      <c r="K152" s="236"/>
      <c r="L152" s="222"/>
      <c r="M152" s="370"/>
      <c r="N152" s="349"/>
      <c r="O152" s="352"/>
      <c r="P152" s="349"/>
      <c r="Q152" s="353"/>
      <c r="R152" s="346"/>
      <c r="S152" s="208"/>
      <c r="T152" s="195"/>
      <c r="U152" s="47" t="s">
        <v>627</v>
      </c>
      <c r="V152" s="215"/>
      <c r="W152" s="215"/>
      <c r="X152" s="215"/>
      <c r="Y152" s="95" t="str">
        <f t="shared" si="25"/>
        <v/>
      </c>
      <c r="Z152" s="215"/>
      <c r="AA152" s="95" t="str">
        <f t="shared" si="26"/>
        <v/>
      </c>
      <c r="AB152" s="208"/>
      <c r="AC152" s="95" t="str">
        <f t="shared" si="27"/>
        <v/>
      </c>
      <c r="AD152" s="208"/>
      <c r="AE152" s="95" t="str">
        <f t="shared" si="28"/>
        <v/>
      </c>
      <c r="AF152" s="208"/>
      <c r="AG152" s="95" t="str">
        <f t="shared" si="29"/>
        <v/>
      </c>
      <c r="AH152" s="208"/>
      <c r="AI152" s="95" t="str">
        <f t="shared" si="30"/>
        <v/>
      </c>
      <c r="AJ152" s="208"/>
      <c r="AK152" s="27" t="str">
        <f t="shared" si="31"/>
        <v/>
      </c>
      <c r="AL152" s="48" t="str">
        <f t="shared" si="32"/>
        <v/>
      </c>
      <c r="AM152" s="48" t="str">
        <f t="shared" si="33"/>
        <v/>
      </c>
      <c r="AN152" s="293"/>
      <c r="AO152" s="293"/>
      <c r="AP152" s="293"/>
      <c r="AQ152" s="293"/>
      <c r="AR152" s="293"/>
      <c r="AS152" s="293"/>
      <c r="AT152" s="293"/>
      <c r="AU152" s="294" t="str">
        <f>IFERROR(VLOOKUP(AT152,'Seguridad Información'!$I$61:$J$65,2,0),"")</f>
        <v/>
      </c>
      <c r="AV152" s="79"/>
      <c r="AW152" s="78" t="str">
        <f t="shared" si="24"/>
        <v/>
      </c>
      <c r="AX152" s="77" t="str">
        <f t="shared" si="34"/>
        <v/>
      </c>
      <c r="AY152" s="21" t="str">
        <f>IFERROR(VLOOKUP((CONCATENATE(AM152,AX152)),Listados!$U$3:$V$11,2,FALSE),"")</f>
        <v/>
      </c>
      <c r="AZ152" s="48">
        <f t="shared" si="35"/>
        <v>100</v>
      </c>
      <c r="BA152" s="355"/>
      <c r="BB152" s="357"/>
      <c r="BC152" s="173">
        <f>+IF(AND(W152="Preventivo",BB151="Fuerte"),2,IF(AND(W152="Preventivo",BB151="Moderado"),1,0))</f>
        <v>0</v>
      </c>
      <c r="BD152" s="64">
        <f>+IF(AND(W152="Detectivo/Correctivo",$BB151="Fuerte"),2,IF(AND(W152="Detectivo/Correctivo",$BB152="Moderado"),1,IF(AND(W152="Preventivo",$BB151="Fuerte"),1,0)))</f>
        <v>0</v>
      </c>
      <c r="BE152" s="173" t="e">
        <f>+N151-BC152</f>
        <v>#N/A</v>
      </c>
      <c r="BF152" s="173" t="e">
        <f>+P151-BD152</f>
        <v>#N/A</v>
      </c>
      <c r="BG152" s="346"/>
      <c r="BH152" s="346"/>
      <c r="BI152" s="346"/>
      <c r="BJ152" s="538"/>
      <c r="BK152" s="538"/>
      <c r="BL152" s="538"/>
      <c r="BM152" s="538"/>
    </row>
    <row r="153" spans="1:65" ht="65.099999999999994" customHeight="1" thickBot="1">
      <c r="A153" s="329"/>
      <c r="B153" s="514"/>
      <c r="C153" s="364"/>
      <c r="D153" s="233"/>
      <c r="E153" s="233"/>
      <c r="F153" s="433"/>
      <c r="G153" s="367"/>
      <c r="H153" s="100"/>
      <c r="I153" s="237"/>
      <c r="J153" s="100"/>
      <c r="K153" s="236"/>
      <c r="L153" s="222"/>
      <c r="M153" s="370"/>
      <c r="N153" s="349"/>
      <c r="O153" s="352"/>
      <c r="P153" s="349"/>
      <c r="Q153" s="353"/>
      <c r="R153" s="346"/>
      <c r="S153" s="208"/>
      <c r="T153" s="96"/>
      <c r="U153" s="47" t="s">
        <v>627</v>
      </c>
      <c r="V153" s="215"/>
      <c r="W153" s="215"/>
      <c r="X153" s="215"/>
      <c r="Y153" s="95" t="str">
        <f t="shared" si="25"/>
        <v/>
      </c>
      <c r="Z153" s="215"/>
      <c r="AA153" s="95" t="str">
        <f t="shared" si="26"/>
        <v/>
      </c>
      <c r="AB153" s="208"/>
      <c r="AC153" s="95" t="str">
        <f t="shared" si="27"/>
        <v/>
      </c>
      <c r="AD153" s="208"/>
      <c r="AE153" s="95" t="str">
        <f t="shared" si="28"/>
        <v/>
      </c>
      <c r="AF153" s="208"/>
      <c r="AG153" s="95" t="str">
        <f t="shared" si="29"/>
        <v/>
      </c>
      <c r="AH153" s="208"/>
      <c r="AI153" s="95" t="str">
        <f t="shared" si="30"/>
        <v/>
      </c>
      <c r="AJ153" s="208"/>
      <c r="AK153" s="27" t="str">
        <f t="shared" si="31"/>
        <v/>
      </c>
      <c r="AL153" s="48" t="str">
        <f t="shared" si="32"/>
        <v/>
      </c>
      <c r="AM153" s="48" t="str">
        <f t="shared" si="33"/>
        <v/>
      </c>
      <c r="AN153" s="293"/>
      <c r="AO153" s="293"/>
      <c r="AP153" s="293"/>
      <c r="AQ153" s="293"/>
      <c r="AR153" s="293"/>
      <c r="AS153" s="293"/>
      <c r="AT153" s="293"/>
      <c r="AU153" s="294" t="str">
        <f>IFERROR(VLOOKUP(AT153,'Seguridad Información'!$I$61:$J$65,2,0),"")</f>
        <v/>
      </c>
      <c r="AV153" s="79"/>
      <c r="AW153" s="78" t="str">
        <f t="shared" si="24"/>
        <v/>
      </c>
      <c r="AX153" s="77" t="str">
        <f t="shared" si="34"/>
        <v/>
      </c>
      <c r="AY153" s="21" t="str">
        <f>IFERROR(VLOOKUP((CONCATENATE(AM153,AX153)),Listados!$U$3:$V$11,2,FALSE),"")</f>
        <v/>
      </c>
      <c r="AZ153" s="48">
        <f t="shared" si="35"/>
        <v>100</v>
      </c>
      <c r="BA153" s="355"/>
      <c r="BB153" s="357"/>
      <c r="BC153" s="173">
        <f>+IF(AND(W153="Preventivo",BB151="Fuerte"),2,IF(AND(W153="Preventivo",BB151="Moderado"),1,0))</f>
        <v>0</v>
      </c>
      <c r="BD153" s="64">
        <f>+IF(AND(W153="Detectivo/Correctivo",$BB151="Fuerte"),2,IF(AND(W153="Detectivo/Correctivo",$BB153="Moderado"),1,IF(AND(W153="Preventivo",$BB151="Fuerte"),1,0)))</f>
        <v>0</v>
      </c>
      <c r="BE153" s="173" t="e">
        <f>+N151-BC153</f>
        <v>#N/A</v>
      </c>
      <c r="BF153" s="173" t="e">
        <f>+P151-BD153</f>
        <v>#N/A</v>
      </c>
      <c r="BG153" s="346"/>
      <c r="BH153" s="346"/>
      <c r="BI153" s="346"/>
      <c r="BJ153" s="538"/>
      <c r="BK153" s="538"/>
      <c r="BL153" s="538"/>
      <c r="BM153" s="538"/>
    </row>
    <row r="154" spans="1:65" ht="65.099999999999994" customHeight="1" thickBot="1">
      <c r="A154" s="329"/>
      <c r="B154" s="514"/>
      <c r="C154" s="364"/>
      <c r="D154" s="233"/>
      <c r="E154" s="233"/>
      <c r="F154" s="433"/>
      <c r="G154" s="367"/>
      <c r="H154" s="100"/>
      <c r="I154" s="237"/>
      <c r="J154" s="100"/>
      <c r="K154" s="236"/>
      <c r="L154" s="222"/>
      <c r="M154" s="370"/>
      <c r="N154" s="349"/>
      <c r="O154" s="352"/>
      <c r="P154" s="349"/>
      <c r="Q154" s="353"/>
      <c r="R154" s="346"/>
      <c r="S154" s="208"/>
      <c r="T154" s="97"/>
      <c r="U154" s="47" t="s">
        <v>627</v>
      </c>
      <c r="V154" s="215"/>
      <c r="W154" s="215"/>
      <c r="X154" s="215"/>
      <c r="Y154" s="95" t="str">
        <f t="shared" si="25"/>
        <v/>
      </c>
      <c r="Z154" s="215"/>
      <c r="AA154" s="95" t="str">
        <f t="shared" si="26"/>
        <v/>
      </c>
      <c r="AB154" s="208"/>
      <c r="AC154" s="95" t="str">
        <f t="shared" si="27"/>
        <v/>
      </c>
      <c r="AD154" s="208"/>
      <c r="AE154" s="95" t="str">
        <f t="shared" si="28"/>
        <v/>
      </c>
      <c r="AF154" s="208"/>
      <c r="AG154" s="95" t="str">
        <f t="shared" si="29"/>
        <v/>
      </c>
      <c r="AH154" s="208"/>
      <c r="AI154" s="95" t="str">
        <f t="shared" si="30"/>
        <v/>
      </c>
      <c r="AJ154" s="208"/>
      <c r="AK154" s="27" t="str">
        <f t="shared" si="31"/>
        <v/>
      </c>
      <c r="AL154" s="48" t="str">
        <f t="shared" si="32"/>
        <v/>
      </c>
      <c r="AM154" s="48" t="str">
        <f t="shared" si="33"/>
        <v/>
      </c>
      <c r="AN154" s="293"/>
      <c r="AO154" s="293"/>
      <c r="AP154" s="293"/>
      <c r="AQ154" s="293"/>
      <c r="AR154" s="293"/>
      <c r="AS154" s="293"/>
      <c r="AT154" s="293"/>
      <c r="AU154" s="294" t="str">
        <f>IFERROR(VLOOKUP(AT154,'Seguridad Información'!$I$61:$J$65,2,0),"")</f>
        <v/>
      </c>
      <c r="AV154" s="79"/>
      <c r="AW154" s="78" t="str">
        <f t="shared" si="24"/>
        <v/>
      </c>
      <c r="AX154" s="77" t="str">
        <f t="shared" si="34"/>
        <v/>
      </c>
      <c r="AY154" s="21" t="str">
        <f>IFERROR(VLOOKUP((CONCATENATE(AM154,AX154)),Listados!$U$3:$V$11,2,FALSE),"")</f>
        <v/>
      </c>
      <c r="AZ154" s="48">
        <f t="shared" si="35"/>
        <v>100</v>
      </c>
      <c r="BA154" s="355"/>
      <c r="BB154" s="357"/>
      <c r="BC154" s="173">
        <f>+IF(AND(W154="Preventivo",BB151="Fuerte"),2,IF(AND(W154="Preventivo",BB151="Moderado"),1,0))</f>
        <v>0</v>
      </c>
      <c r="BD154" s="64">
        <f>+IF(AND(W154="Detectivo/Correctivo",$BB151="Fuerte"),2,IF(AND(W154="Detectivo/Correctivo",$BB154="Moderado"),1,IF(AND(W154="Preventivo",$BB151="Fuerte"),1,0)))</f>
        <v>0</v>
      </c>
      <c r="BE154" s="173" t="e">
        <f>+N151-BC154</f>
        <v>#N/A</v>
      </c>
      <c r="BF154" s="173" t="e">
        <f>+P151-BD154</f>
        <v>#N/A</v>
      </c>
      <c r="BG154" s="346"/>
      <c r="BH154" s="346"/>
      <c r="BI154" s="346"/>
      <c r="BJ154" s="538"/>
      <c r="BK154" s="538"/>
      <c r="BL154" s="538"/>
      <c r="BM154" s="538"/>
    </row>
    <row r="155" spans="1:65" ht="65.099999999999994" customHeight="1" thickBot="1">
      <c r="A155" s="329"/>
      <c r="B155" s="514"/>
      <c r="C155" s="364"/>
      <c r="D155" s="109"/>
      <c r="E155" s="109"/>
      <c r="F155" s="433"/>
      <c r="G155" s="367"/>
      <c r="H155" s="100"/>
      <c r="I155" s="237"/>
      <c r="J155" s="100"/>
      <c r="K155" s="29"/>
      <c r="L155" s="222"/>
      <c r="M155" s="370"/>
      <c r="N155" s="349"/>
      <c r="O155" s="352"/>
      <c r="P155" s="349"/>
      <c r="Q155" s="353"/>
      <c r="R155" s="346"/>
      <c r="S155" s="208"/>
      <c r="T155" s="195"/>
      <c r="U155" s="47" t="s">
        <v>627</v>
      </c>
      <c r="V155" s="215"/>
      <c r="W155" s="215"/>
      <c r="X155" s="215"/>
      <c r="Y155" s="95" t="str">
        <f t="shared" si="25"/>
        <v/>
      </c>
      <c r="Z155" s="215"/>
      <c r="AA155" s="95" t="str">
        <f t="shared" si="26"/>
        <v/>
      </c>
      <c r="AB155" s="208"/>
      <c r="AC155" s="95" t="str">
        <f t="shared" si="27"/>
        <v/>
      </c>
      <c r="AD155" s="208"/>
      <c r="AE155" s="95" t="str">
        <f t="shared" si="28"/>
        <v/>
      </c>
      <c r="AF155" s="208"/>
      <c r="AG155" s="95" t="str">
        <f t="shared" si="29"/>
        <v/>
      </c>
      <c r="AH155" s="208"/>
      <c r="AI155" s="95" t="str">
        <f t="shared" si="30"/>
        <v/>
      </c>
      <c r="AJ155" s="208"/>
      <c r="AK155" s="27" t="str">
        <f t="shared" si="31"/>
        <v/>
      </c>
      <c r="AL155" s="48" t="str">
        <f t="shared" si="32"/>
        <v/>
      </c>
      <c r="AM155" s="48" t="str">
        <f t="shared" si="33"/>
        <v/>
      </c>
      <c r="AN155" s="293"/>
      <c r="AO155" s="293"/>
      <c r="AP155" s="293"/>
      <c r="AQ155" s="293"/>
      <c r="AR155" s="293"/>
      <c r="AS155" s="293"/>
      <c r="AT155" s="293"/>
      <c r="AU155" s="294" t="str">
        <f>IFERROR(VLOOKUP(AT155,'Seguridad Información'!$I$61:$J$65,2,0),"")</f>
        <v/>
      </c>
      <c r="AV155" s="79"/>
      <c r="AW155" s="78" t="str">
        <f t="shared" si="24"/>
        <v/>
      </c>
      <c r="AX155" s="77" t="str">
        <f t="shared" si="34"/>
        <v/>
      </c>
      <c r="AY155" s="21" t="str">
        <f>IFERROR(VLOOKUP((CONCATENATE(AM155,AX155)),Listados!$U$3:$V$11,2,FALSE),"")</f>
        <v/>
      </c>
      <c r="AZ155" s="48">
        <f t="shared" si="35"/>
        <v>100</v>
      </c>
      <c r="BA155" s="355"/>
      <c r="BB155" s="357"/>
      <c r="BC155" s="173">
        <f>+IF(AND(W155="Preventivo",BB151="Fuerte"),2,IF(AND(W155="Preventivo",BB151="Moderado"),1,0))</f>
        <v>0</v>
      </c>
      <c r="BD155" s="64">
        <f>+IF(AND(W155="Detectivo/Correctivo",$BB151="Fuerte"),2,IF(AND(W155="Detectivo/Correctivo",$BB155="Moderado"),1,IF(AND(W155="Preventivo",$BB151="Fuerte"),1,0)))</f>
        <v>0</v>
      </c>
      <c r="BE155" s="173" t="e">
        <f>+N151-BC155</f>
        <v>#N/A</v>
      </c>
      <c r="BF155" s="173" t="e">
        <f>+P151-BD155</f>
        <v>#N/A</v>
      </c>
      <c r="BG155" s="346"/>
      <c r="BH155" s="346"/>
      <c r="BI155" s="346"/>
      <c r="BJ155" s="538"/>
      <c r="BK155" s="538"/>
      <c r="BL155" s="538"/>
      <c r="BM155" s="538"/>
    </row>
    <row r="156" spans="1:65" ht="65.099999999999994" customHeight="1" thickBot="1">
      <c r="A156" s="330"/>
      <c r="B156" s="514"/>
      <c r="C156" s="365"/>
      <c r="D156" s="106"/>
      <c r="E156" s="106"/>
      <c r="F156" s="434"/>
      <c r="G156" s="368"/>
      <c r="H156" s="100"/>
      <c r="I156" s="237"/>
      <c r="J156" s="100"/>
      <c r="K156" s="31"/>
      <c r="L156" s="222"/>
      <c r="M156" s="370"/>
      <c r="N156" s="350"/>
      <c r="O156" s="352"/>
      <c r="P156" s="350"/>
      <c r="Q156" s="353"/>
      <c r="R156" s="347"/>
      <c r="S156" s="208"/>
      <c r="T156" s="98"/>
      <c r="U156" s="47" t="s">
        <v>627</v>
      </c>
      <c r="V156" s="215"/>
      <c r="W156" s="215"/>
      <c r="X156" s="215"/>
      <c r="Y156" s="95" t="str">
        <f t="shared" si="25"/>
        <v/>
      </c>
      <c r="Z156" s="215"/>
      <c r="AA156" s="95" t="str">
        <f t="shared" si="26"/>
        <v/>
      </c>
      <c r="AB156" s="208"/>
      <c r="AC156" s="95" t="str">
        <f t="shared" si="27"/>
        <v/>
      </c>
      <c r="AD156" s="208"/>
      <c r="AE156" s="95" t="str">
        <f t="shared" si="28"/>
        <v/>
      </c>
      <c r="AF156" s="208"/>
      <c r="AG156" s="95" t="str">
        <f t="shared" si="29"/>
        <v/>
      </c>
      <c r="AH156" s="208"/>
      <c r="AI156" s="95" t="str">
        <f t="shared" si="30"/>
        <v/>
      </c>
      <c r="AJ156" s="208"/>
      <c r="AK156" s="27" t="str">
        <f t="shared" si="31"/>
        <v/>
      </c>
      <c r="AL156" s="48" t="str">
        <f t="shared" si="32"/>
        <v/>
      </c>
      <c r="AM156" s="48" t="str">
        <f t="shared" si="33"/>
        <v/>
      </c>
      <c r="AN156" s="293"/>
      <c r="AO156" s="293"/>
      <c r="AP156" s="293"/>
      <c r="AQ156" s="293"/>
      <c r="AR156" s="293"/>
      <c r="AS156" s="293"/>
      <c r="AT156" s="293"/>
      <c r="AU156" s="294" t="str">
        <f>IFERROR(VLOOKUP(AT156,'Seguridad Información'!$I$61:$J$65,2,0),"")</f>
        <v/>
      </c>
      <c r="AV156" s="79"/>
      <c r="AW156" s="78" t="str">
        <f t="shared" si="24"/>
        <v/>
      </c>
      <c r="AX156" s="77" t="str">
        <f t="shared" si="34"/>
        <v/>
      </c>
      <c r="AY156" s="21" t="str">
        <f>IFERROR(VLOOKUP((CONCATENATE(AM156,AX156)),Listados!$U$3:$V$11,2,FALSE),"")</f>
        <v/>
      </c>
      <c r="AZ156" s="48">
        <f t="shared" si="35"/>
        <v>100</v>
      </c>
      <c r="BA156" s="356"/>
      <c r="BB156" s="357"/>
      <c r="BC156" s="173">
        <f>+IF(AND(W156="Preventivo",BB151="Fuerte"),2,IF(AND(W156="Preventivo",BB151="Moderado"),1,0))</f>
        <v>0</v>
      </c>
      <c r="BD156" s="64">
        <f>+IF(AND(W156="Detectivo/Correctivo",$BB151="Fuerte"),2,IF(AND(W156="Detectivo/Correctivo",$BB156="Moderado"),1,IF(AND(W156="Preventivo",$BB151="Fuerte"),1,0)))</f>
        <v>0</v>
      </c>
      <c r="BE156" s="173" t="e">
        <f>+N151-BC156</f>
        <v>#N/A</v>
      </c>
      <c r="BF156" s="173" t="e">
        <f>+P151-BD156</f>
        <v>#N/A</v>
      </c>
      <c r="BG156" s="347"/>
      <c r="BH156" s="347"/>
      <c r="BI156" s="347"/>
      <c r="BJ156" s="539"/>
      <c r="BK156" s="539"/>
      <c r="BL156" s="539"/>
      <c r="BM156" s="539"/>
    </row>
    <row r="157" spans="1:65" ht="65.099999999999994" customHeight="1" thickBot="1">
      <c r="A157" s="328">
        <v>26</v>
      </c>
      <c r="B157" s="519"/>
      <c r="C157" s="371" t="str">
        <f>IFERROR(VLOOKUP(B157,Listados!B$3:C$20,2,FALSE),"")</f>
        <v/>
      </c>
      <c r="D157" s="107"/>
      <c r="E157" s="107"/>
      <c r="F157" s="432"/>
      <c r="G157" s="372"/>
      <c r="H157" s="100"/>
      <c r="I157" s="237"/>
      <c r="J157" s="100"/>
      <c r="K157" s="103"/>
      <c r="L157" s="17"/>
      <c r="M157" s="369"/>
      <c r="N157" s="348" t="e">
        <f>+VLOOKUP(M157,Listados!$K$8:$L$12,2,0)</f>
        <v>#N/A</v>
      </c>
      <c r="O157" s="351"/>
      <c r="P157" s="348" t="e">
        <f>+VLOOKUP(O157,Listados!$K$13:$L$17,2,0)</f>
        <v>#N/A</v>
      </c>
      <c r="Q157" s="347" t="str">
        <f>IF(AND(M157&lt;&gt;"",O157&lt;&gt;""),VLOOKUP(M157&amp;O157,Listados!$M$3:$N$27,2,FALSE),"")</f>
        <v/>
      </c>
      <c r="R157" s="345" t="e">
        <f>+VLOOKUP(Q157,Listados!$P$3:$Q$6,2,FALSE)</f>
        <v>#N/A</v>
      </c>
      <c r="S157" s="208"/>
      <c r="T157" s="94"/>
      <c r="U157" s="47" t="s">
        <v>627</v>
      </c>
      <c r="V157" s="215"/>
      <c r="W157" s="215"/>
      <c r="X157" s="215"/>
      <c r="Y157" s="95" t="str">
        <f t="shared" si="25"/>
        <v/>
      </c>
      <c r="Z157" s="215"/>
      <c r="AA157" s="95" t="str">
        <f t="shared" si="26"/>
        <v/>
      </c>
      <c r="AB157" s="208"/>
      <c r="AC157" s="95" t="str">
        <f t="shared" si="27"/>
        <v/>
      </c>
      <c r="AD157" s="208"/>
      <c r="AE157" s="95" t="str">
        <f t="shared" si="28"/>
        <v/>
      </c>
      <c r="AF157" s="208"/>
      <c r="AG157" s="95" t="str">
        <f t="shared" si="29"/>
        <v/>
      </c>
      <c r="AH157" s="208"/>
      <c r="AI157" s="95" t="str">
        <f t="shared" si="30"/>
        <v/>
      </c>
      <c r="AJ157" s="208"/>
      <c r="AK157" s="27" t="str">
        <f t="shared" si="31"/>
        <v/>
      </c>
      <c r="AL157" s="48" t="str">
        <f t="shared" si="32"/>
        <v/>
      </c>
      <c r="AM157" s="48" t="str">
        <f t="shared" si="33"/>
        <v/>
      </c>
      <c r="AN157" s="293"/>
      <c r="AO157" s="293"/>
      <c r="AP157" s="293"/>
      <c r="AQ157" s="293"/>
      <c r="AR157" s="293"/>
      <c r="AS157" s="293"/>
      <c r="AT157" s="293"/>
      <c r="AU157" s="294" t="str">
        <f>IFERROR(VLOOKUP(AT157,'Seguridad Información'!$I$61:$J$65,2,0),"")</f>
        <v/>
      </c>
      <c r="AV157" s="79"/>
      <c r="AW157" s="78" t="str">
        <f t="shared" si="24"/>
        <v/>
      </c>
      <c r="AX157" s="77" t="str">
        <f t="shared" si="34"/>
        <v/>
      </c>
      <c r="AY157" s="21" t="str">
        <f>IFERROR(VLOOKUP((CONCATENATE(AM157,AX157)),Listados!$U$3:$V$11,2,FALSE),"")</f>
        <v/>
      </c>
      <c r="AZ157" s="48">
        <f t="shared" si="35"/>
        <v>100</v>
      </c>
      <c r="BA157" s="354">
        <f>AVERAGE(AZ157:AZ162)</f>
        <v>100</v>
      </c>
      <c r="BB157" s="356" t="str">
        <f>IF(BA157&lt;=50, "Débil", IF(BA157&lt;=99,"Moderado","Fuerte"))</f>
        <v>Fuerte</v>
      </c>
      <c r="BC157" s="173">
        <f>+IF(AND(W157="Preventivo",BB157="Fuerte"),2,IF(AND(W157="Preventivo",BB157="Moderado"),1,0))</f>
        <v>0</v>
      </c>
      <c r="BD157" s="64">
        <f>+IF(AND(W157="Detectivo/Correctivo",$BB157="Fuerte"),2,IF(AND(W157="Detectivo/Correctivo",$BB157="Moderado"),1,IF(AND(W157="Preventivo",$BB157="Fuerte"),1,0)))</f>
        <v>0</v>
      </c>
      <c r="BE157" s="173" t="e">
        <f>+N157-BC157</f>
        <v>#N/A</v>
      </c>
      <c r="BF157" s="173" t="e">
        <f>+P157-BD157</f>
        <v>#N/A</v>
      </c>
      <c r="BG157" s="345" t="e">
        <f>+VLOOKUP(MIN(BE157,BE158,BE159,BE160,BE161,BE162),Listados!$J$18:$K$24,2,TRUE)</f>
        <v>#N/A</v>
      </c>
      <c r="BH157" s="345" t="e">
        <f>+VLOOKUP(MIN(BF157,BF158,BF159,BF160,BF161,BF162),Listados!$J$27:$K$32,2,TRUE)</f>
        <v>#N/A</v>
      </c>
      <c r="BI157" s="345" t="e">
        <f>IF(AND(BG157&lt;&gt;"",BH157&lt;&gt;""),VLOOKUP(BG157&amp;BH157,Listados!$M$3:$N$27,2,FALSE),"")</f>
        <v>#N/A</v>
      </c>
      <c r="BJ157" s="537" t="e">
        <f>+IF($R157="Asumir el riesgo","NA","")</f>
        <v>#N/A</v>
      </c>
      <c r="BK157" s="537" t="e">
        <f>+IF($R157="Asumir el riesgo","NA","")</f>
        <v>#N/A</v>
      </c>
      <c r="BL157" s="537" t="e">
        <f>+IF($R157="Asumir el riesgo","NA","")</f>
        <v>#N/A</v>
      </c>
      <c r="BM157" s="537" t="e">
        <f>+IF($R157="Asumir el riesgo","NA","")</f>
        <v>#N/A</v>
      </c>
    </row>
    <row r="158" spans="1:65" ht="65.099999999999994" customHeight="1" thickBot="1">
      <c r="A158" s="329"/>
      <c r="B158" s="514"/>
      <c r="C158" s="364"/>
      <c r="D158" s="233"/>
      <c r="E158" s="233"/>
      <c r="F158" s="433"/>
      <c r="G158" s="367"/>
      <c r="H158" s="100"/>
      <c r="I158" s="237"/>
      <c r="J158" s="100"/>
      <c r="K158" s="236"/>
      <c r="L158" s="222"/>
      <c r="M158" s="370"/>
      <c r="N158" s="349"/>
      <c r="O158" s="352"/>
      <c r="P158" s="349"/>
      <c r="Q158" s="353"/>
      <c r="R158" s="346"/>
      <c r="S158" s="208"/>
      <c r="T158" s="195"/>
      <c r="U158" s="47" t="s">
        <v>627</v>
      </c>
      <c r="V158" s="215"/>
      <c r="W158" s="215"/>
      <c r="X158" s="215"/>
      <c r="Y158" s="95" t="str">
        <f t="shared" si="25"/>
        <v/>
      </c>
      <c r="Z158" s="215"/>
      <c r="AA158" s="95" t="str">
        <f t="shared" si="26"/>
        <v/>
      </c>
      <c r="AB158" s="208"/>
      <c r="AC158" s="95" t="str">
        <f t="shared" si="27"/>
        <v/>
      </c>
      <c r="AD158" s="208"/>
      <c r="AE158" s="95" t="str">
        <f t="shared" si="28"/>
        <v/>
      </c>
      <c r="AF158" s="208"/>
      <c r="AG158" s="95" t="str">
        <f t="shared" si="29"/>
        <v/>
      </c>
      <c r="AH158" s="208"/>
      <c r="AI158" s="95" t="str">
        <f t="shared" si="30"/>
        <v/>
      </c>
      <c r="AJ158" s="208"/>
      <c r="AK158" s="27" t="str">
        <f t="shared" si="31"/>
        <v/>
      </c>
      <c r="AL158" s="48" t="str">
        <f t="shared" si="32"/>
        <v/>
      </c>
      <c r="AM158" s="48" t="str">
        <f t="shared" si="33"/>
        <v/>
      </c>
      <c r="AN158" s="293"/>
      <c r="AO158" s="293"/>
      <c r="AP158" s="293"/>
      <c r="AQ158" s="293"/>
      <c r="AR158" s="293"/>
      <c r="AS158" s="293"/>
      <c r="AT158" s="293"/>
      <c r="AU158" s="294" t="str">
        <f>IFERROR(VLOOKUP(AT158,'Seguridad Información'!$I$61:$J$65,2,0),"")</f>
        <v/>
      </c>
      <c r="AV158" s="79"/>
      <c r="AW158" s="78" t="str">
        <f t="shared" si="24"/>
        <v/>
      </c>
      <c r="AX158" s="77" t="str">
        <f t="shared" si="34"/>
        <v/>
      </c>
      <c r="AY158" s="21" t="str">
        <f>IFERROR(VLOOKUP((CONCATENATE(AM158,AX158)),Listados!$U$3:$V$11,2,FALSE),"")</f>
        <v/>
      </c>
      <c r="AZ158" s="48">
        <f t="shared" si="35"/>
        <v>100</v>
      </c>
      <c r="BA158" s="355"/>
      <c r="BB158" s="357"/>
      <c r="BC158" s="173">
        <f>+IF(AND(W158="Preventivo",BB157="Fuerte"),2,IF(AND(W158="Preventivo",BB157="Moderado"),1,0))</f>
        <v>0</v>
      </c>
      <c r="BD158" s="64">
        <f>+IF(AND(W158="Detectivo/Correctivo",$BB157="Fuerte"),2,IF(AND(W158="Detectivo/Correctivo",$BB158="Moderado"),1,IF(AND(W158="Preventivo",$BB157="Fuerte"),1,0)))</f>
        <v>0</v>
      </c>
      <c r="BE158" s="173" t="e">
        <f>+N157-BC158</f>
        <v>#N/A</v>
      </c>
      <c r="BF158" s="173" t="e">
        <f>+P157-BD158</f>
        <v>#N/A</v>
      </c>
      <c r="BG158" s="346"/>
      <c r="BH158" s="346"/>
      <c r="BI158" s="346"/>
      <c r="BJ158" s="538"/>
      <c r="BK158" s="538"/>
      <c r="BL158" s="538"/>
      <c r="BM158" s="538"/>
    </row>
    <row r="159" spans="1:65" ht="65.099999999999994" customHeight="1" thickBot="1">
      <c r="A159" s="329"/>
      <c r="B159" s="514"/>
      <c r="C159" s="364"/>
      <c r="D159" s="233"/>
      <c r="E159" s="233"/>
      <c r="F159" s="433"/>
      <c r="G159" s="367"/>
      <c r="H159" s="100"/>
      <c r="I159" s="237"/>
      <c r="J159" s="100"/>
      <c r="K159" s="236"/>
      <c r="L159" s="222"/>
      <c r="M159" s="370"/>
      <c r="N159" s="349"/>
      <c r="O159" s="352"/>
      <c r="P159" s="349"/>
      <c r="Q159" s="353"/>
      <c r="R159" s="346"/>
      <c r="S159" s="208"/>
      <c r="T159" s="96"/>
      <c r="U159" s="47" t="s">
        <v>627</v>
      </c>
      <c r="V159" s="215"/>
      <c r="W159" s="215"/>
      <c r="X159" s="215"/>
      <c r="Y159" s="95" t="str">
        <f t="shared" si="25"/>
        <v/>
      </c>
      <c r="Z159" s="215"/>
      <c r="AA159" s="95" t="str">
        <f t="shared" si="26"/>
        <v/>
      </c>
      <c r="AB159" s="208"/>
      <c r="AC159" s="95" t="str">
        <f t="shared" si="27"/>
        <v/>
      </c>
      <c r="AD159" s="208"/>
      <c r="AE159" s="95" t="str">
        <f t="shared" si="28"/>
        <v/>
      </c>
      <c r="AF159" s="208"/>
      <c r="AG159" s="95" t="str">
        <f t="shared" si="29"/>
        <v/>
      </c>
      <c r="AH159" s="208"/>
      <c r="AI159" s="95" t="str">
        <f t="shared" si="30"/>
        <v/>
      </c>
      <c r="AJ159" s="208"/>
      <c r="AK159" s="27" t="str">
        <f t="shared" si="31"/>
        <v/>
      </c>
      <c r="AL159" s="48" t="str">
        <f t="shared" si="32"/>
        <v/>
      </c>
      <c r="AM159" s="48" t="str">
        <f t="shared" si="33"/>
        <v/>
      </c>
      <c r="AN159" s="293"/>
      <c r="AO159" s="293"/>
      <c r="AP159" s="293"/>
      <c r="AQ159" s="293"/>
      <c r="AR159" s="293"/>
      <c r="AS159" s="293"/>
      <c r="AT159" s="293"/>
      <c r="AU159" s="294" t="str">
        <f>IFERROR(VLOOKUP(AT159,'Seguridad Información'!$I$61:$J$65,2,0),"")</f>
        <v/>
      </c>
      <c r="AV159" s="79"/>
      <c r="AW159" s="78" t="str">
        <f t="shared" si="24"/>
        <v/>
      </c>
      <c r="AX159" s="77" t="str">
        <f t="shared" si="34"/>
        <v/>
      </c>
      <c r="AY159" s="21" t="str">
        <f>IFERROR(VLOOKUP((CONCATENATE(AM159,AX159)),Listados!$U$3:$V$11,2,FALSE),"")</f>
        <v/>
      </c>
      <c r="AZ159" s="48">
        <f t="shared" si="35"/>
        <v>100</v>
      </c>
      <c r="BA159" s="355"/>
      <c r="BB159" s="357"/>
      <c r="BC159" s="173">
        <f>+IF(AND(W159="Preventivo",BB157="Fuerte"),2,IF(AND(W159="Preventivo",BB157="Moderado"),1,0))</f>
        <v>0</v>
      </c>
      <c r="BD159" s="64">
        <f>+IF(AND(W159="Detectivo/Correctivo",$BB157="Fuerte"),2,IF(AND(W159="Detectivo/Correctivo",$BB159="Moderado"),1,IF(AND(W159="Preventivo",$BB157="Fuerte"),1,0)))</f>
        <v>0</v>
      </c>
      <c r="BE159" s="173" t="e">
        <f>+N157-BC159</f>
        <v>#N/A</v>
      </c>
      <c r="BF159" s="173" t="e">
        <f>+P157-BD159</f>
        <v>#N/A</v>
      </c>
      <c r="BG159" s="346"/>
      <c r="BH159" s="346"/>
      <c r="BI159" s="346"/>
      <c r="BJ159" s="538"/>
      <c r="BK159" s="538"/>
      <c r="BL159" s="538"/>
      <c r="BM159" s="538"/>
    </row>
    <row r="160" spans="1:65" ht="65.099999999999994" customHeight="1" thickBot="1">
      <c r="A160" s="329"/>
      <c r="B160" s="514"/>
      <c r="C160" s="364"/>
      <c r="D160" s="233"/>
      <c r="E160" s="233"/>
      <c r="F160" s="433"/>
      <c r="G160" s="367"/>
      <c r="H160" s="100"/>
      <c r="I160" s="237"/>
      <c r="J160" s="100"/>
      <c r="K160" s="236"/>
      <c r="L160" s="222"/>
      <c r="M160" s="370"/>
      <c r="N160" s="349"/>
      <c r="O160" s="352"/>
      <c r="P160" s="349"/>
      <c r="Q160" s="353"/>
      <c r="R160" s="346"/>
      <c r="S160" s="208"/>
      <c r="T160" s="97"/>
      <c r="U160" s="47" t="s">
        <v>627</v>
      </c>
      <c r="V160" s="215"/>
      <c r="W160" s="215"/>
      <c r="X160" s="215"/>
      <c r="Y160" s="95" t="str">
        <f t="shared" si="25"/>
        <v/>
      </c>
      <c r="Z160" s="215"/>
      <c r="AA160" s="95" t="str">
        <f t="shared" si="26"/>
        <v/>
      </c>
      <c r="AB160" s="208"/>
      <c r="AC160" s="95" t="str">
        <f t="shared" si="27"/>
        <v/>
      </c>
      <c r="AD160" s="208"/>
      <c r="AE160" s="95" t="str">
        <f t="shared" si="28"/>
        <v/>
      </c>
      <c r="AF160" s="208"/>
      <c r="AG160" s="95" t="str">
        <f t="shared" si="29"/>
        <v/>
      </c>
      <c r="AH160" s="208"/>
      <c r="AI160" s="95" t="str">
        <f t="shared" si="30"/>
        <v/>
      </c>
      <c r="AJ160" s="208"/>
      <c r="AK160" s="27" t="str">
        <f t="shared" si="31"/>
        <v/>
      </c>
      <c r="AL160" s="48" t="str">
        <f t="shared" si="32"/>
        <v/>
      </c>
      <c r="AM160" s="48" t="str">
        <f t="shared" si="33"/>
        <v/>
      </c>
      <c r="AN160" s="293"/>
      <c r="AO160" s="293"/>
      <c r="AP160" s="293"/>
      <c r="AQ160" s="293"/>
      <c r="AR160" s="293"/>
      <c r="AS160" s="293"/>
      <c r="AT160" s="293"/>
      <c r="AU160" s="294" t="str">
        <f>IFERROR(VLOOKUP(AT160,'Seguridad Información'!$I$61:$J$65,2,0),"")</f>
        <v/>
      </c>
      <c r="AV160" s="79"/>
      <c r="AW160" s="78" t="str">
        <f t="shared" si="24"/>
        <v/>
      </c>
      <c r="AX160" s="77" t="str">
        <f t="shared" si="34"/>
        <v/>
      </c>
      <c r="AY160" s="21" t="str">
        <f>IFERROR(VLOOKUP((CONCATENATE(AM160,AX160)),Listados!$U$3:$V$11,2,FALSE),"")</f>
        <v/>
      </c>
      <c r="AZ160" s="48">
        <f t="shared" si="35"/>
        <v>100</v>
      </c>
      <c r="BA160" s="355"/>
      <c r="BB160" s="357"/>
      <c r="BC160" s="173">
        <f>+IF(AND(W160="Preventivo",BB157="Fuerte"),2,IF(AND(W160="Preventivo",BB157="Moderado"),1,0))</f>
        <v>0</v>
      </c>
      <c r="BD160" s="64">
        <f>+IF(AND(W160="Detectivo/Correctivo",$BB157="Fuerte"),2,IF(AND(W160="Detectivo/Correctivo",$BB160="Moderado"),1,IF(AND(W160="Preventivo",$BB157="Fuerte"),1,0)))</f>
        <v>0</v>
      </c>
      <c r="BE160" s="173" t="e">
        <f>+N157-BC160</f>
        <v>#N/A</v>
      </c>
      <c r="BF160" s="173" t="e">
        <f>+P157-BD160</f>
        <v>#N/A</v>
      </c>
      <c r="BG160" s="346"/>
      <c r="BH160" s="346"/>
      <c r="BI160" s="346"/>
      <c r="BJ160" s="538"/>
      <c r="BK160" s="538"/>
      <c r="BL160" s="538"/>
      <c r="BM160" s="538"/>
    </row>
    <row r="161" spans="1:65" ht="65.099999999999994" customHeight="1" thickBot="1">
      <c r="A161" s="329"/>
      <c r="B161" s="514"/>
      <c r="C161" s="364"/>
      <c r="D161" s="109"/>
      <c r="E161" s="109"/>
      <c r="F161" s="433"/>
      <c r="G161" s="367"/>
      <c r="H161" s="100"/>
      <c r="I161" s="237"/>
      <c r="J161" s="100"/>
      <c r="K161" s="29"/>
      <c r="L161" s="222"/>
      <c r="M161" s="370"/>
      <c r="N161" s="349"/>
      <c r="O161" s="352"/>
      <c r="P161" s="349"/>
      <c r="Q161" s="353"/>
      <c r="R161" s="346"/>
      <c r="S161" s="208"/>
      <c r="T161" s="195"/>
      <c r="U161" s="47" t="s">
        <v>627</v>
      </c>
      <c r="V161" s="215"/>
      <c r="W161" s="215"/>
      <c r="X161" s="215"/>
      <c r="Y161" s="95" t="str">
        <f t="shared" si="25"/>
        <v/>
      </c>
      <c r="Z161" s="215"/>
      <c r="AA161" s="95" t="str">
        <f t="shared" si="26"/>
        <v/>
      </c>
      <c r="AB161" s="208"/>
      <c r="AC161" s="95" t="str">
        <f t="shared" si="27"/>
        <v/>
      </c>
      <c r="AD161" s="208"/>
      <c r="AE161" s="95" t="str">
        <f t="shared" si="28"/>
        <v/>
      </c>
      <c r="AF161" s="208"/>
      <c r="AG161" s="95" t="str">
        <f t="shared" si="29"/>
        <v/>
      </c>
      <c r="AH161" s="208"/>
      <c r="AI161" s="95" t="str">
        <f t="shared" si="30"/>
        <v/>
      </c>
      <c r="AJ161" s="208"/>
      <c r="AK161" s="27" t="str">
        <f t="shared" si="31"/>
        <v/>
      </c>
      <c r="AL161" s="48" t="str">
        <f t="shared" si="32"/>
        <v/>
      </c>
      <c r="AM161" s="48" t="str">
        <f t="shared" si="33"/>
        <v/>
      </c>
      <c r="AN161" s="293"/>
      <c r="AO161" s="293"/>
      <c r="AP161" s="293"/>
      <c r="AQ161" s="293"/>
      <c r="AR161" s="293"/>
      <c r="AS161" s="293"/>
      <c r="AT161" s="293"/>
      <c r="AU161" s="294" t="str">
        <f>IFERROR(VLOOKUP(AT161,'Seguridad Información'!$I$61:$J$65,2,0),"")</f>
        <v/>
      </c>
      <c r="AV161" s="79"/>
      <c r="AW161" s="78" t="str">
        <f t="shared" si="24"/>
        <v/>
      </c>
      <c r="AX161" s="77" t="str">
        <f t="shared" si="34"/>
        <v/>
      </c>
      <c r="AY161" s="21" t="str">
        <f>IFERROR(VLOOKUP((CONCATENATE(AM161,AX161)),Listados!$U$3:$V$11,2,FALSE),"")</f>
        <v/>
      </c>
      <c r="AZ161" s="48">
        <f t="shared" si="35"/>
        <v>100</v>
      </c>
      <c r="BA161" s="355"/>
      <c r="BB161" s="357"/>
      <c r="BC161" s="173">
        <f>+IF(AND(W161="Preventivo",BB157="Fuerte"),2,IF(AND(W161="Preventivo",BB157="Moderado"),1,0))</f>
        <v>0</v>
      </c>
      <c r="BD161" s="64">
        <f>+IF(AND(W161="Detectivo/Correctivo",$BB157="Fuerte"),2,IF(AND(W161="Detectivo/Correctivo",$BB161="Moderado"),1,IF(AND(W161="Preventivo",$BB157="Fuerte"),1,0)))</f>
        <v>0</v>
      </c>
      <c r="BE161" s="173" t="e">
        <f>+N157-BC161</f>
        <v>#N/A</v>
      </c>
      <c r="BF161" s="173" t="e">
        <f>+P157-BD161</f>
        <v>#N/A</v>
      </c>
      <c r="BG161" s="346"/>
      <c r="BH161" s="346"/>
      <c r="BI161" s="346"/>
      <c r="BJ161" s="538"/>
      <c r="BK161" s="538"/>
      <c r="BL161" s="538"/>
      <c r="BM161" s="538"/>
    </row>
    <row r="162" spans="1:65" ht="65.099999999999994" customHeight="1" thickBot="1">
      <c r="A162" s="330"/>
      <c r="B162" s="514"/>
      <c r="C162" s="365"/>
      <c r="D162" s="106"/>
      <c r="E162" s="106"/>
      <c r="F162" s="434"/>
      <c r="G162" s="368"/>
      <c r="H162" s="100"/>
      <c r="I162" s="237"/>
      <c r="J162" s="100"/>
      <c r="K162" s="31"/>
      <c r="L162" s="222"/>
      <c r="M162" s="370"/>
      <c r="N162" s="350"/>
      <c r="O162" s="352"/>
      <c r="P162" s="350"/>
      <c r="Q162" s="353"/>
      <c r="R162" s="347"/>
      <c r="S162" s="208"/>
      <c r="T162" s="98"/>
      <c r="U162" s="47" t="s">
        <v>627</v>
      </c>
      <c r="V162" s="215"/>
      <c r="W162" s="215"/>
      <c r="X162" s="215"/>
      <c r="Y162" s="95" t="str">
        <f t="shared" si="25"/>
        <v/>
      </c>
      <c r="Z162" s="215"/>
      <c r="AA162" s="95" t="str">
        <f t="shared" si="26"/>
        <v/>
      </c>
      <c r="AB162" s="208"/>
      <c r="AC162" s="95" t="str">
        <f t="shared" si="27"/>
        <v/>
      </c>
      <c r="AD162" s="208"/>
      <c r="AE162" s="95" t="str">
        <f t="shared" si="28"/>
        <v/>
      </c>
      <c r="AF162" s="208"/>
      <c r="AG162" s="95" t="str">
        <f t="shared" si="29"/>
        <v/>
      </c>
      <c r="AH162" s="208"/>
      <c r="AI162" s="95" t="str">
        <f t="shared" si="30"/>
        <v/>
      </c>
      <c r="AJ162" s="208"/>
      <c r="AK162" s="27" t="str">
        <f t="shared" si="31"/>
        <v/>
      </c>
      <c r="AL162" s="48" t="str">
        <f t="shared" si="32"/>
        <v/>
      </c>
      <c r="AM162" s="48" t="str">
        <f t="shared" si="33"/>
        <v/>
      </c>
      <c r="AN162" s="293"/>
      <c r="AO162" s="293"/>
      <c r="AP162" s="293"/>
      <c r="AQ162" s="293"/>
      <c r="AR162" s="293"/>
      <c r="AS162" s="293"/>
      <c r="AT162" s="293"/>
      <c r="AU162" s="294" t="str">
        <f>IFERROR(VLOOKUP(AT162,'Seguridad Información'!$I$61:$J$65,2,0),"")</f>
        <v/>
      </c>
      <c r="AV162" s="79"/>
      <c r="AW162" s="78" t="str">
        <f t="shared" si="24"/>
        <v/>
      </c>
      <c r="AX162" s="77" t="str">
        <f t="shared" si="34"/>
        <v/>
      </c>
      <c r="AY162" s="21" t="str">
        <f>IFERROR(VLOOKUP((CONCATENATE(AM162,AX162)),Listados!$U$3:$V$11,2,FALSE),"")</f>
        <v/>
      </c>
      <c r="AZ162" s="48">
        <f t="shared" si="35"/>
        <v>100</v>
      </c>
      <c r="BA162" s="356"/>
      <c r="BB162" s="357"/>
      <c r="BC162" s="173">
        <f>+IF(AND(W162="Preventivo",BB157="Fuerte"),2,IF(AND(W162="Preventivo",BB157="Moderado"),1,0))</f>
        <v>0</v>
      </c>
      <c r="BD162" s="64">
        <f>+IF(AND(W162="Detectivo/Correctivo",$BB157="Fuerte"),2,IF(AND(W162="Detectivo/Correctivo",$BB162="Moderado"),1,IF(AND(W162="Preventivo",$BB157="Fuerte"),1,0)))</f>
        <v>0</v>
      </c>
      <c r="BE162" s="173" t="e">
        <f>+N157-BC162</f>
        <v>#N/A</v>
      </c>
      <c r="BF162" s="173" t="e">
        <f>+P157-BD162</f>
        <v>#N/A</v>
      </c>
      <c r="BG162" s="347"/>
      <c r="BH162" s="347"/>
      <c r="BI162" s="347"/>
      <c r="BJ162" s="539"/>
      <c r="BK162" s="539"/>
      <c r="BL162" s="539"/>
      <c r="BM162" s="539"/>
    </row>
    <row r="163" spans="1:65" ht="65.099999999999994" customHeight="1" thickBot="1">
      <c r="A163" s="328">
        <v>27</v>
      </c>
      <c r="B163" s="519"/>
      <c r="C163" s="371" t="str">
        <f>IFERROR(VLOOKUP(B163,Listados!B$3:C$20,2,FALSE),"")</f>
        <v/>
      </c>
      <c r="D163" s="107"/>
      <c r="E163" s="107"/>
      <c r="F163" s="432"/>
      <c r="G163" s="372"/>
      <c r="H163" s="100"/>
      <c r="I163" s="237"/>
      <c r="J163" s="100"/>
      <c r="K163" s="103"/>
      <c r="L163" s="17"/>
      <c r="M163" s="369"/>
      <c r="N163" s="348" t="e">
        <f>+VLOOKUP(M163,Listados!$K$8:$L$12,2,0)</f>
        <v>#N/A</v>
      </c>
      <c r="O163" s="351"/>
      <c r="P163" s="348" t="e">
        <f>+VLOOKUP(O163,Listados!$K$13:$L$17,2,0)</f>
        <v>#N/A</v>
      </c>
      <c r="Q163" s="347" t="str">
        <f>IF(AND(M163&lt;&gt;"",O163&lt;&gt;""),VLOOKUP(M163&amp;O163,Listados!$M$3:$N$27,2,FALSE),"")</f>
        <v/>
      </c>
      <c r="R163" s="345" t="e">
        <f>+VLOOKUP(Q163,Listados!$P$3:$Q$6,2,FALSE)</f>
        <v>#N/A</v>
      </c>
      <c r="S163" s="208"/>
      <c r="T163" s="94"/>
      <c r="U163" s="47" t="s">
        <v>627</v>
      </c>
      <c r="V163" s="215"/>
      <c r="W163" s="215"/>
      <c r="X163" s="215"/>
      <c r="Y163" s="95" t="str">
        <f t="shared" si="25"/>
        <v/>
      </c>
      <c r="Z163" s="215"/>
      <c r="AA163" s="95" t="str">
        <f t="shared" si="26"/>
        <v/>
      </c>
      <c r="AB163" s="208"/>
      <c r="AC163" s="95" t="str">
        <f t="shared" si="27"/>
        <v/>
      </c>
      <c r="AD163" s="208"/>
      <c r="AE163" s="95" t="str">
        <f t="shared" si="28"/>
        <v/>
      </c>
      <c r="AF163" s="208"/>
      <c r="AG163" s="95" t="str">
        <f t="shared" si="29"/>
        <v/>
      </c>
      <c r="AH163" s="208"/>
      <c r="AI163" s="95" t="str">
        <f t="shared" si="30"/>
        <v/>
      </c>
      <c r="AJ163" s="208"/>
      <c r="AK163" s="27" t="str">
        <f t="shared" si="31"/>
        <v/>
      </c>
      <c r="AL163" s="48" t="str">
        <f t="shared" si="32"/>
        <v/>
      </c>
      <c r="AM163" s="48" t="str">
        <f t="shared" si="33"/>
        <v/>
      </c>
      <c r="AN163" s="293"/>
      <c r="AO163" s="293"/>
      <c r="AP163" s="293"/>
      <c r="AQ163" s="293"/>
      <c r="AR163" s="293"/>
      <c r="AS163" s="293"/>
      <c r="AT163" s="293"/>
      <c r="AU163" s="294" t="str">
        <f>IFERROR(VLOOKUP(AT163,'Seguridad Información'!$I$61:$J$65,2,0),"")</f>
        <v/>
      </c>
      <c r="AV163" s="79"/>
      <c r="AW163" s="78" t="str">
        <f t="shared" si="24"/>
        <v/>
      </c>
      <c r="AX163" s="77" t="str">
        <f t="shared" si="34"/>
        <v/>
      </c>
      <c r="AY163" s="21" t="str">
        <f>IFERROR(VLOOKUP((CONCATENATE(AM163,AX163)),Listados!$U$3:$V$11,2,FALSE),"")</f>
        <v/>
      </c>
      <c r="AZ163" s="48">
        <f t="shared" si="35"/>
        <v>100</v>
      </c>
      <c r="BA163" s="354">
        <f>AVERAGE(AZ163:AZ168)</f>
        <v>100</v>
      </c>
      <c r="BB163" s="356" t="str">
        <f>IF(BA163&lt;=50, "Débil", IF(BA163&lt;=99,"Moderado","Fuerte"))</f>
        <v>Fuerte</v>
      </c>
      <c r="BC163" s="173">
        <f>+IF(AND(W163="Preventivo",BB163="Fuerte"),2,IF(AND(W163="Preventivo",BB163="Moderado"),1,0))</f>
        <v>0</v>
      </c>
      <c r="BD163" s="64">
        <f>+IF(AND(W163="Detectivo/Correctivo",$BB163="Fuerte"),2,IF(AND(W163="Detectivo/Correctivo",$BB163="Moderado"),1,IF(AND(W163="Preventivo",$BB163="Fuerte"),1,0)))</f>
        <v>0</v>
      </c>
      <c r="BE163" s="173" t="e">
        <f>+N163-BC163</f>
        <v>#N/A</v>
      </c>
      <c r="BF163" s="173" t="e">
        <f>+P163-BD163</f>
        <v>#N/A</v>
      </c>
      <c r="BG163" s="345" t="e">
        <f>+VLOOKUP(MIN(BE163,BE164,BE165,BE166,BE167,BE168),Listados!$J$18:$K$24,2,TRUE)</f>
        <v>#N/A</v>
      </c>
      <c r="BH163" s="345" t="e">
        <f>+VLOOKUP(MIN(BF163,BF164,BF165,BF166,BF167,BF168),Listados!$J$27:$K$32,2,TRUE)</f>
        <v>#N/A</v>
      </c>
      <c r="BI163" s="345" t="e">
        <f>IF(AND(BG163&lt;&gt;"",BH163&lt;&gt;""),VLOOKUP(BG163&amp;BH163,Listados!$M$3:$N$27,2,FALSE),"")</f>
        <v>#N/A</v>
      </c>
      <c r="BJ163" s="537" t="e">
        <f>+IF($R163="Asumir el riesgo","NA","")</f>
        <v>#N/A</v>
      </c>
      <c r="BK163" s="537" t="e">
        <f>+IF($R163="Asumir el riesgo","NA","")</f>
        <v>#N/A</v>
      </c>
      <c r="BL163" s="537" t="e">
        <f>+IF($R163="Asumir el riesgo","NA","")</f>
        <v>#N/A</v>
      </c>
      <c r="BM163" s="537" t="e">
        <f>+IF($R163="Asumir el riesgo","NA","")</f>
        <v>#N/A</v>
      </c>
    </row>
    <row r="164" spans="1:65" ht="65.099999999999994" customHeight="1" thickBot="1">
      <c r="A164" s="329"/>
      <c r="B164" s="514"/>
      <c r="C164" s="364"/>
      <c r="D164" s="233"/>
      <c r="E164" s="233"/>
      <c r="F164" s="433"/>
      <c r="G164" s="367"/>
      <c r="H164" s="100"/>
      <c r="I164" s="237"/>
      <c r="J164" s="100"/>
      <c r="K164" s="236"/>
      <c r="L164" s="222"/>
      <c r="M164" s="370"/>
      <c r="N164" s="349"/>
      <c r="O164" s="352"/>
      <c r="P164" s="349"/>
      <c r="Q164" s="353"/>
      <c r="R164" s="346"/>
      <c r="S164" s="208"/>
      <c r="T164" s="195"/>
      <c r="U164" s="47" t="s">
        <v>627</v>
      </c>
      <c r="V164" s="215"/>
      <c r="W164" s="215"/>
      <c r="X164" s="215"/>
      <c r="Y164" s="95" t="str">
        <f t="shared" si="25"/>
        <v/>
      </c>
      <c r="Z164" s="215"/>
      <c r="AA164" s="95" t="str">
        <f t="shared" si="26"/>
        <v/>
      </c>
      <c r="AB164" s="208"/>
      <c r="AC164" s="95" t="str">
        <f t="shared" si="27"/>
        <v/>
      </c>
      <c r="AD164" s="208"/>
      <c r="AE164" s="95" t="str">
        <f t="shared" si="28"/>
        <v/>
      </c>
      <c r="AF164" s="208"/>
      <c r="AG164" s="95" t="str">
        <f t="shared" si="29"/>
        <v/>
      </c>
      <c r="AH164" s="208"/>
      <c r="AI164" s="95" t="str">
        <f t="shared" si="30"/>
        <v/>
      </c>
      <c r="AJ164" s="208"/>
      <c r="AK164" s="27" t="str">
        <f t="shared" si="31"/>
        <v/>
      </c>
      <c r="AL164" s="48" t="str">
        <f t="shared" si="32"/>
        <v/>
      </c>
      <c r="AM164" s="48" t="str">
        <f t="shared" si="33"/>
        <v/>
      </c>
      <c r="AN164" s="293"/>
      <c r="AO164" s="293"/>
      <c r="AP164" s="293"/>
      <c r="AQ164" s="293"/>
      <c r="AR164" s="293"/>
      <c r="AS164" s="293"/>
      <c r="AT164" s="293"/>
      <c r="AU164" s="294" t="str">
        <f>IFERROR(VLOOKUP(AT164,'Seguridad Información'!$I$61:$J$65,2,0),"")</f>
        <v/>
      </c>
      <c r="AV164" s="79"/>
      <c r="AW164" s="78" t="str">
        <f t="shared" si="24"/>
        <v/>
      </c>
      <c r="AX164" s="77" t="str">
        <f t="shared" si="34"/>
        <v/>
      </c>
      <c r="AY164" s="21" t="str">
        <f>IFERROR(VLOOKUP((CONCATENATE(AM164,AX164)),Listados!$U$3:$V$11,2,FALSE),"")</f>
        <v/>
      </c>
      <c r="AZ164" s="48">
        <f t="shared" si="35"/>
        <v>100</v>
      </c>
      <c r="BA164" s="355"/>
      <c r="BB164" s="357"/>
      <c r="BC164" s="173">
        <f>+IF(AND(W164="Preventivo",BB163="Fuerte"),2,IF(AND(W164="Preventivo",BB163="Moderado"),1,0))</f>
        <v>0</v>
      </c>
      <c r="BD164" s="64">
        <f>+IF(AND(W164="Detectivo/Correctivo",$BB163="Fuerte"),2,IF(AND(W164="Detectivo/Correctivo",$BB164="Moderado"),1,IF(AND(W164="Preventivo",$BB163="Fuerte"),1,0)))</f>
        <v>0</v>
      </c>
      <c r="BE164" s="173" t="e">
        <f>+N163-BC164</f>
        <v>#N/A</v>
      </c>
      <c r="BF164" s="173" t="e">
        <f>+P163-BD164</f>
        <v>#N/A</v>
      </c>
      <c r="BG164" s="346"/>
      <c r="BH164" s="346"/>
      <c r="BI164" s="346"/>
      <c r="BJ164" s="538"/>
      <c r="BK164" s="538"/>
      <c r="BL164" s="538"/>
      <c r="BM164" s="538"/>
    </row>
    <row r="165" spans="1:65" ht="65.099999999999994" customHeight="1" thickBot="1">
      <c r="A165" s="329"/>
      <c r="B165" s="514"/>
      <c r="C165" s="364"/>
      <c r="D165" s="233"/>
      <c r="E165" s="233"/>
      <c r="F165" s="433"/>
      <c r="G165" s="367"/>
      <c r="H165" s="100"/>
      <c r="I165" s="237"/>
      <c r="J165" s="100"/>
      <c r="K165" s="236"/>
      <c r="L165" s="222"/>
      <c r="M165" s="370"/>
      <c r="N165" s="349"/>
      <c r="O165" s="352"/>
      <c r="P165" s="349"/>
      <c r="Q165" s="353"/>
      <c r="R165" s="346"/>
      <c r="S165" s="208"/>
      <c r="T165" s="96"/>
      <c r="U165" s="47" t="s">
        <v>627</v>
      </c>
      <c r="V165" s="215"/>
      <c r="W165" s="215"/>
      <c r="X165" s="215"/>
      <c r="Y165" s="95" t="str">
        <f t="shared" si="25"/>
        <v/>
      </c>
      <c r="Z165" s="215"/>
      <c r="AA165" s="95" t="str">
        <f t="shared" si="26"/>
        <v/>
      </c>
      <c r="AB165" s="208"/>
      <c r="AC165" s="95" t="str">
        <f t="shared" si="27"/>
        <v/>
      </c>
      <c r="AD165" s="208"/>
      <c r="AE165" s="95" t="str">
        <f t="shared" si="28"/>
        <v/>
      </c>
      <c r="AF165" s="208"/>
      <c r="AG165" s="95" t="str">
        <f t="shared" si="29"/>
        <v/>
      </c>
      <c r="AH165" s="208"/>
      <c r="AI165" s="95" t="str">
        <f t="shared" si="30"/>
        <v/>
      </c>
      <c r="AJ165" s="208"/>
      <c r="AK165" s="27" t="str">
        <f t="shared" si="31"/>
        <v/>
      </c>
      <c r="AL165" s="48" t="str">
        <f t="shared" si="32"/>
        <v/>
      </c>
      <c r="AM165" s="48" t="str">
        <f t="shared" si="33"/>
        <v/>
      </c>
      <c r="AN165" s="293"/>
      <c r="AO165" s="293"/>
      <c r="AP165" s="293"/>
      <c r="AQ165" s="293"/>
      <c r="AR165" s="293"/>
      <c r="AS165" s="293"/>
      <c r="AT165" s="293"/>
      <c r="AU165" s="294" t="str">
        <f>IFERROR(VLOOKUP(AT165,'Seguridad Información'!$I$61:$J$65,2,0),"")</f>
        <v/>
      </c>
      <c r="AV165" s="79"/>
      <c r="AW165" s="78" t="str">
        <f t="shared" si="24"/>
        <v/>
      </c>
      <c r="AX165" s="77" t="str">
        <f t="shared" si="34"/>
        <v/>
      </c>
      <c r="AY165" s="21" t="str">
        <f>IFERROR(VLOOKUP((CONCATENATE(AM165,AX165)),Listados!$U$3:$V$11,2,FALSE),"")</f>
        <v/>
      </c>
      <c r="AZ165" s="48">
        <f t="shared" si="35"/>
        <v>100</v>
      </c>
      <c r="BA165" s="355"/>
      <c r="BB165" s="357"/>
      <c r="BC165" s="173">
        <f>+IF(AND(W165="Preventivo",BB163="Fuerte"),2,IF(AND(W165="Preventivo",BB163="Moderado"),1,0))</f>
        <v>0</v>
      </c>
      <c r="BD165" s="64">
        <f>+IF(AND(W165="Detectivo/Correctivo",$BB163="Fuerte"),2,IF(AND(W165="Detectivo/Correctivo",$BB165="Moderado"),1,IF(AND(W165="Preventivo",$BB163="Fuerte"),1,0)))</f>
        <v>0</v>
      </c>
      <c r="BE165" s="173" t="e">
        <f>+N163-BC165</f>
        <v>#N/A</v>
      </c>
      <c r="BF165" s="173" t="e">
        <f>+P163-BD165</f>
        <v>#N/A</v>
      </c>
      <c r="BG165" s="346"/>
      <c r="BH165" s="346"/>
      <c r="BI165" s="346"/>
      <c r="BJ165" s="538"/>
      <c r="BK165" s="538"/>
      <c r="BL165" s="538"/>
      <c r="BM165" s="538"/>
    </row>
    <row r="166" spans="1:65" ht="65.099999999999994" customHeight="1" thickBot="1">
      <c r="A166" s="329"/>
      <c r="B166" s="514"/>
      <c r="C166" s="364"/>
      <c r="D166" s="233"/>
      <c r="E166" s="233"/>
      <c r="F166" s="433"/>
      <c r="G166" s="367"/>
      <c r="H166" s="100"/>
      <c r="I166" s="237"/>
      <c r="J166" s="100"/>
      <c r="K166" s="236"/>
      <c r="L166" s="222"/>
      <c r="M166" s="370"/>
      <c r="N166" s="349"/>
      <c r="O166" s="352"/>
      <c r="P166" s="349"/>
      <c r="Q166" s="353"/>
      <c r="R166" s="346"/>
      <c r="S166" s="208"/>
      <c r="T166" s="97"/>
      <c r="U166" s="47" t="s">
        <v>627</v>
      </c>
      <c r="V166" s="215"/>
      <c r="W166" s="215"/>
      <c r="X166" s="215"/>
      <c r="Y166" s="95" t="str">
        <f t="shared" si="25"/>
        <v/>
      </c>
      <c r="Z166" s="215"/>
      <c r="AA166" s="95" t="str">
        <f t="shared" si="26"/>
        <v/>
      </c>
      <c r="AB166" s="208"/>
      <c r="AC166" s="95" t="str">
        <f t="shared" si="27"/>
        <v/>
      </c>
      <c r="AD166" s="208"/>
      <c r="AE166" s="95" t="str">
        <f t="shared" si="28"/>
        <v/>
      </c>
      <c r="AF166" s="208"/>
      <c r="AG166" s="95" t="str">
        <f t="shared" si="29"/>
        <v/>
      </c>
      <c r="AH166" s="208"/>
      <c r="AI166" s="95" t="str">
        <f t="shared" si="30"/>
        <v/>
      </c>
      <c r="AJ166" s="208"/>
      <c r="AK166" s="27" t="str">
        <f t="shared" si="31"/>
        <v/>
      </c>
      <c r="AL166" s="48" t="str">
        <f t="shared" si="32"/>
        <v/>
      </c>
      <c r="AM166" s="48" t="str">
        <f t="shared" si="33"/>
        <v/>
      </c>
      <c r="AN166" s="293"/>
      <c r="AO166" s="293"/>
      <c r="AP166" s="293"/>
      <c r="AQ166" s="293"/>
      <c r="AR166" s="293"/>
      <c r="AS166" s="293"/>
      <c r="AT166" s="293"/>
      <c r="AU166" s="294" t="str">
        <f>IFERROR(VLOOKUP(AT166,'Seguridad Información'!$I$61:$J$65,2,0),"")</f>
        <v/>
      </c>
      <c r="AV166" s="79"/>
      <c r="AW166" s="78" t="str">
        <f t="shared" si="24"/>
        <v/>
      </c>
      <c r="AX166" s="77" t="str">
        <f t="shared" si="34"/>
        <v/>
      </c>
      <c r="AY166" s="21" t="str">
        <f>IFERROR(VLOOKUP((CONCATENATE(AM166,AX166)),Listados!$U$3:$V$11,2,FALSE),"")</f>
        <v/>
      </c>
      <c r="AZ166" s="48">
        <f t="shared" si="35"/>
        <v>100</v>
      </c>
      <c r="BA166" s="355"/>
      <c r="BB166" s="357"/>
      <c r="BC166" s="173">
        <f>+IF(AND(W166="Preventivo",BB163="Fuerte"),2,IF(AND(W166="Preventivo",BB163="Moderado"),1,0))</f>
        <v>0</v>
      </c>
      <c r="BD166" s="64">
        <f>+IF(AND(W166="Detectivo/Correctivo",$BB163="Fuerte"),2,IF(AND(W166="Detectivo/Correctivo",$BB166="Moderado"),1,IF(AND(W166="Preventivo",$BB163="Fuerte"),1,0)))</f>
        <v>0</v>
      </c>
      <c r="BE166" s="173" t="e">
        <f>+N163-BC166</f>
        <v>#N/A</v>
      </c>
      <c r="BF166" s="173" t="e">
        <f>+P163-BD166</f>
        <v>#N/A</v>
      </c>
      <c r="BG166" s="346"/>
      <c r="BH166" s="346"/>
      <c r="BI166" s="346"/>
      <c r="BJ166" s="538"/>
      <c r="BK166" s="538"/>
      <c r="BL166" s="538"/>
      <c r="BM166" s="538"/>
    </row>
    <row r="167" spans="1:65" ht="65.099999999999994" customHeight="1" thickBot="1">
      <c r="A167" s="329"/>
      <c r="B167" s="514"/>
      <c r="C167" s="364"/>
      <c r="D167" s="109"/>
      <c r="E167" s="109"/>
      <c r="F167" s="433"/>
      <c r="G167" s="367"/>
      <c r="H167" s="100"/>
      <c r="I167" s="237"/>
      <c r="J167" s="100"/>
      <c r="K167" s="29"/>
      <c r="L167" s="222"/>
      <c r="M167" s="370"/>
      <c r="N167" s="349"/>
      <c r="O167" s="352"/>
      <c r="P167" s="349"/>
      <c r="Q167" s="353"/>
      <c r="R167" s="346"/>
      <c r="S167" s="208"/>
      <c r="T167" s="195"/>
      <c r="U167" s="47" t="s">
        <v>627</v>
      </c>
      <c r="V167" s="215"/>
      <c r="W167" s="215"/>
      <c r="X167" s="215"/>
      <c r="Y167" s="95" t="str">
        <f t="shared" si="25"/>
        <v/>
      </c>
      <c r="Z167" s="215"/>
      <c r="AA167" s="95" t="str">
        <f t="shared" si="26"/>
        <v/>
      </c>
      <c r="AB167" s="208"/>
      <c r="AC167" s="95" t="str">
        <f t="shared" si="27"/>
        <v/>
      </c>
      <c r="AD167" s="208"/>
      <c r="AE167" s="95" t="str">
        <f t="shared" si="28"/>
        <v/>
      </c>
      <c r="AF167" s="208"/>
      <c r="AG167" s="95" t="str">
        <f t="shared" si="29"/>
        <v/>
      </c>
      <c r="AH167" s="208"/>
      <c r="AI167" s="95" t="str">
        <f t="shared" si="30"/>
        <v/>
      </c>
      <c r="AJ167" s="208"/>
      <c r="AK167" s="27" t="str">
        <f t="shared" si="31"/>
        <v/>
      </c>
      <c r="AL167" s="48" t="str">
        <f t="shared" si="32"/>
        <v/>
      </c>
      <c r="AM167" s="48" t="str">
        <f t="shared" si="33"/>
        <v/>
      </c>
      <c r="AN167" s="293"/>
      <c r="AO167" s="293"/>
      <c r="AP167" s="293"/>
      <c r="AQ167" s="293"/>
      <c r="AR167" s="293"/>
      <c r="AS167" s="293"/>
      <c r="AT167" s="293"/>
      <c r="AU167" s="294" t="str">
        <f>IFERROR(VLOOKUP(AT167,'Seguridad Información'!$I$61:$J$65,2,0),"")</f>
        <v/>
      </c>
      <c r="AV167" s="79"/>
      <c r="AW167" s="78" t="str">
        <f t="shared" si="24"/>
        <v/>
      </c>
      <c r="AX167" s="77" t="str">
        <f t="shared" si="34"/>
        <v/>
      </c>
      <c r="AY167" s="21" t="str">
        <f>IFERROR(VLOOKUP((CONCATENATE(AM167,AX167)),Listados!$U$3:$V$11,2,FALSE),"")</f>
        <v/>
      </c>
      <c r="AZ167" s="48">
        <f t="shared" si="35"/>
        <v>100</v>
      </c>
      <c r="BA167" s="355"/>
      <c r="BB167" s="357"/>
      <c r="BC167" s="173">
        <f>+IF(AND(W167="Preventivo",BB163="Fuerte"),2,IF(AND(W167="Preventivo",BB163="Moderado"),1,0))</f>
        <v>0</v>
      </c>
      <c r="BD167" s="64">
        <f>+IF(AND(W167="Detectivo/Correctivo",$BB163="Fuerte"),2,IF(AND(W167="Detectivo/Correctivo",$BB167="Moderado"),1,IF(AND(W167="Preventivo",$BB163="Fuerte"),1,0)))</f>
        <v>0</v>
      </c>
      <c r="BE167" s="173" t="e">
        <f>+N163-BC167</f>
        <v>#N/A</v>
      </c>
      <c r="BF167" s="173" t="e">
        <f>+P163-BD167</f>
        <v>#N/A</v>
      </c>
      <c r="BG167" s="346"/>
      <c r="BH167" s="346"/>
      <c r="BI167" s="346"/>
      <c r="BJ167" s="538"/>
      <c r="BK167" s="538"/>
      <c r="BL167" s="538"/>
      <c r="BM167" s="538"/>
    </row>
    <row r="168" spans="1:65" ht="65.099999999999994" customHeight="1" thickBot="1">
      <c r="A168" s="330"/>
      <c r="B168" s="514"/>
      <c r="C168" s="365"/>
      <c r="D168" s="106"/>
      <c r="E168" s="106"/>
      <c r="F168" s="434"/>
      <c r="G168" s="368"/>
      <c r="H168" s="100"/>
      <c r="I168" s="237"/>
      <c r="J168" s="100"/>
      <c r="K168" s="31"/>
      <c r="L168" s="222"/>
      <c r="M168" s="370"/>
      <c r="N168" s="350"/>
      <c r="O168" s="352"/>
      <c r="P168" s="350"/>
      <c r="Q168" s="353"/>
      <c r="R168" s="347"/>
      <c r="S168" s="208"/>
      <c r="T168" s="98"/>
      <c r="U168" s="47" t="s">
        <v>627</v>
      </c>
      <c r="V168" s="215"/>
      <c r="W168" s="215"/>
      <c r="X168" s="215"/>
      <c r="Y168" s="95" t="str">
        <f t="shared" si="25"/>
        <v/>
      </c>
      <c r="Z168" s="215"/>
      <c r="AA168" s="95" t="str">
        <f t="shared" si="26"/>
        <v/>
      </c>
      <c r="AB168" s="208"/>
      <c r="AC168" s="95" t="str">
        <f t="shared" si="27"/>
        <v/>
      </c>
      <c r="AD168" s="208"/>
      <c r="AE168" s="95" t="str">
        <f t="shared" si="28"/>
        <v/>
      </c>
      <c r="AF168" s="208"/>
      <c r="AG168" s="95" t="str">
        <f t="shared" si="29"/>
        <v/>
      </c>
      <c r="AH168" s="208"/>
      <c r="AI168" s="95" t="str">
        <f t="shared" si="30"/>
        <v/>
      </c>
      <c r="AJ168" s="208"/>
      <c r="AK168" s="27" t="str">
        <f t="shared" si="31"/>
        <v/>
      </c>
      <c r="AL168" s="48" t="str">
        <f t="shared" si="32"/>
        <v/>
      </c>
      <c r="AM168" s="48" t="str">
        <f t="shared" si="33"/>
        <v/>
      </c>
      <c r="AN168" s="293"/>
      <c r="AO168" s="293"/>
      <c r="AP168" s="293"/>
      <c r="AQ168" s="293"/>
      <c r="AR168" s="293"/>
      <c r="AS168" s="293"/>
      <c r="AT168" s="293"/>
      <c r="AU168" s="294" t="str">
        <f>IFERROR(VLOOKUP(AT168,'Seguridad Información'!$I$61:$J$65,2,0),"")</f>
        <v/>
      </c>
      <c r="AV168" s="79"/>
      <c r="AW168" s="78" t="str">
        <f t="shared" si="24"/>
        <v/>
      </c>
      <c r="AX168" s="77" t="str">
        <f t="shared" si="34"/>
        <v/>
      </c>
      <c r="AY168" s="21" t="str">
        <f>IFERROR(VLOOKUP((CONCATENATE(AM168,AX168)),Listados!$U$3:$V$11,2,FALSE),"")</f>
        <v/>
      </c>
      <c r="AZ168" s="48">
        <f t="shared" si="35"/>
        <v>100</v>
      </c>
      <c r="BA168" s="356"/>
      <c r="BB168" s="357"/>
      <c r="BC168" s="173">
        <f>+IF(AND(W168="Preventivo",BB163="Fuerte"),2,IF(AND(W168="Preventivo",BB163="Moderado"),1,0))</f>
        <v>0</v>
      </c>
      <c r="BD168" s="64">
        <f>+IF(AND(W168="Detectivo/Correctivo",$BB163="Fuerte"),2,IF(AND(W168="Detectivo/Correctivo",$BB168="Moderado"),1,IF(AND(W168="Preventivo",$BB163="Fuerte"),1,0)))</f>
        <v>0</v>
      </c>
      <c r="BE168" s="173" t="e">
        <f>+N163-BC168</f>
        <v>#N/A</v>
      </c>
      <c r="BF168" s="173" t="e">
        <f>+P163-BD168</f>
        <v>#N/A</v>
      </c>
      <c r="BG168" s="347"/>
      <c r="BH168" s="347"/>
      <c r="BI168" s="347"/>
      <c r="BJ168" s="539"/>
      <c r="BK168" s="539"/>
      <c r="BL168" s="539"/>
      <c r="BM168" s="539"/>
    </row>
    <row r="169" spans="1:65" ht="65.099999999999994" customHeight="1" thickBot="1">
      <c r="A169" s="328">
        <v>28</v>
      </c>
      <c r="B169" s="519"/>
      <c r="C169" s="371" t="str">
        <f>IFERROR(VLOOKUP(B169,Listados!B$3:C$20,2,FALSE),"")</f>
        <v/>
      </c>
      <c r="D169" s="107"/>
      <c r="E169" s="107"/>
      <c r="F169" s="432"/>
      <c r="G169" s="372"/>
      <c r="H169" s="100"/>
      <c r="I169" s="237"/>
      <c r="J169" s="100"/>
      <c r="K169" s="103"/>
      <c r="L169" s="17"/>
      <c r="M169" s="369"/>
      <c r="N169" s="348" t="e">
        <f>+VLOOKUP(M169,Listados!$K$8:$L$12,2,0)</f>
        <v>#N/A</v>
      </c>
      <c r="O169" s="351"/>
      <c r="P169" s="348" t="e">
        <f>+VLOOKUP(O169,Listados!$K$13:$L$17,2,0)</f>
        <v>#N/A</v>
      </c>
      <c r="Q169" s="347" t="str">
        <f>IF(AND(M169&lt;&gt;"",O169&lt;&gt;""),VLOOKUP(M169&amp;O169,Listados!$M$3:$N$27,2,FALSE),"")</f>
        <v/>
      </c>
      <c r="R169" s="345" t="e">
        <f>+VLOOKUP(Q169,Listados!$P$3:$Q$6,2,FALSE)</f>
        <v>#N/A</v>
      </c>
      <c r="S169" s="208"/>
      <c r="T169" s="94"/>
      <c r="U169" s="47" t="s">
        <v>627</v>
      </c>
      <c r="V169" s="215"/>
      <c r="W169" s="215"/>
      <c r="X169" s="215"/>
      <c r="Y169" s="95" t="str">
        <f t="shared" si="25"/>
        <v/>
      </c>
      <c r="Z169" s="215"/>
      <c r="AA169" s="95" t="str">
        <f t="shared" si="26"/>
        <v/>
      </c>
      <c r="AB169" s="208"/>
      <c r="AC169" s="95" t="str">
        <f t="shared" si="27"/>
        <v/>
      </c>
      <c r="AD169" s="208"/>
      <c r="AE169" s="95" t="str">
        <f t="shared" si="28"/>
        <v/>
      </c>
      <c r="AF169" s="208"/>
      <c r="AG169" s="95" t="str">
        <f t="shared" si="29"/>
        <v/>
      </c>
      <c r="AH169" s="208"/>
      <c r="AI169" s="95" t="str">
        <f t="shared" si="30"/>
        <v/>
      </c>
      <c r="AJ169" s="208"/>
      <c r="AK169" s="27" t="str">
        <f t="shared" si="31"/>
        <v/>
      </c>
      <c r="AL169" s="48" t="str">
        <f t="shared" si="32"/>
        <v/>
      </c>
      <c r="AM169" s="48" t="str">
        <f t="shared" si="33"/>
        <v/>
      </c>
      <c r="AN169" s="293"/>
      <c r="AO169" s="293"/>
      <c r="AP169" s="293"/>
      <c r="AQ169" s="293"/>
      <c r="AR169" s="293"/>
      <c r="AS169" s="293"/>
      <c r="AT169" s="293"/>
      <c r="AU169" s="294" t="str">
        <f>IFERROR(VLOOKUP(AT169,'Seguridad Información'!$I$61:$J$65,2,0),"")</f>
        <v/>
      </c>
      <c r="AV169" s="79"/>
      <c r="AW169" s="78" t="str">
        <f t="shared" si="24"/>
        <v/>
      </c>
      <c r="AX169" s="77" t="str">
        <f t="shared" si="34"/>
        <v/>
      </c>
      <c r="AY169" s="21" t="str">
        <f>IFERROR(VLOOKUP((CONCATENATE(AM169,AX169)),Listados!$U$3:$V$11,2,FALSE),"")</f>
        <v/>
      </c>
      <c r="AZ169" s="48">
        <f t="shared" si="35"/>
        <v>100</v>
      </c>
      <c r="BA169" s="354">
        <f>AVERAGE(AZ169:AZ174)</f>
        <v>100</v>
      </c>
      <c r="BB169" s="356" t="str">
        <f>IF(BA169&lt;=50, "Débil", IF(BA169&lt;=99,"Moderado","Fuerte"))</f>
        <v>Fuerte</v>
      </c>
      <c r="BC169" s="173">
        <f>+IF(AND(W169="Preventivo",BB169="Fuerte"),2,IF(AND(W169="Preventivo",BB169="Moderado"),1,0))</f>
        <v>0</v>
      </c>
      <c r="BD169" s="64">
        <f>+IF(AND(W169="Detectivo/Correctivo",$BB169="Fuerte"),2,IF(AND(W169="Detectivo/Correctivo",$BB169="Moderado"),1,IF(AND(W169="Preventivo",$BB169="Fuerte"),1,0)))</f>
        <v>0</v>
      </c>
      <c r="BE169" s="173" t="e">
        <f>+N169-BC169</f>
        <v>#N/A</v>
      </c>
      <c r="BF169" s="173" t="e">
        <f>+P169-BD169</f>
        <v>#N/A</v>
      </c>
      <c r="BG169" s="345" t="e">
        <f>+VLOOKUP(MIN(BE169,BE170,BE171,BE172,BE173,BE174),Listados!$J$18:$K$24,2,TRUE)</f>
        <v>#N/A</v>
      </c>
      <c r="BH169" s="345" t="e">
        <f>+VLOOKUP(MIN(BF169,BF170,BF171,BF172,BF173,BF174),Listados!$J$27:$K$32,2,TRUE)</f>
        <v>#N/A</v>
      </c>
      <c r="BI169" s="345" t="e">
        <f>IF(AND(BG169&lt;&gt;"",BH169&lt;&gt;""),VLOOKUP(BG169&amp;BH169,Listados!$M$3:$N$27,2,FALSE),"")</f>
        <v>#N/A</v>
      </c>
      <c r="BJ169" s="537" t="e">
        <f>+IF($R169="Asumir el riesgo","NA","")</f>
        <v>#N/A</v>
      </c>
      <c r="BK169" s="537" t="e">
        <f>+IF($R169="Asumir el riesgo","NA","")</f>
        <v>#N/A</v>
      </c>
      <c r="BL169" s="537" t="e">
        <f>+IF($R169="Asumir el riesgo","NA","")</f>
        <v>#N/A</v>
      </c>
      <c r="BM169" s="537" t="e">
        <f>+IF($R169="Asumir el riesgo","NA","")</f>
        <v>#N/A</v>
      </c>
    </row>
    <row r="170" spans="1:65" ht="65.099999999999994" customHeight="1" thickBot="1">
      <c r="A170" s="329"/>
      <c r="B170" s="514"/>
      <c r="C170" s="364"/>
      <c r="D170" s="233"/>
      <c r="E170" s="233"/>
      <c r="F170" s="433"/>
      <c r="G170" s="367"/>
      <c r="H170" s="100"/>
      <c r="I170" s="237"/>
      <c r="J170" s="100"/>
      <c r="K170" s="236"/>
      <c r="L170" s="222"/>
      <c r="M170" s="370"/>
      <c r="N170" s="349"/>
      <c r="O170" s="352"/>
      <c r="P170" s="349"/>
      <c r="Q170" s="353"/>
      <c r="R170" s="346"/>
      <c r="S170" s="208"/>
      <c r="T170" s="195"/>
      <c r="U170" s="47" t="s">
        <v>627</v>
      </c>
      <c r="V170" s="215"/>
      <c r="W170" s="215"/>
      <c r="X170" s="215"/>
      <c r="Y170" s="95" t="str">
        <f t="shared" si="25"/>
        <v/>
      </c>
      <c r="Z170" s="215"/>
      <c r="AA170" s="95" t="str">
        <f t="shared" si="26"/>
        <v/>
      </c>
      <c r="AB170" s="208"/>
      <c r="AC170" s="95" t="str">
        <f t="shared" si="27"/>
        <v/>
      </c>
      <c r="AD170" s="208"/>
      <c r="AE170" s="95" t="str">
        <f t="shared" si="28"/>
        <v/>
      </c>
      <c r="AF170" s="208"/>
      <c r="AG170" s="95" t="str">
        <f t="shared" si="29"/>
        <v/>
      </c>
      <c r="AH170" s="208"/>
      <c r="AI170" s="95" t="str">
        <f t="shared" si="30"/>
        <v/>
      </c>
      <c r="AJ170" s="208"/>
      <c r="AK170" s="27" t="str">
        <f t="shared" si="31"/>
        <v/>
      </c>
      <c r="AL170" s="48" t="str">
        <f t="shared" si="32"/>
        <v/>
      </c>
      <c r="AM170" s="48" t="str">
        <f t="shared" si="33"/>
        <v/>
      </c>
      <c r="AN170" s="293"/>
      <c r="AO170" s="293"/>
      <c r="AP170" s="293"/>
      <c r="AQ170" s="293"/>
      <c r="AR170" s="293"/>
      <c r="AS170" s="293"/>
      <c r="AT170" s="293"/>
      <c r="AU170" s="294" t="str">
        <f>IFERROR(VLOOKUP(AT170,'Seguridad Información'!$I$61:$J$65,2,0),"")</f>
        <v/>
      </c>
      <c r="AV170" s="79"/>
      <c r="AW170" s="78" t="str">
        <f t="shared" si="24"/>
        <v/>
      </c>
      <c r="AX170" s="77" t="str">
        <f t="shared" si="34"/>
        <v/>
      </c>
      <c r="AY170" s="21" t="str">
        <f>IFERROR(VLOOKUP((CONCATENATE(AM170,AX170)),Listados!$U$3:$V$11,2,FALSE),"")</f>
        <v/>
      </c>
      <c r="AZ170" s="48">
        <f t="shared" si="35"/>
        <v>100</v>
      </c>
      <c r="BA170" s="355"/>
      <c r="BB170" s="357"/>
      <c r="BC170" s="173">
        <f>+IF(AND(W170="Preventivo",BB169="Fuerte"),2,IF(AND(W170="Preventivo",BB169="Moderado"),1,0))</f>
        <v>0</v>
      </c>
      <c r="BD170" s="64">
        <f>+IF(AND(W170="Detectivo/Correctivo",$BB169="Fuerte"),2,IF(AND(W170="Detectivo/Correctivo",$BB170="Moderado"),1,IF(AND(W170="Preventivo",$BB169="Fuerte"),1,0)))</f>
        <v>0</v>
      </c>
      <c r="BE170" s="173" t="e">
        <f>+N169-BC170</f>
        <v>#N/A</v>
      </c>
      <c r="BF170" s="173" t="e">
        <f>+P169-BD170</f>
        <v>#N/A</v>
      </c>
      <c r="BG170" s="346"/>
      <c r="BH170" s="346"/>
      <c r="BI170" s="346"/>
      <c r="BJ170" s="538"/>
      <c r="BK170" s="538"/>
      <c r="BL170" s="538"/>
      <c r="BM170" s="538"/>
    </row>
    <row r="171" spans="1:65" ht="65.099999999999994" customHeight="1" thickBot="1">
      <c r="A171" s="329"/>
      <c r="B171" s="514"/>
      <c r="C171" s="364"/>
      <c r="D171" s="233"/>
      <c r="E171" s="233"/>
      <c r="F171" s="433"/>
      <c r="G171" s="367"/>
      <c r="H171" s="100"/>
      <c r="I171" s="237"/>
      <c r="J171" s="100"/>
      <c r="K171" s="236"/>
      <c r="L171" s="222"/>
      <c r="M171" s="370"/>
      <c r="N171" s="349"/>
      <c r="O171" s="352"/>
      <c r="P171" s="349"/>
      <c r="Q171" s="353"/>
      <c r="R171" s="346"/>
      <c r="S171" s="208"/>
      <c r="T171" s="96"/>
      <c r="U171" s="47" t="s">
        <v>627</v>
      </c>
      <c r="V171" s="215"/>
      <c r="W171" s="215"/>
      <c r="X171" s="215"/>
      <c r="Y171" s="95" t="str">
        <f t="shared" si="25"/>
        <v/>
      </c>
      <c r="Z171" s="215"/>
      <c r="AA171" s="95" t="str">
        <f t="shared" si="26"/>
        <v/>
      </c>
      <c r="AB171" s="208"/>
      <c r="AC171" s="95" t="str">
        <f t="shared" si="27"/>
        <v/>
      </c>
      <c r="AD171" s="208"/>
      <c r="AE171" s="95" t="str">
        <f t="shared" si="28"/>
        <v/>
      </c>
      <c r="AF171" s="208"/>
      <c r="AG171" s="95" t="str">
        <f t="shared" si="29"/>
        <v/>
      </c>
      <c r="AH171" s="208"/>
      <c r="AI171" s="95" t="str">
        <f t="shared" si="30"/>
        <v/>
      </c>
      <c r="AJ171" s="208"/>
      <c r="AK171" s="27" t="str">
        <f t="shared" si="31"/>
        <v/>
      </c>
      <c r="AL171" s="48" t="str">
        <f t="shared" si="32"/>
        <v/>
      </c>
      <c r="AM171" s="48" t="str">
        <f t="shared" si="33"/>
        <v/>
      </c>
      <c r="AN171" s="293"/>
      <c r="AO171" s="293"/>
      <c r="AP171" s="293"/>
      <c r="AQ171" s="293"/>
      <c r="AR171" s="293"/>
      <c r="AS171" s="293"/>
      <c r="AT171" s="293"/>
      <c r="AU171" s="294" t="str">
        <f>IFERROR(VLOOKUP(AT171,'Seguridad Información'!$I$61:$J$65,2,0),"")</f>
        <v/>
      </c>
      <c r="AV171" s="79"/>
      <c r="AW171" s="78" t="str">
        <f t="shared" si="24"/>
        <v/>
      </c>
      <c r="AX171" s="77" t="str">
        <f t="shared" si="34"/>
        <v/>
      </c>
      <c r="AY171" s="21" t="str">
        <f>IFERROR(VLOOKUP((CONCATENATE(AM171,AX171)),Listados!$U$3:$V$11,2,FALSE),"")</f>
        <v/>
      </c>
      <c r="AZ171" s="48">
        <f t="shared" si="35"/>
        <v>100</v>
      </c>
      <c r="BA171" s="355"/>
      <c r="BB171" s="357"/>
      <c r="BC171" s="173">
        <f>+IF(AND(W171="Preventivo",BB169="Fuerte"),2,IF(AND(W171="Preventivo",BB169="Moderado"),1,0))</f>
        <v>0</v>
      </c>
      <c r="BD171" s="64">
        <f>+IF(AND(W171="Detectivo/Correctivo",$BB169="Fuerte"),2,IF(AND(W171="Detectivo/Correctivo",$BB171="Moderado"),1,IF(AND(W171="Preventivo",$BB169="Fuerte"),1,0)))</f>
        <v>0</v>
      </c>
      <c r="BE171" s="173" t="e">
        <f>+N169-BC171</f>
        <v>#N/A</v>
      </c>
      <c r="BF171" s="173" t="e">
        <f>+P169-BD171</f>
        <v>#N/A</v>
      </c>
      <c r="BG171" s="346"/>
      <c r="BH171" s="346"/>
      <c r="BI171" s="346"/>
      <c r="BJ171" s="538"/>
      <c r="BK171" s="538"/>
      <c r="BL171" s="538"/>
      <c r="BM171" s="538"/>
    </row>
    <row r="172" spans="1:65" ht="65.099999999999994" customHeight="1" thickBot="1">
      <c r="A172" s="329"/>
      <c r="B172" s="514"/>
      <c r="C172" s="364"/>
      <c r="D172" s="233"/>
      <c r="E172" s="233"/>
      <c r="F172" s="433"/>
      <c r="G172" s="367"/>
      <c r="H172" s="100"/>
      <c r="I172" s="237"/>
      <c r="J172" s="100"/>
      <c r="K172" s="236"/>
      <c r="L172" s="222"/>
      <c r="M172" s="370"/>
      <c r="N172" s="349"/>
      <c r="O172" s="352"/>
      <c r="P172" s="349"/>
      <c r="Q172" s="353"/>
      <c r="R172" s="346"/>
      <c r="S172" s="208"/>
      <c r="T172" s="97"/>
      <c r="U172" s="47" t="s">
        <v>627</v>
      </c>
      <c r="V172" s="215"/>
      <c r="W172" s="215"/>
      <c r="X172" s="215"/>
      <c r="Y172" s="95" t="str">
        <f t="shared" si="25"/>
        <v/>
      </c>
      <c r="Z172" s="215"/>
      <c r="AA172" s="95" t="str">
        <f t="shared" si="26"/>
        <v/>
      </c>
      <c r="AB172" s="208"/>
      <c r="AC172" s="95" t="str">
        <f t="shared" si="27"/>
        <v/>
      </c>
      <c r="AD172" s="208"/>
      <c r="AE172" s="95" t="str">
        <f t="shared" si="28"/>
        <v/>
      </c>
      <c r="AF172" s="208"/>
      <c r="AG172" s="95" t="str">
        <f t="shared" si="29"/>
        <v/>
      </c>
      <c r="AH172" s="208"/>
      <c r="AI172" s="95" t="str">
        <f t="shared" si="30"/>
        <v/>
      </c>
      <c r="AJ172" s="208"/>
      <c r="AK172" s="27" t="str">
        <f t="shared" si="31"/>
        <v/>
      </c>
      <c r="AL172" s="48" t="str">
        <f t="shared" si="32"/>
        <v/>
      </c>
      <c r="AM172" s="48" t="str">
        <f t="shared" si="33"/>
        <v/>
      </c>
      <c r="AN172" s="293"/>
      <c r="AO172" s="293"/>
      <c r="AP172" s="293"/>
      <c r="AQ172" s="293"/>
      <c r="AR172" s="293"/>
      <c r="AS172" s="293"/>
      <c r="AT172" s="293"/>
      <c r="AU172" s="294" t="str">
        <f>IFERROR(VLOOKUP(AT172,'Seguridad Información'!$I$61:$J$65,2,0),"")</f>
        <v/>
      </c>
      <c r="AV172" s="79"/>
      <c r="AW172" s="78" t="str">
        <f t="shared" si="24"/>
        <v/>
      </c>
      <c r="AX172" s="77" t="str">
        <f t="shared" si="34"/>
        <v/>
      </c>
      <c r="AY172" s="21" t="str">
        <f>IFERROR(VLOOKUP((CONCATENATE(AM172,AX172)),Listados!$U$3:$V$11,2,FALSE),"")</f>
        <v/>
      </c>
      <c r="AZ172" s="48">
        <f t="shared" si="35"/>
        <v>100</v>
      </c>
      <c r="BA172" s="355"/>
      <c r="BB172" s="357"/>
      <c r="BC172" s="173">
        <f>+IF(AND(W172="Preventivo",BB169="Fuerte"),2,IF(AND(W172="Preventivo",BB169="Moderado"),1,0))</f>
        <v>0</v>
      </c>
      <c r="BD172" s="64">
        <f>+IF(AND(W172="Detectivo/Correctivo",$BB169="Fuerte"),2,IF(AND(W172="Detectivo/Correctivo",$BB172="Moderado"),1,IF(AND(W172="Preventivo",$BB169="Fuerte"),1,0)))</f>
        <v>0</v>
      </c>
      <c r="BE172" s="173" t="e">
        <f>+N169-BC172</f>
        <v>#N/A</v>
      </c>
      <c r="BF172" s="173" t="e">
        <f>+P169-BD172</f>
        <v>#N/A</v>
      </c>
      <c r="BG172" s="346"/>
      <c r="BH172" s="346"/>
      <c r="BI172" s="346"/>
      <c r="BJ172" s="538"/>
      <c r="BK172" s="538"/>
      <c r="BL172" s="538"/>
      <c r="BM172" s="538"/>
    </row>
    <row r="173" spans="1:65" ht="65.099999999999994" customHeight="1" thickBot="1">
      <c r="A173" s="329"/>
      <c r="B173" s="514"/>
      <c r="C173" s="364"/>
      <c r="D173" s="109"/>
      <c r="E173" s="109"/>
      <c r="F173" s="433"/>
      <c r="G173" s="367"/>
      <c r="H173" s="100"/>
      <c r="I173" s="237"/>
      <c r="J173" s="100"/>
      <c r="K173" s="29"/>
      <c r="L173" s="222"/>
      <c r="M173" s="370"/>
      <c r="N173" s="349"/>
      <c r="O173" s="352"/>
      <c r="P173" s="349"/>
      <c r="Q173" s="353"/>
      <c r="R173" s="346"/>
      <c r="S173" s="208"/>
      <c r="T173" s="195"/>
      <c r="U173" s="47" t="s">
        <v>627</v>
      </c>
      <c r="V173" s="215"/>
      <c r="W173" s="215"/>
      <c r="X173" s="215"/>
      <c r="Y173" s="95" t="str">
        <f t="shared" si="25"/>
        <v/>
      </c>
      <c r="Z173" s="215"/>
      <c r="AA173" s="95" t="str">
        <f t="shared" si="26"/>
        <v/>
      </c>
      <c r="AB173" s="208"/>
      <c r="AC173" s="95" t="str">
        <f t="shared" si="27"/>
        <v/>
      </c>
      <c r="AD173" s="208"/>
      <c r="AE173" s="95" t="str">
        <f t="shared" si="28"/>
        <v/>
      </c>
      <c r="AF173" s="208"/>
      <c r="AG173" s="95" t="str">
        <f t="shared" si="29"/>
        <v/>
      </c>
      <c r="AH173" s="208"/>
      <c r="AI173" s="95" t="str">
        <f t="shared" si="30"/>
        <v/>
      </c>
      <c r="AJ173" s="208"/>
      <c r="AK173" s="27" t="str">
        <f t="shared" si="31"/>
        <v/>
      </c>
      <c r="AL173" s="48" t="str">
        <f t="shared" si="32"/>
        <v/>
      </c>
      <c r="AM173" s="48" t="str">
        <f t="shared" si="33"/>
        <v/>
      </c>
      <c r="AN173" s="293"/>
      <c r="AO173" s="293"/>
      <c r="AP173" s="293"/>
      <c r="AQ173" s="293"/>
      <c r="AR173" s="293"/>
      <c r="AS173" s="293"/>
      <c r="AT173" s="293"/>
      <c r="AU173" s="294" t="str">
        <f>IFERROR(VLOOKUP(AT173,'Seguridad Información'!$I$61:$J$65,2,0),"")</f>
        <v/>
      </c>
      <c r="AV173" s="79"/>
      <c r="AW173" s="78" t="str">
        <f t="shared" si="24"/>
        <v/>
      </c>
      <c r="AX173" s="77" t="str">
        <f t="shared" si="34"/>
        <v/>
      </c>
      <c r="AY173" s="21" t="str">
        <f>IFERROR(VLOOKUP((CONCATENATE(AM173,AX173)),Listados!$U$3:$V$11,2,FALSE),"")</f>
        <v/>
      </c>
      <c r="AZ173" s="48">
        <f t="shared" si="35"/>
        <v>100</v>
      </c>
      <c r="BA173" s="355"/>
      <c r="BB173" s="357"/>
      <c r="BC173" s="173">
        <f>+IF(AND(W173="Preventivo",BB169="Fuerte"),2,IF(AND(W173="Preventivo",BB169="Moderado"),1,0))</f>
        <v>0</v>
      </c>
      <c r="BD173" s="64">
        <f>+IF(AND(W173="Detectivo/Correctivo",$BB169="Fuerte"),2,IF(AND(W173="Detectivo/Correctivo",$BB173="Moderado"),1,IF(AND(W173="Preventivo",$BB169="Fuerte"),1,0)))</f>
        <v>0</v>
      </c>
      <c r="BE173" s="173" t="e">
        <f>+N169-BC173</f>
        <v>#N/A</v>
      </c>
      <c r="BF173" s="173" t="e">
        <f>+P169-BD173</f>
        <v>#N/A</v>
      </c>
      <c r="BG173" s="346"/>
      <c r="BH173" s="346"/>
      <c r="BI173" s="346"/>
      <c r="BJ173" s="538"/>
      <c r="BK173" s="538"/>
      <c r="BL173" s="538"/>
      <c r="BM173" s="538"/>
    </row>
    <row r="174" spans="1:65" ht="65.099999999999994" customHeight="1" thickBot="1">
      <c r="A174" s="330"/>
      <c r="B174" s="514"/>
      <c r="C174" s="365"/>
      <c r="D174" s="106"/>
      <c r="E174" s="106"/>
      <c r="F174" s="434"/>
      <c r="G174" s="368"/>
      <c r="H174" s="100"/>
      <c r="I174" s="237"/>
      <c r="J174" s="100"/>
      <c r="K174" s="31"/>
      <c r="L174" s="222"/>
      <c r="M174" s="370"/>
      <c r="N174" s="350"/>
      <c r="O174" s="352"/>
      <c r="P174" s="350"/>
      <c r="Q174" s="353"/>
      <c r="R174" s="347"/>
      <c r="S174" s="208"/>
      <c r="T174" s="98"/>
      <c r="U174" s="47" t="s">
        <v>627</v>
      </c>
      <c r="V174" s="215"/>
      <c r="W174" s="215"/>
      <c r="X174" s="215"/>
      <c r="Y174" s="95" t="str">
        <f t="shared" si="25"/>
        <v/>
      </c>
      <c r="Z174" s="215"/>
      <c r="AA174" s="95" t="str">
        <f t="shared" si="26"/>
        <v/>
      </c>
      <c r="AB174" s="208"/>
      <c r="AC174" s="95" t="str">
        <f t="shared" si="27"/>
        <v/>
      </c>
      <c r="AD174" s="208"/>
      <c r="AE174" s="95" t="str">
        <f t="shared" si="28"/>
        <v/>
      </c>
      <c r="AF174" s="208"/>
      <c r="AG174" s="95" t="str">
        <f t="shared" si="29"/>
        <v/>
      </c>
      <c r="AH174" s="208"/>
      <c r="AI174" s="95" t="str">
        <f t="shared" si="30"/>
        <v/>
      </c>
      <c r="AJ174" s="208"/>
      <c r="AK174" s="27" t="str">
        <f t="shared" si="31"/>
        <v/>
      </c>
      <c r="AL174" s="48" t="str">
        <f t="shared" si="32"/>
        <v/>
      </c>
      <c r="AM174" s="48" t="str">
        <f t="shared" si="33"/>
        <v/>
      </c>
      <c r="AN174" s="293"/>
      <c r="AO174" s="293"/>
      <c r="AP174" s="293"/>
      <c r="AQ174" s="293"/>
      <c r="AR174" s="293"/>
      <c r="AS174" s="293"/>
      <c r="AT174" s="293"/>
      <c r="AU174" s="294" t="str">
        <f>IFERROR(VLOOKUP(AT174,'Seguridad Información'!$I$61:$J$65,2,0),"")</f>
        <v/>
      </c>
      <c r="AV174" s="79"/>
      <c r="AW174" s="78" t="str">
        <f t="shared" si="24"/>
        <v/>
      </c>
      <c r="AX174" s="77" t="str">
        <f t="shared" si="34"/>
        <v/>
      </c>
      <c r="AY174" s="21" t="str">
        <f>IFERROR(VLOOKUP((CONCATENATE(AM174,AX174)),Listados!$U$3:$V$11,2,FALSE),"")</f>
        <v/>
      </c>
      <c r="AZ174" s="48">
        <f t="shared" si="35"/>
        <v>100</v>
      </c>
      <c r="BA174" s="356"/>
      <c r="BB174" s="357"/>
      <c r="BC174" s="173">
        <f>+IF(AND(W174="Preventivo",BB169="Fuerte"),2,IF(AND(W174="Preventivo",BB169="Moderado"),1,0))</f>
        <v>0</v>
      </c>
      <c r="BD174" s="64">
        <f>+IF(AND(W174="Detectivo/Correctivo",$BB169="Fuerte"),2,IF(AND(W174="Detectivo/Correctivo",$BB174="Moderado"),1,IF(AND(W174="Preventivo",$BB169="Fuerte"),1,0)))</f>
        <v>0</v>
      </c>
      <c r="BE174" s="173" t="e">
        <f>+N169-BC174</f>
        <v>#N/A</v>
      </c>
      <c r="BF174" s="173" t="e">
        <f>+P169-BD174</f>
        <v>#N/A</v>
      </c>
      <c r="BG174" s="347"/>
      <c r="BH174" s="347"/>
      <c r="BI174" s="347"/>
      <c r="BJ174" s="539"/>
      <c r="BK174" s="539"/>
      <c r="BL174" s="539"/>
      <c r="BM174" s="539"/>
    </row>
    <row r="175" spans="1:65" ht="65.099999999999994" customHeight="1" thickBot="1">
      <c r="A175" s="328">
        <v>29</v>
      </c>
      <c r="B175" s="519"/>
      <c r="C175" s="371" t="str">
        <f>IFERROR(VLOOKUP(B175,Listados!B$3:C$20,2,FALSE),"")</f>
        <v/>
      </c>
      <c r="D175" s="107"/>
      <c r="E175" s="107"/>
      <c r="F175" s="432"/>
      <c r="G175" s="372"/>
      <c r="H175" s="100"/>
      <c r="I175" s="237"/>
      <c r="J175" s="100"/>
      <c r="K175" s="103"/>
      <c r="L175" s="17"/>
      <c r="M175" s="369"/>
      <c r="N175" s="348" t="e">
        <f>+VLOOKUP(M175,Listados!$K$8:$L$12,2,0)</f>
        <v>#N/A</v>
      </c>
      <c r="O175" s="351"/>
      <c r="P175" s="348" t="e">
        <f>+VLOOKUP(O175,Listados!$K$13:$L$17,2,0)</f>
        <v>#N/A</v>
      </c>
      <c r="Q175" s="347" t="str">
        <f>IF(AND(M175&lt;&gt;"",O175&lt;&gt;""),VLOOKUP(M175&amp;O175,Listados!$M$3:$N$27,2,FALSE),"")</f>
        <v/>
      </c>
      <c r="R175" s="345" t="e">
        <f>+VLOOKUP(Q175,Listados!$P$3:$Q$6,2,FALSE)</f>
        <v>#N/A</v>
      </c>
      <c r="S175" s="208"/>
      <c r="T175" s="94"/>
      <c r="U175" s="47" t="s">
        <v>627</v>
      </c>
      <c r="V175" s="215"/>
      <c r="W175" s="215"/>
      <c r="X175" s="215"/>
      <c r="Y175" s="95" t="str">
        <f t="shared" si="25"/>
        <v/>
      </c>
      <c r="Z175" s="215"/>
      <c r="AA175" s="95" t="str">
        <f t="shared" si="26"/>
        <v/>
      </c>
      <c r="AB175" s="208"/>
      <c r="AC175" s="95" t="str">
        <f t="shared" si="27"/>
        <v/>
      </c>
      <c r="AD175" s="208"/>
      <c r="AE175" s="95" t="str">
        <f t="shared" si="28"/>
        <v/>
      </c>
      <c r="AF175" s="208"/>
      <c r="AG175" s="95" t="str">
        <f t="shared" si="29"/>
        <v/>
      </c>
      <c r="AH175" s="208"/>
      <c r="AI175" s="95" t="str">
        <f t="shared" si="30"/>
        <v/>
      </c>
      <c r="AJ175" s="208"/>
      <c r="AK175" s="27" t="str">
        <f t="shared" si="31"/>
        <v/>
      </c>
      <c r="AL175" s="48" t="str">
        <f t="shared" si="32"/>
        <v/>
      </c>
      <c r="AM175" s="48" t="str">
        <f t="shared" si="33"/>
        <v/>
      </c>
      <c r="AN175" s="293"/>
      <c r="AO175" s="293"/>
      <c r="AP175" s="293"/>
      <c r="AQ175" s="293"/>
      <c r="AR175" s="293"/>
      <c r="AS175" s="293"/>
      <c r="AT175" s="293"/>
      <c r="AU175" s="294" t="str">
        <f>IFERROR(VLOOKUP(AT175,'Seguridad Información'!$I$61:$J$65,2,0),"")</f>
        <v/>
      </c>
      <c r="AV175" s="79"/>
      <c r="AW175" s="78" t="str">
        <f t="shared" si="24"/>
        <v/>
      </c>
      <c r="AX175" s="77" t="str">
        <f t="shared" si="34"/>
        <v/>
      </c>
      <c r="AY175" s="21" t="str">
        <f>IFERROR(VLOOKUP((CONCATENATE(AM175,AX175)),Listados!$U$3:$V$11,2,FALSE),"")</f>
        <v/>
      </c>
      <c r="AZ175" s="48">
        <f t="shared" si="35"/>
        <v>100</v>
      </c>
      <c r="BA175" s="354">
        <f>AVERAGE(AZ175:AZ180)</f>
        <v>100</v>
      </c>
      <c r="BB175" s="356" t="str">
        <f>IF(BA175&lt;=50, "Débil", IF(BA175&lt;=99,"Moderado","Fuerte"))</f>
        <v>Fuerte</v>
      </c>
      <c r="BC175" s="173">
        <f>+IF(AND(W175="Preventivo",BB175="Fuerte"),2,IF(AND(W175="Preventivo",BB175="Moderado"),1,0))</f>
        <v>0</v>
      </c>
      <c r="BD175" s="64">
        <f>+IF(AND(W175="Detectivo/Correctivo",$BB175="Fuerte"),2,IF(AND(W175="Detectivo/Correctivo",$BB175="Moderado"),1,IF(AND(W175="Preventivo",$BB175="Fuerte"),1,0)))</f>
        <v>0</v>
      </c>
      <c r="BE175" s="173" t="e">
        <f>+N175-BC175</f>
        <v>#N/A</v>
      </c>
      <c r="BF175" s="173" t="e">
        <f>+P175-BD175</f>
        <v>#N/A</v>
      </c>
      <c r="BG175" s="345" t="e">
        <f>+VLOOKUP(MIN(BE175,BE176,BE177,BE178,BE179,BE180),Listados!$J$18:$K$24,2,TRUE)</f>
        <v>#N/A</v>
      </c>
      <c r="BH175" s="345" t="e">
        <f>+VLOOKUP(MIN(BF175,BF176,BF177,BF178,BF179,BF180),Listados!$J$27:$K$32,2,TRUE)</f>
        <v>#N/A</v>
      </c>
      <c r="BI175" s="345" t="e">
        <f>IF(AND(BG175&lt;&gt;"",BH175&lt;&gt;""),VLOOKUP(BG175&amp;BH175,Listados!$M$3:$N$27,2,FALSE),"")</f>
        <v>#N/A</v>
      </c>
      <c r="BJ175" s="537" t="e">
        <f>+IF($R175="Asumir el riesgo","NA","")</f>
        <v>#N/A</v>
      </c>
      <c r="BK175" s="537" t="e">
        <f>+IF($R175="Asumir el riesgo","NA","")</f>
        <v>#N/A</v>
      </c>
      <c r="BL175" s="537" t="e">
        <f>+IF($R175="Asumir el riesgo","NA","")</f>
        <v>#N/A</v>
      </c>
      <c r="BM175" s="537" t="e">
        <f>+IF($R175="Asumir el riesgo","NA","")</f>
        <v>#N/A</v>
      </c>
    </row>
    <row r="176" spans="1:65" ht="65.099999999999994" customHeight="1" thickBot="1">
      <c r="A176" s="329"/>
      <c r="B176" s="514"/>
      <c r="C176" s="364"/>
      <c r="D176" s="233"/>
      <c r="E176" s="233"/>
      <c r="F176" s="433"/>
      <c r="G176" s="367"/>
      <c r="H176" s="100"/>
      <c r="I176" s="237"/>
      <c r="J176" s="100"/>
      <c r="K176" s="236"/>
      <c r="L176" s="222"/>
      <c r="M176" s="370"/>
      <c r="N176" s="349"/>
      <c r="O176" s="352"/>
      <c r="P176" s="349"/>
      <c r="Q176" s="353"/>
      <c r="R176" s="346"/>
      <c r="S176" s="208"/>
      <c r="T176" s="195"/>
      <c r="U176" s="47" t="s">
        <v>627</v>
      </c>
      <c r="V176" s="215"/>
      <c r="W176" s="215"/>
      <c r="X176" s="215"/>
      <c r="Y176" s="95" t="str">
        <f t="shared" si="25"/>
        <v/>
      </c>
      <c r="Z176" s="215"/>
      <c r="AA176" s="95" t="str">
        <f t="shared" si="26"/>
        <v/>
      </c>
      <c r="AB176" s="208"/>
      <c r="AC176" s="95" t="str">
        <f t="shared" si="27"/>
        <v/>
      </c>
      <c r="AD176" s="208"/>
      <c r="AE176" s="95" t="str">
        <f t="shared" si="28"/>
        <v/>
      </c>
      <c r="AF176" s="208"/>
      <c r="AG176" s="95" t="str">
        <f t="shared" si="29"/>
        <v/>
      </c>
      <c r="AH176" s="208"/>
      <c r="AI176" s="95" t="str">
        <f t="shared" si="30"/>
        <v/>
      </c>
      <c r="AJ176" s="208"/>
      <c r="AK176" s="27" t="str">
        <f t="shared" si="31"/>
        <v/>
      </c>
      <c r="AL176" s="48" t="str">
        <f t="shared" si="32"/>
        <v/>
      </c>
      <c r="AM176" s="48" t="str">
        <f t="shared" si="33"/>
        <v/>
      </c>
      <c r="AN176" s="293"/>
      <c r="AO176" s="293"/>
      <c r="AP176" s="293"/>
      <c r="AQ176" s="293"/>
      <c r="AR176" s="293"/>
      <c r="AS176" s="293"/>
      <c r="AT176" s="293"/>
      <c r="AU176" s="294" t="str">
        <f>IFERROR(VLOOKUP(AT176,'Seguridad Información'!$I$61:$J$65,2,0),"")</f>
        <v/>
      </c>
      <c r="AV176" s="79"/>
      <c r="AW176" s="78" t="str">
        <f t="shared" si="24"/>
        <v/>
      </c>
      <c r="AX176" s="77" t="str">
        <f t="shared" si="34"/>
        <v/>
      </c>
      <c r="AY176" s="21" t="str">
        <f>IFERROR(VLOOKUP((CONCATENATE(AM176,AX176)),Listados!$U$3:$V$11,2,FALSE),"")</f>
        <v/>
      </c>
      <c r="AZ176" s="48">
        <f t="shared" si="35"/>
        <v>100</v>
      </c>
      <c r="BA176" s="355"/>
      <c r="BB176" s="357"/>
      <c r="BC176" s="173">
        <f>+IF(AND(W176="Preventivo",BB175="Fuerte"),2,IF(AND(W176="Preventivo",BB175="Moderado"),1,0))</f>
        <v>0</v>
      </c>
      <c r="BD176" s="64">
        <f>+IF(AND(W176="Detectivo/Correctivo",$BB175="Fuerte"),2,IF(AND(W176="Detectivo/Correctivo",$BB176="Moderado"),1,IF(AND(W176="Preventivo",$BB175="Fuerte"),1,0)))</f>
        <v>0</v>
      </c>
      <c r="BE176" s="173" t="e">
        <f>+N175-BC176</f>
        <v>#N/A</v>
      </c>
      <c r="BF176" s="173" t="e">
        <f>+P175-BD176</f>
        <v>#N/A</v>
      </c>
      <c r="BG176" s="346"/>
      <c r="BH176" s="346"/>
      <c r="BI176" s="346"/>
      <c r="BJ176" s="538"/>
      <c r="BK176" s="538"/>
      <c r="BL176" s="538"/>
      <c r="BM176" s="538"/>
    </row>
    <row r="177" spans="1:65" ht="65.099999999999994" customHeight="1" thickBot="1">
      <c r="A177" s="329"/>
      <c r="B177" s="514"/>
      <c r="C177" s="364"/>
      <c r="D177" s="233"/>
      <c r="E177" s="233"/>
      <c r="F177" s="433"/>
      <c r="G177" s="367"/>
      <c r="H177" s="100"/>
      <c r="I177" s="237"/>
      <c r="J177" s="100"/>
      <c r="K177" s="236"/>
      <c r="L177" s="222"/>
      <c r="M177" s="370"/>
      <c r="N177" s="349"/>
      <c r="O177" s="352"/>
      <c r="P177" s="349"/>
      <c r="Q177" s="353"/>
      <c r="R177" s="346"/>
      <c r="S177" s="208"/>
      <c r="T177" s="96"/>
      <c r="U177" s="47" t="s">
        <v>627</v>
      </c>
      <c r="V177" s="215"/>
      <c r="W177" s="215"/>
      <c r="X177" s="215"/>
      <c r="Y177" s="95" t="str">
        <f t="shared" si="25"/>
        <v/>
      </c>
      <c r="Z177" s="215"/>
      <c r="AA177" s="95" t="str">
        <f t="shared" si="26"/>
        <v/>
      </c>
      <c r="AB177" s="208"/>
      <c r="AC177" s="95" t="str">
        <f t="shared" si="27"/>
        <v/>
      </c>
      <c r="AD177" s="208"/>
      <c r="AE177" s="95" t="str">
        <f t="shared" si="28"/>
        <v/>
      </c>
      <c r="AF177" s="208"/>
      <c r="AG177" s="95" t="str">
        <f t="shared" si="29"/>
        <v/>
      </c>
      <c r="AH177" s="208"/>
      <c r="AI177" s="95" t="str">
        <f t="shared" si="30"/>
        <v/>
      </c>
      <c r="AJ177" s="208"/>
      <c r="AK177" s="27" t="str">
        <f t="shared" si="31"/>
        <v/>
      </c>
      <c r="AL177" s="48" t="str">
        <f t="shared" si="32"/>
        <v/>
      </c>
      <c r="AM177" s="48" t="str">
        <f t="shared" si="33"/>
        <v/>
      </c>
      <c r="AN177" s="293"/>
      <c r="AO177" s="293"/>
      <c r="AP177" s="293"/>
      <c r="AQ177" s="293"/>
      <c r="AR177" s="293"/>
      <c r="AS177" s="293"/>
      <c r="AT177" s="293"/>
      <c r="AU177" s="294" t="str">
        <f>IFERROR(VLOOKUP(AT177,'Seguridad Información'!$I$61:$J$65,2,0),"")</f>
        <v/>
      </c>
      <c r="AV177" s="79"/>
      <c r="AW177" s="78" t="str">
        <f t="shared" si="24"/>
        <v/>
      </c>
      <c r="AX177" s="77" t="str">
        <f t="shared" si="34"/>
        <v/>
      </c>
      <c r="AY177" s="21" t="str">
        <f>IFERROR(VLOOKUP((CONCATENATE(AM177,AX177)),Listados!$U$3:$V$11,2,FALSE),"")</f>
        <v/>
      </c>
      <c r="AZ177" s="48">
        <f t="shared" si="35"/>
        <v>100</v>
      </c>
      <c r="BA177" s="355"/>
      <c r="BB177" s="357"/>
      <c r="BC177" s="173">
        <f>+IF(AND(W177="Preventivo",BB175="Fuerte"),2,IF(AND(W177="Preventivo",BB175="Moderado"),1,0))</f>
        <v>0</v>
      </c>
      <c r="BD177" s="64">
        <f>+IF(AND(W177="Detectivo/Correctivo",$BB175="Fuerte"),2,IF(AND(W177="Detectivo/Correctivo",$BB177="Moderado"),1,IF(AND(W177="Preventivo",$BB175="Fuerte"),1,0)))</f>
        <v>0</v>
      </c>
      <c r="BE177" s="173" t="e">
        <f>+N175-BC177</f>
        <v>#N/A</v>
      </c>
      <c r="BF177" s="173" t="e">
        <f>+P175-BD177</f>
        <v>#N/A</v>
      </c>
      <c r="BG177" s="346"/>
      <c r="BH177" s="346"/>
      <c r="BI177" s="346"/>
      <c r="BJ177" s="538"/>
      <c r="BK177" s="538"/>
      <c r="BL177" s="538"/>
      <c r="BM177" s="538"/>
    </row>
    <row r="178" spans="1:65" ht="65.099999999999994" customHeight="1" thickBot="1">
      <c r="A178" s="329"/>
      <c r="B178" s="514"/>
      <c r="C178" s="364"/>
      <c r="D178" s="233"/>
      <c r="E178" s="233"/>
      <c r="F178" s="433"/>
      <c r="G178" s="367"/>
      <c r="H178" s="100"/>
      <c r="I178" s="237"/>
      <c r="J178" s="100"/>
      <c r="K178" s="236"/>
      <c r="L178" s="222"/>
      <c r="M178" s="370"/>
      <c r="N178" s="349"/>
      <c r="O178" s="352"/>
      <c r="P178" s="349"/>
      <c r="Q178" s="353"/>
      <c r="R178" s="346"/>
      <c r="S178" s="208"/>
      <c r="T178" s="97"/>
      <c r="U178" s="47" t="s">
        <v>627</v>
      </c>
      <c r="V178" s="215"/>
      <c r="W178" s="215"/>
      <c r="X178" s="215"/>
      <c r="Y178" s="95" t="str">
        <f t="shared" si="25"/>
        <v/>
      </c>
      <c r="Z178" s="215"/>
      <c r="AA178" s="95" t="str">
        <f t="shared" si="26"/>
        <v/>
      </c>
      <c r="AB178" s="208"/>
      <c r="AC178" s="95" t="str">
        <f t="shared" si="27"/>
        <v/>
      </c>
      <c r="AD178" s="208"/>
      <c r="AE178" s="95" t="str">
        <f t="shared" si="28"/>
        <v/>
      </c>
      <c r="AF178" s="208"/>
      <c r="AG178" s="95" t="str">
        <f t="shared" si="29"/>
        <v/>
      </c>
      <c r="AH178" s="208"/>
      <c r="AI178" s="95" t="str">
        <f t="shared" si="30"/>
        <v/>
      </c>
      <c r="AJ178" s="208"/>
      <c r="AK178" s="27" t="str">
        <f t="shared" si="31"/>
        <v/>
      </c>
      <c r="AL178" s="48" t="str">
        <f t="shared" si="32"/>
        <v/>
      </c>
      <c r="AM178" s="48" t="str">
        <f t="shared" si="33"/>
        <v/>
      </c>
      <c r="AN178" s="293"/>
      <c r="AO178" s="293"/>
      <c r="AP178" s="293"/>
      <c r="AQ178" s="293"/>
      <c r="AR178" s="293"/>
      <c r="AS178" s="293"/>
      <c r="AT178" s="293"/>
      <c r="AU178" s="294" t="str">
        <f>IFERROR(VLOOKUP(AT178,'Seguridad Información'!$I$61:$J$65,2,0),"")</f>
        <v/>
      </c>
      <c r="AV178" s="79"/>
      <c r="AW178" s="78" t="str">
        <f t="shared" si="24"/>
        <v/>
      </c>
      <c r="AX178" s="77" t="str">
        <f t="shared" si="34"/>
        <v/>
      </c>
      <c r="AY178" s="21" t="str">
        <f>IFERROR(VLOOKUP((CONCATENATE(AM178,AX178)),Listados!$U$3:$V$11,2,FALSE),"")</f>
        <v/>
      </c>
      <c r="AZ178" s="48">
        <f t="shared" si="35"/>
        <v>100</v>
      </c>
      <c r="BA178" s="355"/>
      <c r="BB178" s="357"/>
      <c r="BC178" s="173">
        <f>+IF(AND(W178="Preventivo",BB175="Fuerte"),2,IF(AND(W178="Preventivo",BB175="Moderado"),1,0))</f>
        <v>0</v>
      </c>
      <c r="BD178" s="64">
        <f>+IF(AND(W178="Detectivo/Correctivo",$BB175="Fuerte"),2,IF(AND(W178="Detectivo/Correctivo",$BB178="Moderado"),1,IF(AND(W178="Preventivo",$BB175="Fuerte"),1,0)))</f>
        <v>0</v>
      </c>
      <c r="BE178" s="173" t="e">
        <f>+N175-BC178</f>
        <v>#N/A</v>
      </c>
      <c r="BF178" s="173" t="e">
        <f>+P175-BD178</f>
        <v>#N/A</v>
      </c>
      <c r="BG178" s="346"/>
      <c r="BH178" s="346"/>
      <c r="BI178" s="346"/>
      <c r="BJ178" s="538"/>
      <c r="BK178" s="538"/>
      <c r="BL178" s="538"/>
      <c r="BM178" s="538"/>
    </row>
    <row r="179" spans="1:65" ht="65.099999999999994" customHeight="1" thickBot="1">
      <c r="A179" s="329"/>
      <c r="B179" s="514"/>
      <c r="C179" s="364"/>
      <c r="D179" s="109"/>
      <c r="E179" s="109"/>
      <c r="F179" s="433"/>
      <c r="G179" s="367"/>
      <c r="H179" s="100"/>
      <c r="I179" s="237"/>
      <c r="J179" s="100"/>
      <c r="K179" s="29"/>
      <c r="L179" s="222"/>
      <c r="M179" s="370"/>
      <c r="N179" s="349"/>
      <c r="O179" s="352"/>
      <c r="P179" s="349"/>
      <c r="Q179" s="353"/>
      <c r="R179" s="346"/>
      <c r="S179" s="208"/>
      <c r="T179" s="195"/>
      <c r="U179" s="47" t="s">
        <v>627</v>
      </c>
      <c r="V179" s="215"/>
      <c r="W179" s="215"/>
      <c r="X179" s="215"/>
      <c r="Y179" s="95" t="str">
        <f t="shared" si="25"/>
        <v/>
      </c>
      <c r="Z179" s="215"/>
      <c r="AA179" s="95" t="str">
        <f t="shared" si="26"/>
        <v/>
      </c>
      <c r="AB179" s="208"/>
      <c r="AC179" s="95" t="str">
        <f t="shared" si="27"/>
        <v/>
      </c>
      <c r="AD179" s="208"/>
      <c r="AE179" s="95" t="str">
        <f t="shared" si="28"/>
        <v/>
      </c>
      <c r="AF179" s="208"/>
      <c r="AG179" s="95" t="str">
        <f t="shared" si="29"/>
        <v/>
      </c>
      <c r="AH179" s="208"/>
      <c r="AI179" s="95" t="str">
        <f t="shared" si="30"/>
        <v/>
      </c>
      <c r="AJ179" s="208"/>
      <c r="AK179" s="27" t="str">
        <f t="shared" si="31"/>
        <v/>
      </c>
      <c r="AL179" s="48" t="str">
        <f t="shared" si="32"/>
        <v/>
      </c>
      <c r="AM179" s="48" t="str">
        <f t="shared" si="33"/>
        <v/>
      </c>
      <c r="AN179" s="293"/>
      <c r="AO179" s="293"/>
      <c r="AP179" s="293"/>
      <c r="AQ179" s="293"/>
      <c r="AR179" s="293"/>
      <c r="AS179" s="293"/>
      <c r="AT179" s="293"/>
      <c r="AU179" s="294" t="str">
        <f>IFERROR(VLOOKUP(AT179,'Seguridad Información'!$I$61:$J$65,2,0),"")</f>
        <v/>
      </c>
      <c r="AV179" s="79"/>
      <c r="AW179" s="78" t="str">
        <f t="shared" si="24"/>
        <v/>
      </c>
      <c r="AX179" s="77" t="str">
        <f t="shared" si="34"/>
        <v/>
      </c>
      <c r="AY179" s="21" t="str">
        <f>IFERROR(VLOOKUP((CONCATENATE(AM179,AX179)),Listados!$U$3:$V$11,2,FALSE),"")</f>
        <v/>
      </c>
      <c r="AZ179" s="48">
        <f t="shared" si="35"/>
        <v>100</v>
      </c>
      <c r="BA179" s="355"/>
      <c r="BB179" s="357"/>
      <c r="BC179" s="173">
        <f>+IF(AND(W179="Preventivo",BB175="Fuerte"),2,IF(AND(W179="Preventivo",BB175="Moderado"),1,0))</f>
        <v>0</v>
      </c>
      <c r="BD179" s="64">
        <f>+IF(AND(W179="Detectivo/Correctivo",$BB175="Fuerte"),2,IF(AND(W179="Detectivo/Correctivo",$BB179="Moderado"),1,IF(AND(W179="Preventivo",$BB175="Fuerte"),1,0)))</f>
        <v>0</v>
      </c>
      <c r="BE179" s="173" t="e">
        <f>+N175-BC179</f>
        <v>#N/A</v>
      </c>
      <c r="BF179" s="173" t="e">
        <f>+P175-BD179</f>
        <v>#N/A</v>
      </c>
      <c r="BG179" s="346"/>
      <c r="BH179" s="346"/>
      <c r="BI179" s="346"/>
      <c r="BJ179" s="538"/>
      <c r="BK179" s="538"/>
      <c r="BL179" s="538"/>
      <c r="BM179" s="538"/>
    </row>
    <row r="180" spans="1:65" ht="65.099999999999994" customHeight="1" thickBot="1">
      <c r="A180" s="330"/>
      <c r="B180" s="514"/>
      <c r="C180" s="365"/>
      <c r="D180" s="106"/>
      <c r="E180" s="106"/>
      <c r="F180" s="434"/>
      <c r="G180" s="368"/>
      <c r="H180" s="100"/>
      <c r="I180" s="237"/>
      <c r="J180" s="100"/>
      <c r="K180" s="31"/>
      <c r="L180" s="222"/>
      <c r="M180" s="370"/>
      <c r="N180" s="350"/>
      <c r="O180" s="352"/>
      <c r="P180" s="350"/>
      <c r="Q180" s="353"/>
      <c r="R180" s="347"/>
      <c r="S180" s="208"/>
      <c r="T180" s="98"/>
      <c r="U180" s="47" t="s">
        <v>627</v>
      </c>
      <c r="V180" s="215"/>
      <c r="W180" s="215"/>
      <c r="X180" s="215"/>
      <c r="Y180" s="95" t="str">
        <f t="shared" si="25"/>
        <v/>
      </c>
      <c r="Z180" s="215"/>
      <c r="AA180" s="95" t="str">
        <f t="shared" si="26"/>
        <v/>
      </c>
      <c r="AB180" s="208"/>
      <c r="AC180" s="95" t="str">
        <f t="shared" si="27"/>
        <v/>
      </c>
      <c r="AD180" s="208"/>
      <c r="AE180" s="95" t="str">
        <f t="shared" si="28"/>
        <v/>
      </c>
      <c r="AF180" s="208"/>
      <c r="AG180" s="95" t="str">
        <f t="shared" si="29"/>
        <v/>
      </c>
      <c r="AH180" s="208"/>
      <c r="AI180" s="95" t="str">
        <f t="shared" si="30"/>
        <v/>
      </c>
      <c r="AJ180" s="208"/>
      <c r="AK180" s="27" t="str">
        <f t="shared" si="31"/>
        <v/>
      </c>
      <c r="AL180" s="48" t="str">
        <f t="shared" si="32"/>
        <v/>
      </c>
      <c r="AM180" s="48" t="str">
        <f t="shared" si="33"/>
        <v/>
      </c>
      <c r="AN180" s="293"/>
      <c r="AO180" s="293"/>
      <c r="AP180" s="293"/>
      <c r="AQ180" s="293"/>
      <c r="AR180" s="293"/>
      <c r="AS180" s="293"/>
      <c r="AT180" s="293"/>
      <c r="AU180" s="294" t="str">
        <f>IFERROR(VLOOKUP(AT180,'Seguridad Información'!$I$61:$J$65,2,0),"")</f>
        <v/>
      </c>
      <c r="AV180" s="79"/>
      <c r="AW180" s="78" t="str">
        <f t="shared" si="24"/>
        <v/>
      </c>
      <c r="AX180" s="77" t="str">
        <f t="shared" si="34"/>
        <v/>
      </c>
      <c r="AY180" s="21" t="str">
        <f>IFERROR(VLOOKUP((CONCATENATE(AM180,AX180)),Listados!$U$3:$V$11,2,FALSE),"")</f>
        <v/>
      </c>
      <c r="AZ180" s="48">
        <f t="shared" si="35"/>
        <v>100</v>
      </c>
      <c r="BA180" s="356"/>
      <c r="BB180" s="357"/>
      <c r="BC180" s="173">
        <f>+IF(AND(W180="Preventivo",BB175="Fuerte"),2,IF(AND(W180="Preventivo",BB175="Moderado"),1,0))</f>
        <v>0</v>
      </c>
      <c r="BD180" s="64">
        <f>+IF(AND(W180="Detectivo/Correctivo",$BB175="Fuerte"),2,IF(AND(W180="Detectivo/Correctivo",$BB180="Moderado"),1,IF(AND(W180="Preventivo",$BB175="Fuerte"),1,0)))</f>
        <v>0</v>
      </c>
      <c r="BE180" s="173" t="e">
        <f>+N175-BC180</f>
        <v>#N/A</v>
      </c>
      <c r="BF180" s="173" t="e">
        <f>+P175-BD180</f>
        <v>#N/A</v>
      </c>
      <c r="BG180" s="347"/>
      <c r="BH180" s="347"/>
      <c r="BI180" s="347"/>
      <c r="BJ180" s="539"/>
      <c r="BK180" s="539"/>
      <c r="BL180" s="539"/>
      <c r="BM180" s="539"/>
    </row>
    <row r="181" spans="1:65" ht="65.099999999999994" customHeight="1" thickBot="1">
      <c r="A181" s="328">
        <v>30</v>
      </c>
      <c r="B181" s="519"/>
      <c r="C181" s="371" t="str">
        <f>IFERROR(VLOOKUP(B181,Listados!B$3:C$20,2,FALSE),"")</f>
        <v/>
      </c>
      <c r="D181" s="107"/>
      <c r="E181" s="107"/>
      <c r="F181" s="432"/>
      <c r="G181" s="372"/>
      <c r="H181" s="100"/>
      <c r="I181" s="237"/>
      <c r="J181" s="100"/>
      <c r="K181" s="103"/>
      <c r="L181" s="17"/>
      <c r="M181" s="369"/>
      <c r="N181" s="348" t="e">
        <f>+VLOOKUP(M181,Listados!$K$8:$L$12,2,0)</f>
        <v>#N/A</v>
      </c>
      <c r="O181" s="351"/>
      <c r="P181" s="348" t="e">
        <f>+VLOOKUP(O181,Listados!$K$13:$L$17,2,0)</f>
        <v>#N/A</v>
      </c>
      <c r="Q181" s="347" t="str">
        <f>IF(AND(M181&lt;&gt;"",O181&lt;&gt;""),VLOOKUP(M181&amp;O181,Listados!$M$3:$N$27,2,FALSE),"")</f>
        <v/>
      </c>
      <c r="R181" s="345" t="e">
        <f>+VLOOKUP(Q181,Listados!$P$3:$Q$6,2,FALSE)</f>
        <v>#N/A</v>
      </c>
      <c r="S181" s="208"/>
      <c r="T181" s="94"/>
      <c r="U181" s="47" t="s">
        <v>627</v>
      </c>
      <c r="V181" s="215"/>
      <c r="W181" s="215"/>
      <c r="X181" s="215"/>
      <c r="Y181" s="95" t="str">
        <f t="shared" si="25"/>
        <v/>
      </c>
      <c r="Z181" s="215"/>
      <c r="AA181" s="95" t="str">
        <f t="shared" si="26"/>
        <v/>
      </c>
      <c r="AB181" s="208"/>
      <c r="AC181" s="95" t="str">
        <f t="shared" si="27"/>
        <v/>
      </c>
      <c r="AD181" s="208"/>
      <c r="AE181" s="95" t="str">
        <f t="shared" si="28"/>
        <v/>
      </c>
      <c r="AF181" s="208"/>
      <c r="AG181" s="95" t="str">
        <f t="shared" si="29"/>
        <v/>
      </c>
      <c r="AH181" s="208"/>
      <c r="AI181" s="95" t="str">
        <f t="shared" si="30"/>
        <v/>
      </c>
      <c r="AJ181" s="208"/>
      <c r="AK181" s="27" t="str">
        <f t="shared" si="31"/>
        <v/>
      </c>
      <c r="AL181" s="48" t="str">
        <f t="shared" si="32"/>
        <v/>
      </c>
      <c r="AM181" s="48" t="str">
        <f t="shared" si="33"/>
        <v/>
      </c>
      <c r="AN181" s="293"/>
      <c r="AO181" s="293"/>
      <c r="AP181" s="293"/>
      <c r="AQ181" s="293"/>
      <c r="AR181" s="293"/>
      <c r="AS181" s="293"/>
      <c r="AT181" s="293"/>
      <c r="AU181" s="294" t="str">
        <f>IFERROR(VLOOKUP(AT181,'Seguridad Información'!$I$61:$J$65,2,0),"")</f>
        <v/>
      </c>
      <c r="AV181" s="79"/>
      <c r="AW181" s="78" t="str">
        <f t="shared" si="24"/>
        <v/>
      </c>
      <c r="AX181" s="77" t="str">
        <f t="shared" si="34"/>
        <v/>
      </c>
      <c r="AY181" s="21" t="str">
        <f>IFERROR(VLOOKUP((CONCATENATE(AM181,AX181)),Listados!$U$3:$V$11,2,FALSE),"")</f>
        <v/>
      </c>
      <c r="AZ181" s="48">
        <f t="shared" si="35"/>
        <v>100</v>
      </c>
      <c r="BA181" s="354">
        <f>AVERAGE(AZ181:AZ186)</f>
        <v>100</v>
      </c>
      <c r="BB181" s="356" t="str">
        <f>IF(BA181&lt;=50, "Débil", IF(BA181&lt;=99,"Moderado","Fuerte"))</f>
        <v>Fuerte</v>
      </c>
      <c r="BC181" s="173">
        <f>+IF(AND(W181="Preventivo",BB181="Fuerte"),2,IF(AND(W181="Preventivo",BB181="Moderado"),1,0))</f>
        <v>0</v>
      </c>
      <c r="BD181" s="64">
        <f>+IF(AND(W181="Detectivo/Correctivo",$BB181="Fuerte"),2,IF(AND(W181="Detectivo/Correctivo",$BB181="Moderado"),1,IF(AND(W181="Preventivo",$BB181="Fuerte"),1,0)))</f>
        <v>0</v>
      </c>
      <c r="BE181" s="173" t="e">
        <f>+N181-BC181</f>
        <v>#N/A</v>
      </c>
      <c r="BF181" s="173" t="e">
        <f>+P181-BD181</f>
        <v>#N/A</v>
      </c>
      <c r="BG181" s="345" t="e">
        <f>+VLOOKUP(MIN(BE181,BE182,BE183,BE184,BE185,BE186),Listados!$J$18:$K$24,2,TRUE)</f>
        <v>#N/A</v>
      </c>
      <c r="BH181" s="345" t="e">
        <f>+VLOOKUP(MIN(BF181,BF182,BF183,BF184,BF185,BF186),Listados!$J$27:$K$32,2,TRUE)</f>
        <v>#N/A</v>
      </c>
      <c r="BI181" s="345" t="e">
        <f>IF(AND(BG181&lt;&gt;"",BH181&lt;&gt;""),VLOOKUP(BG181&amp;BH181,Listados!$M$3:$N$27,2,FALSE),"")</f>
        <v>#N/A</v>
      </c>
      <c r="BJ181" s="537" t="e">
        <f>+IF($R181="Asumir el riesgo","NA","")</f>
        <v>#N/A</v>
      </c>
      <c r="BK181" s="537" t="e">
        <f>+IF($R181="Asumir el riesgo","NA","")</f>
        <v>#N/A</v>
      </c>
      <c r="BL181" s="537" t="e">
        <f>+IF($R181="Asumir el riesgo","NA","")</f>
        <v>#N/A</v>
      </c>
      <c r="BM181" s="537" t="e">
        <f>+IF($R181="Asumir el riesgo","NA","")</f>
        <v>#N/A</v>
      </c>
    </row>
    <row r="182" spans="1:65" ht="65.099999999999994" customHeight="1" thickBot="1">
      <c r="A182" s="329"/>
      <c r="B182" s="514"/>
      <c r="C182" s="364"/>
      <c r="D182" s="233"/>
      <c r="E182" s="233"/>
      <c r="F182" s="433"/>
      <c r="G182" s="367"/>
      <c r="H182" s="100"/>
      <c r="I182" s="237"/>
      <c r="J182" s="100"/>
      <c r="K182" s="236"/>
      <c r="L182" s="222"/>
      <c r="M182" s="370"/>
      <c r="N182" s="349"/>
      <c r="O182" s="352"/>
      <c r="P182" s="349"/>
      <c r="Q182" s="353"/>
      <c r="R182" s="346"/>
      <c r="S182" s="208"/>
      <c r="T182" s="195"/>
      <c r="U182" s="47" t="s">
        <v>627</v>
      </c>
      <c r="V182" s="215"/>
      <c r="W182" s="215"/>
      <c r="X182" s="215"/>
      <c r="Y182" s="95" t="str">
        <f t="shared" si="25"/>
        <v/>
      </c>
      <c r="Z182" s="215"/>
      <c r="AA182" s="95" t="str">
        <f t="shared" si="26"/>
        <v/>
      </c>
      <c r="AB182" s="208"/>
      <c r="AC182" s="95" t="str">
        <f t="shared" si="27"/>
        <v/>
      </c>
      <c r="AD182" s="208"/>
      <c r="AE182" s="95" t="str">
        <f t="shared" si="28"/>
        <v/>
      </c>
      <c r="AF182" s="208"/>
      <c r="AG182" s="95" t="str">
        <f t="shared" si="29"/>
        <v/>
      </c>
      <c r="AH182" s="208"/>
      <c r="AI182" s="95" t="str">
        <f t="shared" si="30"/>
        <v/>
      </c>
      <c r="AJ182" s="208"/>
      <c r="AK182" s="27" t="str">
        <f t="shared" si="31"/>
        <v/>
      </c>
      <c r="AL182" s="48" t="str">
        <f t="shared" si="32"/>
        <v/>
      </c>
      <c r="AM182" s="48" t="str">
        <f t="shared" si="33"/>
        <v/>
      </c>
      <c r="AN182" s="293"/>
      <c r="AO182" s="293"/>
      <c r="AP182" s="293"/>
      <c r="AQ182" s="293"/>
      <c r="AR182" s="293"/>
      <c r="AS182" s="293"/>
      <c r="AT182" s="293"/>
      <c r="AU182" s="294" t="str">
        <f>IFERROR(VLOOKUP(AT182,'Seguridad Información'!$I$61:$J$65,2,0),"")</f>
        <v/>
      </c>
      <c r="AV182" s="79"/>
      <c r="AW182" s="78" t="str">
        <f t="shared" si="24"/>
        <v/>
      </c>
      <c r="AX182" s="77" t="str">
        <f t="shared" si="34"/>
        <v/>
      </c>
      <c r="AY182" s="21" t="str">
        <f>IFERROR(VLOOKUP((CONCATENATE(AM182,AX182)),Listados!$U$3:$V$11,2,FALSE),"")</f>
        <v/>
      </c>
      <c r="AZ182" s="48">
        <f t="shared" si="35"/>
        <v>100</v>
      </c>
      <c r="BA182" s="355"/>
      <c r="BB182" s="357"/>
      <c r="BC182" s="173">
        <f>+IF(AND(W182="Preventivo",BB181="Fuerte"),2,IF(AND(W182="Preventivo",BB181="Moderado"),1,0))</f>
        <v>0</v>
      </c>
      <c r="BD182" s="64">
        <f>+IF(AND(W182="Detectivo/Correctivo",$BB181="Fuerte"),2,IF(AND(W182="Detectivo/Correctivo",$BB182="Moderado"),1,IF(AND(W182="Preventivo",$BB181="Fuerte"),1,0)))</f>
        <v>0</v>
      </c>
      <c r="BE182" s="173" t="e">
        <f>+N181-BC182</f>
        <v>#N/A</v>
      </c>
      <c r="BF182" s="173" t="e">
        <f>+P181-BD182</f>
        <v>#N/A</v>
      </c>
      <c r="BG182" s="346"/>
      <c r="BH182" s="346"/>
      <c r="BI182" s="346"/>
      <c r="BJ182" s="538"/>
      <c r="BK182" s="538"/>
      <c r="BL182" s="538"/>
      <c r="BM182" s="538"/>
    </row>
    <row r="183" spans="1:65" ht="65.099999999999994" customHeight="1" thickBot="1">
      <c r="A183" s="329"/>
      <c r="B183" s="514"/>
      <c r="C183" s="364"/>
      <c r="D183" s="233"/>
      <c r="E183" s="233"/>
      <c r="F183" s="433"/>
      <c r="G183" s="367"/>
      <c r="H183" s="100"/>
      <c r="I183" s="237"/>
      <c r="J183" s="100"/>
      <c r="K183" s="236"/>
      <c r="L183" s="222"/>
      <c r="M183" s="370"/>
      <c r="N183" s="349"/>
      <c r="O183" s="352"/>
      <c r="P183" s="349"/>
      <c r="Q183" s="353"/>
      <c r="R183" s="346"/>
      <c r="S183" s="208"/>
      <c r="T183" s="96"/>
      <c r="U183" s="47" t="s">
        <v>627</v>
      </c>
      <c r="V183" s="215"/>
      <c r="W183" s="215"/>
      <c r="X183" s="215"/>
      <c r="Y183" s="95" t="str">
        <f t="shared" si="25"/>
        <v/>
      </c>
      <c r="Z183" s="215"/>
      <c r="AA183" s="95" t="str">
        <f t="shared" si="26"/>
        <v/>
      </c>
      <c r="AB183" s="208"/>
      <c r="AC183" s="95" t="str">
        <f t="shared" si="27"/>
        <v/>
      </c>
      <c r="AD183" s="208"/>
      <c r="AE183" s="95" t="str">
        <f t="shared" si="28"/>
        <v/>
      </c>
      <c r="AF183" s="208"/>
      <c r="AG183" s="95" t="str">
        <f t="shared" si="29"/>
        <v/>
      </c>
      <c r="AH183" s="208"/>
      <c r="AI183" s="95" t="str">
        <f t="shared" si="30"/>
        <v/>
      </c>
      <c r="AJ183" s="208"/>
      <c r="AK183" s="27" t="str">
        <f t="shared" si="31"/>
        <v/>
      </c>
      <c r="AL183" s="48" t="str">
        <f t="shared" si="32"/>
        <v/>
      </c>
      <c r="AM183" s="48" t="str">
        <f t="shared" si="33"/>
        <v/>
      </c>
      <c r="AN183" s="293"/>
      <c r="AO183" s="293"/>
      <c r="AP183" s="293"/>
      <c r="AQ183" s="293"/>
      <c r="AR183" s="293"/>
      <c r="AS183" s="293"/>
      <c r="AT183" s="293"/>
      <c r="AU183" s="294" t="str">
        <f>IFERROR(VLOOKUP(AT183,'Seguridad Información'!$I$61:$J$65,2,0),"")</f>
        <v/>
      </c>
      <c r="AV183" s="79"/>
      <c r="AW183" s="78" t="str">
        <f t="shared" si="24"/>
        <v/>
      </c>
      <c r="AX183" s="77" t="str">
        <f t="shared" si="34"/>
        <v/>
      </c>
      <c r="AY183" s="21" t="str">
        <f>IFERROR(VLOOKUP((CONCATENATE(AM183,AX183)),Listados!$U$3:$V$11,2,FALSE),"")</f>
        <v/>
      </c>
      <c r="AZ183" s="48">
        <f t="shared" si="35"/>
        <v>100</v>
      </c>
      <c r="BA183" s="355"/>
      <c r="BB183" s="357"/>
      <c r="BC183" s="173">
        <f>+IF(AND(W183="Preventivo",BB181="Fuerte"),2,IF(AND(W183="Preventivo",BB181="Moderado"),1,0))</f>
        <v>0</v>
      </c>
      <c r="BD183" s="64">
        <f>+IF(AND(W183="Detectivo/Correctivo",$BB181="Fuerte"),2,IF(AND(W183="Detectivo/Correctivo",$BB183="Moderado"),1,IF(AND(W183="Preventivo",$BB181="Fuerte"),1,0)))</f>
        <v>0</v>
      </c>
      <c r="BE183" s="173" t="e">
        <f>+N181-BC183</f>
        <v>#N/A</v>
      </c>
      <c r="BF183" s="173" t="e">
        <f>+P181-BD183</f>
        <v>#N/A</v>
      </c>
      <c r="BG183" s="346"/>
      <c r="BH183" s="346"/>
      <c r="BI183" s="346"/>
      <c r="BJ183" s="538"/>
      <c r="BK183" s="538"/>
      <c r="BL183" s="538"/>
      <c r="BM183" s="538"/>
    </row>
    <row r="184" spans="1:65" ht="65.099999999999994" customHeight="1" thickBot="1">
      <c r="A184" s="329"/>
      <c r="B184" s="514"/>
      <c r="C184" s="364"/>
      <c r="D184" s="233"/>
      <c r="E184" s="233"/>
      <c r="F184" s="433"/>
      <c r="G184" s="367"/>
      <c r="H184" s="100"/>
      <c r="I184" s="237"/>
      <c r="J184" s="100"/>
      <c r="K184" s="236"/>
      <c r="L184" s="222"/>
      <c r="M184" s="370"/>
      <c r="N184" s="349"/>
      <c r="O184" s="352"/>
      <c r="P184" s="349"/>
      <c r="Q184" s="353"/>
      <c r="R184" s="346"/>
      <c r="S184" s="208"/>
      <c r="T184" s="97"/>
      <c r="U184" s="47" t="s">
        <v>627</v>
      </c>
      <c r="V184" s="215"/>
      <c r="W184" s="215"/>
      <c r="X184" s="215"/>
      <c r="Y184" s="95" t="str">
        <f t="shared" si="25"/>
        <v/>
      </c>
      <c r="Z184" s="215"/>
      <c r="AA184" s="95" t="str">
        <f t="shared" si="26"/>
        <v/>
      </c>
      <c r="AB184" s="208"/>
      <c r="AC184" s="95" t="str">
        <f t="shared" si="27"/>
        <v/>
      </c>
      <c r="AD184" s="208"/>
      <c r="AE184" s="95" t="str">
        <f t="shared" si="28"/>
        <v/>
      </c>
      <c r="AF184" s="208"/>
      <c r="AG184" s="95" t="str">
        <f t="shared" si="29"/>
        <v/>
      </c>
      <c r="AH184" s="208"/>
      <c r="AI184" s="95" t="str">
        <f t="shared" si="30"/>
        <v/>
      </c>
      <c r="AJ184" s="208"/>
      <c r="AK184" s="27" t="str">
        <f t="shared" si="31"/>
        <v/>
      </c>
      <c r="AL184" s="48" t="str">
        <f t="shared" si="32"/>
        <v/>
      </c>
      <c r="AM184" s="48" t="str">
        <f t="shared" si="33"/>
        <v/>
      </c>
      <c r="AN184" s="293"/>
      <c r="AO184" s="293"/>
      <c r="AP184" s="293"/>
      <c r="AQ184" s="293"/>
      <c r="AR184" s="293"/>
      <c r="AS184" s="293"/>
      <c r="AT184" s="293"/>
      <c r="AU184" s="294" t="str">
        <f>IFERROR(VLOOKUP(AT184,'Seguridad Información'!$I$61:$J$65,2,0),"")</f>
        <v/>
      </c>
      <c r="AV184" s="79"/>
      <c r="AW184" s="78" t="str">
        <f t="shared" si="24"/>
        <v/>
      </c>
      <c r="AX184" s="77" t="str">
        <f t="shared" si="34"/>
        <v/>
      </c>
      <c r="AY184" s="21" t="str">
        <f>IFERROR(VLOOKUP((CONCATENATE(AM184,AX184)),Listados!$U$3:$V$11,2,FALSE),"")</f>
        <v/>
      </c>
      <c r="AZ184" s="48">
        <f t="shared" si="35"/>
        <v>100</v>
      </c>
      <c r="BA184" s="355"/>
      <c r="BB184" s="357"/>
      <c r="BC184" s="173">
        <f>+IF(AND(W184="Preventivo",BB181="Fuerte"),2,IF(AND(W184="Preventivo",BB181="Moderado"),1,0))</f>
        <v>0</v>
      </c>
      <c r="BD184" s="64">
        <f>+IF(AND(W184="Detectivo/Correctivo",$BB181="Fuerte"),2,IF(AND(W184="Detectivo/Correctivo",$BB184="Moderado"),1,IF(AND(W184="Preventivo",$BB181="Fuerte"),1,0)))</f>
        <v>0</v>
      </c>
      <c r="BE184" s="173" t="e">
        <f>+N181-BC184</f>
        <v>#N/A</v>
      </c>
      <c r="BF184" s="173" t="e">
        <f>+P181-BD184</f>
        <v>#N/A</v>
      </c>
      <c r="BG184" s="346"/>
      <c r="BH184" s="346"/>
      <c r="BI184" s="346"/>
      <c r="BJ184" s="538"/>
      <c r="BK184" s="538"/>
      <c r="BL184" s="538"/>
      <c r="BM184" s="538"/>
    </row>
    <row r="185" spans="1:65" ht="65.099999999999994" customHeight="1" thickBot="1">
      <c r="A185" s="329"/>
      <c r="B185" s="514"/>
      <c r="C185" s="364"/>
      <c r="D185" s="109"/>
      <c r="E185" s="109"/>
      <c r="F185" s="433"/>
      <c r="G185" s="367"/>
      <c r="H185" s="100"/>
      <c r="I185" s="237"/>
      <c r="J185" s="100"/>
      <c r="K185" s="29"/>
      <c r="L185" s="222"/>
      <c r="M185" s="370"/>
      <c r="N185" s="349"/>
      <c r="O185" s="352"/>
      <c r="P185" s="349"/>
      <c r="Q185" s="353"/>
      <c r="R185" s="346"/>
      <c r="S185" s="208"/>
      <c r="T185" s="195"/>
      <c r="U185" s="47" t="s">
        <v>627</v>
      </c>
      <c r="V185" s="215"/>
      <c r="W185" s="215"/>
      <c r="X185" s="215"/>
      <c r="Y185" s="95" t="str">
        <f t="shared" si="25"/>
        <v/>
      </c>
      <c r="Z185" s="215"/>
      <c r="AA185" s="95" t="str">
        <f t="shared" si="26"/>
        <v/>
      </c>
      <c r="AB185" s="208"/>
      <c r="AC185" s="95" t="str">
        <f t="shared" si="27"/>
        <v/>
      </c>
      <c r="AD185" s="208"/>
      <c r="AE185" s="95" t="str">
        <f t="shared" si="28"/>
        <v/>
      </c>
      <c r="AF185" s="208"/>
      <c r="AG185" s="95" t="str">
        <f t="shared" si="29"/>
        <v/>
      </c>
      <c r="AH185" s="208"/>
      <c r="AI185" s="95" t="str">
        <f t="shared" si="30"/>
        <v/>
      </c>
      <c r="AJ185" s="208"/>
      <c r="AK185" s="27" t="str">
        <f t="shared" si="31"/>
        <v/>
      </c>
      <c r="AL185" s="48" t="str">
        <f t="shared" si="32"/>
        <v/>
      </c>
      <c r="AM185" s="48" t="str">
        <f t="shared" si="33"/>
        <v/>
      </c>
      <c r="AN185" s="293"/>
      <c r="AO185" s="293"/>
      <c r="AP185" s="293"/>
      <c r="AQ185" s="293"/>
      <c r="AR185" s="293"/>
      <c r="AS185" s="293"/>
      <c r="AT185" s="293"/>
      <c r="AU185" s="294" t="str">
        <f>IFERROR(VLOOKUP(AT185,'Seguridad Información'!$I$61:$J$65,2,0),"")</f>
        <v/>
      </c>
      <c r="AV185" s="79"/>
      <c r="AW185" s="78" t="str">
        <f t="shared" si="24"/>
        <v/>
      </c>
      <c r="AX185" s="77" t="str">
        <f t="shared" si="34"/>
        <v/>
      </c>
      <c r="AY185" s="21" t="str">
        <f>IFERROR(VLOOKUP((CONCATENATE(AM185,AX185)),Listados!$U$3:$V$11,2,FALSE),"")</f>
        <v/>
      </c>
      <c r="AZ185" s="48">
        <f t="shared" si="35"/>
        <v>100</v>
      </c>
      <c r="BA185" s="355"/>
      <c r="BB185" s="357"/>
      <c r="BC185" s="173">
        <f>+IF(AND(W185="Preventivo",BB181="Fuerte"),2,IF(AND(W185="Preventivo",BB181="Moderado"),1,0))</f>
        <v>0</v>
      </c>
      <c r="BD185" s="64">
        <f>+IF(AND(W185="Detectivo/Correctivo",$BB181="Fuerte"),2,IF(AND(W185="Detectivo/Correctivo",$BB185="Moderado"),1,IF(AND(W185="Preventivo",$BB181="Fuerte"),1,0)))</f>
        <v>0</v>
      </c>
      <c r="BE185" s="173" t="e">
        <f>+N181-BC185</f>
        <v>#N/A</v>
      </c>
      <c r="BF185" s="173" t="e">
        <f>+P181-BD185</f>
        <v>#N/A</v>
      </c>
      <c r="BG185" s="346"/>
      <c r="BH185" s="346"/>
      <c r="BI185" s="346"/>
      <c r="BJ185" s="538"/>
      <c r="BK185" s="538"/>
      <c r="BL185" s="538"/>
      <c r="BM185" s="538"/>
    </row>
    <row r="186" spans="1:65" ht="65.099999999999994" customHeight="1" thickBot="1">
      <c r="A186" s="330"/>
      <c r="B186" s="514"/>
      <c r="C186" s="365"/>
      <c r="D186" s="106"/>
      <c r="E186" s="106"/>
      <c r="F186" s="434"/>
      <c r="G186" s="368"/>
      <c r="H186" s="100"/>
      <c r="I186" s="237"/>
      <c r="J186" s="100"/>
      <c r="K186" s="31"/>
      <c r="L186" s="222"/>
      <c r="M186" s="370"/>
      <c r="N186" s="350"/>
      <c r="O186" s="352"/>
      <c r="P186" s="350"/>
      <c r="Q186" s="353"/>
      <c r="R186" s="347"/>
      <c r="S186" s="208"/>
      <c r="T186" s="98"/>
      <c r="U186" s="47" t="s">
        <v>627</v>
      </c>
      <c r="V186" s="215"/>
      <c r="W186" s="215"/>
      <c r="X186" s="215"/>
      <c r="Y186" s="95" t="str">
        <f t="shared" si="25"/>
        <v/>
      </c>
      <c r="Z186" s="215"/>
      <c r="AA186" s="95" t="str">
        <f t="shared" si="26"/>
        <v/>
      </c>
      <c r="AB186" s="208"/>
      <c r="AC186" s="95" t="str">
        <f t="shared" si="27"/>
        <v/>
      </c>
      <c r="AD186" s="208"/>
      <c r="AE186" s="95" t="str">
        <f t="shared" si="28"/>
        <v/>
      </c>
      <c r="AF186" s="208"/>
      <c r="AG186" s="95" t="str">
        <f t="shared" si="29"/>
        <v/>
      </c>
      <c r="AH186" s="208"/>
      <c r="AI186" s="95" t="str">
        <f t="shared" si="30"/>
        <v/>
      </c>
      <c r="AJ186" s="208"/>
      <c r="AK186" s="27" t="str">
        <f t="shared" si="31"/>
        <v/>
      </c>
      <c r="AL186" s="48" t="str">
        <f t="shared" si="32"/>
        <v/>
      </c>
      <c r="AM186" s="48" t="str">
        <f t="shared" si="33"/>
        <v/>
      </c>
      <c r="AN186" s="293"/>
      <c r="AO186" s="293"/>
      <c r="AP186" s="293"/>
      <c r="AQ186" s="293"/>
      <c r="AR186" s="293"/>
      <c r="AS186" s="293"/>
      <c r="AT186" s="293"/>
      <c r="AU186" s="294" t="str">
        <f>IFERROR(VLOOKUP(AT186,'Seguridad Información'!$I$61:$J$65,2,0),"")</f>
        <v/>
      </c>
      <c r="AV186" s="79"/>
      <c r="AW186" s="78" t="str">
        <f t="shared" si="24"/>
        <v/>
      </c>
      <c r="AX186" s="77" t="str">
        <f t="shared" si="34"/>
        <v/>
      </c>
      <c r="AY186" s="21" t="str">
        <f>IFERROR(VLOOKUP((CONCATENATE(AM186,AX186)),Listados!$U$3:$V$11,2,FALSE),"")</f>
        <v/>
      </c>
      <c r="AZ186" s="48">
        <f t="shared" si="35"/>
        <v>100</v>
      </c>
      <c r="BA186" s="356"/>
      <c r="BB186" s="357"/>
      <c r="BC186" s="173">
        <f>+IF(AND(W186="Preventivo",BB181="Fuerte"),2,IF(AND(W186="Preventivo",BB181="Moderado"),1,0))</f>
        <v>0</v>
      </c>
      <c r="BD186" s="64">
        <f>+IF(AND(W186="Detectivo/Correctivo",$BB181="Fuerte"),2,IF(AND(W186="Detectivo/Correctivo",$BB186="Moderado"),1,IF(AND(W186="Preventivo",$BB181="Fuerte"),1,0)))</f>
        <v>0</v>
      </c>
      <c r="BE186" s="173" t="e">
        <f>+N181-BC186</f>
        <v>#N/A</v>
      </c>
      <c r="BF186" s="173" t="e">
        <f>+P181-BD186</f>
        <v>#N/A</v>
      </c>
      <c r="BG186" s="347"/>
      <c r="BH186" s="347"/>
      <c r="BI186" s="347"/>
      <c r="BJ186" s="539"/>
      <c r="BK186" s="539"/>
      <c r="BL186" s="539"/>
      <c r="BM186" s="539"/>
    </row>
    <row r="187" spans="1:65" ht="65.099999999999994" customHeight="1" thickBot="1">
      <c r="A187" s="328">
        <v>31</v>
      </c>
      <c r="B187" s="519"/>
      <c r="C187" s="371" t="str">
        <f>IFERROR(VLOOKUP(B187,Listados!B$3:C$20,2,FALSE),"")</f>
        <v/>
      </c>
      <c r="D187" s="107"/>
      <c r="E187" s="107"/>
      <c r="F187" s="432"/>
      <c r="G187" s="372"/>
      <c r="H187" s="100"/>
      <c r="I187" s="237"/>
      <c r="J187" s="100"/>
      <c r="K187" s="103"/>
      <c r="L187" s="17"/>
      <c r="M187" s="369"/>
      <c r="N187" s="348" t="e">
        <f>+VLOOKUP(M187,Listados!$K$8:$L$12,2,0)</f>
        <v>#N/A</v>
      </c>
      <c r="O187" s="351"/>
      <c r="P187" s="348" t="e">
        <f>+VLOOKUP(O187,Listados!$K$13:$L$17,2,0)</f>
        <v>#N/A</v>
      </c>
      <c r="Q187" s="347" t="str">
        <f>IF(AND(M187&lt;&gt;"",O187&lt;&gt;""),VLOOKUP(M187&amp;O187,Listados!$M$3:$N$27,2,FALSE),"")</f>
        <v/>
      </c>
      <c r="R187" s="345" t="e">
        <f>+VLOOKUP(Q187,Listados!$P$3:$Q$6,2,FALSE)</f>
        <v>#N/A</v>
      </c>
      <c r="S187" s="208"/>
      <c r="T187" s="94"/>
      <c r="U187" s="47" t="s">
        <v>627</v>
      </c>
      <c r="V187" s="215"/>
      <c r="W187" s="215"/>
      <c r="X187" s="215"/>
      <c r="Y187" s="95" t="str">
        <f t="shared" si="25"/>
        <v/>
      </c>
      <c r="Z187" s="215"/>
      <c r="AA187" s="95" t="str">
        <f t="shared" si="26"/>
        <v/>
      </c>
      <c r="AB187" s="208"/>
      <c r="AC187" s="95" t="str">
        <f t="shared" si="27"/>
        <v/>
      </c>
      <c r="AD187" s="208"/>
      <c r="AE187" s="95" t="str">
        <f t="shared" si="28"/>
        <v/>
      </c>
      <c r="AF187" s="208"/>
      <c r="AG187" s="95" t="str">
        <f t="shared" si="29"/>
        <v/>
      </c>
      <c r="AH187" s="208"/>
      <c r="AI187" s="95" t="str">
        <f t="shared" si="30"/>
        <v/>
      </c>
      <c r="AJ187" s="208"/>
      <c r="AK187" s="27" t="str">
        <f t="shared" si="31"/>
        <v/>
      </c>
      <c r="AL187" s="48" t="str">
        <f t="shared" si="32"/>
        <v/>
      </c>
      <c r="AM187" s="48" t="str">
        <f t="shared" si="33"/>
        <v/>
      </c>
      <c r="AN187" s="293"/>
      <c r="AO187" s="293"/>
      <c r="AP187" s="293"/>
      <c r="AQ187" s="293"/>
      <c r="AR187" s="293"/>
      <c r="AS187" s="293"/>
      <c r="AT187" s="293"/>
      <c r="AU187" s="294" t="str">
        <f>IFERROR(VLOOKUP(AT187,'Seguridad Información'!$I$61:$J$65,2,0),"")</f>
        <v/>
      </c>
      <c r="AV187" s="79"/>
      <c r="AW187" s="78" t="str">
        <f t="shared" si="24"/>
        <v/>
      </c>
      <c r="AX187" s="77" t="str">
        <f t="shared" si="34"/>
        <v/>
      </c>
      <c r="AY187" s="21" t="str">
        <f>IFERROR(VLOOKUP((CONCATENATE(AM187,AX187)),Listados!$U$3:$V$11,2,FALSE),"")</f>
        <v/>
      </c>
      <c r="AZ187" s="48">
        <f t="shared" si="35"/>
        <v>100</v>
      </c>
      <c r="BA187" s="354">
        <f>AVERAGE(AZ187:AZ192)</f>
        <v>100</v>
      </c>
      <c r="BB187" s="356" t="str">
        <f>IF(BA187&lt;=50, "Débil", IF(BA187&lt;=99,"Moderado","Fuerte"))</f>
        <v>Fuerte</v>
      </c>
      <c r="BC187" s="173">
        <f>+IF(AND(W187="Preventivo",BB187="Fuerte"),2,IF(AND(W187="Preventivo",BB187="Moderado"),1,0))</f>
        <v>0</v>
      </c>
      <c r="BD187" s="64">
        <f>+IF(AND(W187="Detectivo/Correctivo",$BB187="Fuerte"),2,IF(AND(W187="Detectivo/Correctivo",$BB187="Moderado"),1,IF(AND(W187="Preventivo",$BB187="Fuerte"),1,0)))</f>
        <v>0</v>
      </c>
      <c r="BE187" s="173" t="e">
        <f>+N187-BC187</f>
        <v>#N/A</v>
      </c>
      <c r="BF187" s="173" t="e">
        <f>+P187-BD187</f>
        <v>#N/A</v>
      </c>
      <c r="BG187" s="345" t="e">
        <f>+VLOOKUP(MIN(BE187,BE188,BE189,BE190,BE191,BE192),Listados!$J$18:$K$24,2,TRUE)</f>
        <v>#N/A</v>
      </c>
      <c r="BH187" s="345" t="e">
        <f>+VLOOKUP(MIN(BF187,BF188,BF189,BF190,BF191,BF192),Listados!$J$27:$K$32,2,TRUE)</f>
        <v>#N/A</v>
      </c>
      <c r="BI187" s="345" t="e">
        <f>IF(AND(BG187&lt;&gt;"",BH187&lt;&gt;""),VLOOKUP(BG187&amp;BH187,Listados!$M$3:$N$27,2,FALSE),"")</f>
        <v>#N/A</v>
      </c>
      <c r="BJ187" s="537" t="e">
        <f>+IF($R187="Asumir el riesgo","NA","")</f>
        <v>#N/A</v>
      </c>
      <c r="BK187" s="537" t="e">
        <f>+IF($R187="Asumir el riesgo","NA","")</f>
        <v>#N/A</v>
      </c>
      <c r="BL187" s="537" t="e">
        <f>+IF($R187="Asumir el riesgo","NA","")</f>
        <v>#N/A</v>
      </c>
      <c r="BM187" s="537" t="e">
        <f>+IF($R187="Asumir el riesgo","NA","")</f>
        <v>#N/A</v>
      </c>
    </row>
    <row r="188" spans="1:65" ht="65.099999999999994" customHeight="1" thickBot="1">
      <c r="A188" s="329"/>
      <c r="B188" s="514"/>
      <c r="C188" s="364"/>
      <c r="D188" s="233"/>
      <c r="E188" s="233"/>
      <c r="F188" s="433"/>
      <c r="G188" s="367"/>
      <c r="H188" s="100"/>
      <c r="I188" s="237"/>
      <c r="J188" s="100"/>
      <c r="K188" s="236"/>
      <c r="L188" s="222"/>
      <c r="M188" s="370"/>
      <c r="N188" s="349"/>
      <c r="O188" s="352"/>
      <c r="P188" s="349"/>
      <c r="Q188" s="353"/>
      <c r="R188" s="346"/>
      <c r="S188" s="208"/>
      <c r="T188" s="195"/>
      <c r="U188" s="47" t="s">
        <v>627</v>
      </c>
      <c r="V188" s="215"/>
      <c r="W188" s="215"/>
      <c r="X188" s="215"/>
      <c r="Y188" s="95" t="str">
        <f t="shared" si="25"/>
        <v/>
      </c>
      <c r="Z188" s="215"/>
      <c r="AA188" s="95" t="str">
        <f t="shared" si="26"/>
        <v/>
      </c>
      <c r="AB188" s="208"/>
      <c r="AC188" s="95" t="str">
        <f t="shared" si="27"/>
        <v/>
      </c>
      <c r="AD188" s="208"/>
      <c r="AE188" s="95" t="str">
        <f t="shared" si="28"/>
        <v/>
      </c>
      <c r="AF188" s="208"/>
      <c r="AG188" s="95" t="str">
        <f t="shared" si="29"/>
        <v/>
      </c>
      <c r="AH188" s="208"/>
      <c r="AI188" s="95" t="str">
        <f t="shared" si="30"/>
        <v/>
      </c>
      <c r="AJ188" s="208"/>
      <c r="AK188" s="27" t="str">
        <f t="shared" si="31"/>
        <v/>
      </c>
      <c r="AL188" s="48" t="str">
        <f t="shared" si="32"/>
        <v/>
      </c>
      <c r="AM188" s="48" t="str">
        <f t="shared" si="33"/>
        <v/>
      </c>
      <c r="AN188" s="293"/>
      <c r="AO188" s="293"/>
      <c r="AP188" s="293"/>
      <c r="AQ188" s="293"/>
      <c r="AR188" s="293"/>
      <c r="AS188" s="293"/>
      <c r="AT188" s="293"/>
      <c r="AU188" s="294" t="str">
        <f>IFERROR(VLOOKUP(AT188,'Seguridad Información'!$I$61:$J$65,2,0),"")</f>
        <v/>
      </c>
      <c r="AV188" s="79"/>
      <c r="AW188" s="78" t="str">
        <f t="shared" si="24"/>
        <v/>
      </c>
      <c r="AX188" s="77" t="str">
        <f t="shared" si="34"/>
        <v/>
      </c>
      <c r="AY188" s="21" t="str">
        <f>IFERROR(VLOOKUP((CONCATENATE(AM188,AX188)),Listados!$U$3:$V$11,2,FALSE),"")</f>
        <v/>
      </c>
      <c r="AZ188" s="48">
        <f t="shared" si="35"/>
        <v>100</v>
      </c>
      <c r="BA188" s="355"/>
      <c r="BB188" s="357"/>
      <c r="BC188" s="173">
        <f>+IF(AND(W188="Preventivo",BB187="Fuerte"),2,IF(AND(W188="Preventivo",BB187="Moderado"),1,0))</f>
        <v>0</v>
      </c>
      <c r="BD188" s="64">
        <f>+IF(AND(W188="Detectivo/Correctivo",$BB187="Fuerte"),2,IF(AND(W188="Detectivo/Correctivo",$BB188="Moderado"),1,IF(AND(W188="Preventivo",$BB187="Fuerte"),1,0)))</f>
        <v>0</v>
      </c>
      <c r="BE188" s="173" t="e">
        <f>+N187-BC188</f>
        <v>#N/A</v>
      </c>
      <c r="BF188" s="173" t="e">
        <f>+P187-BD188</f>
        <v>#N/A</v>
      </c>
      <c r="BG188" s="346"/>
      <c r="BH188" s="346"/>
      <c r="BI188" s="346"/>
      <c r="BJ188" s="538"/>
      <c r="BK188" s="538"/>
      <c r="BL188" s="538"/>
      <c r="BM188" s="538"/>
    </row>
    <row r="189" spans="1:65" ht="65.099999999999994" customHeight="1" thickBot="1">
      <c r="A189" s="329"/>
      <c r="B189" s="514"/>
      <c r="C189" s="364"/>
      <c r="D189" s="233"/>
      <c r="E189" s="233"/>
      <c r="F189" s="433"/>
      <c r="G189" s="367"/>
      <c r="H189" s="100"/>
      <c r="I189" s="237"/>
      <c r="J189" s="100"/>
      <c r="K189" s="236"/>
      <c r="L189" s="222"/>
      <c r="M189" s="370"/>
      <c r="N189" s="349"/>
      <c r="O189" s="352"/>
      <c r="P189" s="349"/>
      <c r="Q189" s="353"/>
      <c r="R189" s="346"/>
      <c r="S189" s="208"/>
      <c r="T189" s="96"/>
      <c r="U189" s="47" t="s">
        <v>627</v>
      </c>
      <c r="V189" s="215"/>
      <c r="W189" s="215"/>
      <c r="X189" s="215"/>
      <c r="Y189" s="95" t="str">
        <f t="shared" si="25"/>
        <v/>
      </c>
      <c r="Z189" s="215"/>
      <c r="AA189" s="95" t="str">
        <f t="shared" si="26"/>
        <v/>
      </c>
      <c r="AB189" s="208"/>
      <c r="AC189" s="95" t="str">
        <f t="shared" si="27"/>
        <v/>
      </c>
      <c r="AD189" s="208"/>
      <c r="AE189" s="95" t="str">
        <f t="shared" si="28"/>
        <v/>
      </c>
      <c r="AF189" s="208"/>
      <c r="AG189" s="95" t="str">
        <f t="shared" si="29"/>
        <v/>
      </c>
      <c r="AH189" s="208"/>
      <c r="AI189" s="95" t="str">
        <f t="shared" si="30"/>
        <v/>
      </c>
      <c r="AJ189" s="208"/>
      <c r="AK189" s="27" t="str">
        <f t="shared" si="31"/>
        <v/>
      </c>
      <c r="AL189" s="48" t="str">
        <f t="shared" si="32"/>
        <v/>
      </c>
      <c r="AM189" s="48" t="str">
        <f t="shared" si="33"/>
        <v/>
      </c>
      <c r="AN189" s="293"/>
      <c r="AO189" s="293"/>
      <c r="AP189" s="293"/>
      <c r="AQ189" s="293"/>
      <c r="AR189" s="293"/>
      <c r="AS189" s="293"/>
      <c r="AT189" s="293"/>
      <c r="AU189" s="294" t="str">
        <f>IFERROR(VLOOKUP(AT189,'Seguridad Información'!$I$61:$J$65,2,0),"")</f>
        <v/>
      </c>
      <c r="AV189" s="79"/>
      <c r="AW189" s="78" t="str">
        <f t="shared" si="24"/>
        <v/>
      </c>
      <c r="AX189" s="77" t="str">
        <f t="shared" si="34"/>
        <v/>
      </c>
      <c r="AY189" s="21" t="str">
        <f>IFERROR(VLOOKUP((CONCATENATE(AM189,AX189)),Listados!$U$3:$V$11,2,FALSE),"")</f>
        <v/>
      </c>
      <c r="AZ189" s="48">
        <f t="shared" si="35"/>
        <v>100</v>
      </c>
      <c r="BA189" s="355"/>
      <c r="BB189" s="357"/>
      <c r="BC189" s="173">
        <f>+IF(AND(W189="Preventivo",BB187="Fuerte"),2,IF(AND(W189="Preventivo",BB187="Moderado"),1,0))</f>
        <v>0</v>
      </c>
      <c r="BD189" s="64">
        <f>+IF(AND(W189="Detectivo/Correctivo",$BB187="Fuerte"),2,IF(AND(W189="Detectivo/Correctivo",$BB189="Moderado"),1,IF(AND(W189="Preventivo",$BB187="Fuerte"),1,0)))</f>
        <v>0</v>
      </c>
      <c r="BE189" s="173" t="e">
        <f>+N187-BC189</f>
        <v>#N/A</v>
      </c>
      <c r="BF189" s="173" t="e">
        <f>+P187-BD189</f>
        <v>#N/A</v>
      </c>
      <c r="BG189" s="346"/>
      <c r="BH189" s="346"/>
      <c r="BI189" s="346"/>
      <c r="BJ189" s="538"/>
      <c r="BK189" s="538"/>
      <c r="BL189" s="538"/>
      <c r="BM189" s="538"/>
    </row>
    <row r="190" spans="1:65" ht="65.099999999999994" customHeight="1" thickBot="1">
      <c r="A190" s="329"/>
      <c r="B190" s="514"/>
      <c r="C190" s="364"/>
      <c r="D190" s="233"/>
      <c r="E190" s="233"/>
      <c r="F190" s="433"/>
      <c r="G190" s="367"/>
      <c r="H190" s="100"/>
      <c r="I190" s="237"/>
      <c r="J190" s="100"/>
      <c r="K190" s="236"/>
      <c r="L190" s="222"/>
      <c r="M190" s="370"/>
      <c r="N190" s="349"/>
      <c r="O190" s="352"/>
      <c r="P190" s="349"/>
      <c r="Q190" s="353"/>
      <c r="R190" s="346"/>
      <c r="S190" s="208"/>
      <c r="T190" s="97"/>
      <c r="U190" s="47" t="s">
        <v>627</v>
      </c>
      <c r="V190" s="215"/>
      <c r="W190" s="215"/>
      <c r="X190" s="215"/>
      <c r="Y190" s="95" t="str">
        <f t="shared" si="25"/>
        <v/>
      </c>
      <c r="Z190" s="215"/>
      <c r="AA190" s="95" t="str">
        <f t="shared" si="26"/>
        <v/>
      </c>
      <c r="AB190" s="208"/>
      <c r="AC190" s="95" t="str">
        <f t="shared" si="27"/>
        <v/>
      </c>
      <c r="AD190" s="208"/>
      <c r="AE190" s="95" t="str">
        <f t="shared" si="28"/>
        <v/>
      </c>
      <c r="AF190" s="208"/>
      <c r="AG190" s="95" t="str">
        <f t="shared" si="29"/>
        <v/>
      </c>
      <c r="AH190" s="208"/>
      <c r="AI190" s="95" t="str">
        <f t="shared" si="30"/>
        <v/>
      </c>
      <c r="AJ190" s="208"/>
      <c r="AK190" s="27" t="str">
        <f t="shared" si="31"/>
        <v/>
      </c>
      <c r="AL190" s="48" t="str">
        <f t="shared" si="32"/>
        <v/>
      </c>
      <c r="AM190" s="48" t="str">
        <f t="shared" si="33"/>
        <v/>
      </c>
      <c r="AN190" s="293"/>
      <c r="AO190" s="293"/>
      <c r="AP190" s="293"/>
      <c r="AQ190" s="293"/>
      <c r="AR190" s="293"/>
      <c r="AS190" s="293"/>
      <c r="AT190" s="293"/>
      <c r="AU190" s="294" t="str">
        <f>IFERROR(VLOOKUP(AT190,'Seguridad Información'!$I$61:$J$65,2,0),"")</f>
        <v/>
      </c>
      <c r="AV190" s="79"/>
      <c r="AW190" s="78" t="str">
        <f t="shared" si="24"/>
        <v/>
      </c>
      <c r="AX190" s="77" t="str">
        <f t="shared" si="34"/>
        <v/>
      </c>
      <c r="AY190" s="21" t="str">
        <f>IFERROR(VLOOKUP((CONCATENATE(AM190,AX190)),Listados!$U$3:$V$11,2,FALSE),"")</f>
        <v/>
      </c>
      <c r="AZ190" s="48">
        <f t="shared" si="35"/>
        <v>100</v>
      </c>
      <c r="BA190" s="355"/>
      <c r="BB190" s="357"/>
      <c r="BC190" s="173">
        <f>+IF(AND(W190="Preventivo",BB187="Fuerte"),2,IF(AND(W190="Preventivo",BB187="Moderado"),1,0))</f>
        <v>0</v>
      </c>
      <c r="BD190" s="64">
        <f>+IF(AND(W190="Detectivo/Correctivo",$BB187="Fuerte"),2,IF(AND(W190="Detectivo/Correctivo",$BB190="Moderado"),1,IF(AND(W190="Preventivo",$BB187="Fuerte"),1,0)))</f>
        <v>0</v>
      </c>
      <c r="BE190" s="173" t="e">
        <f>+N187-BC190</f>
        <v>#N/A</v>
      </c>
      <c r="BF190" s="173" t="e">
        <f>+P187-BD190</f>
        <v>#N/A</v>
      </c>
      <c r="BG190" s="346"/>
      <c r="BH190" s="346"/>
      <c r="BI190" s="346"/>
      <c r="BJ190" s="538"/>
      <c r="BK190" s="538"/>
      <c r="BL190" s="538"/>
      <c r="BM190" s="538"/>
    </row>
    <row r="191" spans="1:65" ht="65.099999999999994" customHeight="1" thickBot="1">
      <c r="A191" s="329"/>
      <c r="B191" s="514"/>
      <c r="C191" s="364"/>
      <c r="D191" s="109"/>
      <c r="E191" s="109"/>
      <c r="F191" s="433"/>
      <c r="G191" s="367"/>
      <c r="H191" s="100"/>
      <c r="I191" s="237"/>
      <c r="J191" s="100"/>
      <c r="K191" s="29"/>
      <c r="L191" s="222"/>
      <c r="M191" s="370"/>
      <c r="N191" s="349"/>
      <c r="O191" s="352"/>
      <c r="P191" s="349"/>
      <c r="Q191" s="353"/>
      <c r="R191" s="346"/>
      <c r="S191" s="208"/>
      <c r="T191" s="195"/>
      <c r="U191" s="47" t="s">
        <v>627</v>
      </c>
      <c r="V191" s="215"/>
      <c r="W191" s="215"/>
      <c r="X191" s="215"/>
      <c r="Y191" s="95" t="str">
        <f t="shared" si="25"/>
        <v/>
      </c>
      <c r="Z191" s="215"/>
      <c r="AA191" s="95" t="str">
        <f t="shared" si="26"/>
        <v/>
      </c>
      <c r="AB191" s="208"/>
      <c r="AC191" s="95" t="str">
        <f t="shared" si="27"/>
        <v/>
      </c>
      <c r="AD191" s="208"/>
      <c r="AE191" s="95" t="str">
        <f t="shared" si="28"/>
        <v/>
      </c>
      <c r="AF191" s="208"/>
      <c r="AG191" s="95" t="str">
        <f t="shared" si="29"/>
        <v/>
      </c>
      <c r="AH191" s="208"/>
      <c r="AI191" s="95" t="str">
        <f t="shared" si="30"/>
        <v/>
      </c>
      <c r="AJ191" s="208"/>
      <c r="AK191" s="27" t="str">
        <f t="shared" si="31"/>
        <v/>
      </c>
      <c r="AL191" s="48" t="str">
        <f t="shared" si="32"/>
        <v/>
      </c>
      <c r="AM191" s="48" t="str">
        <f t="shared" si="33"/>
        <v/>
      </c>
      <c r="AN191" s="293"/>
      <c r="AO191" s="293"/>
      <c r="AP191" s="293"/>
      <c r="AQ191" s="293"/>
      <c r="AR191" s="293"/>
      <c r="AS191" s="293"/>
      <c r="AT191" s="293"/>
      <c r="AU191" s="294" t="str">
        <f>IFERROR(VLOOKUP(AT191,'Seguridad Información'!$I$61:$J$65,2,0),"")</f>
        <v/>
      </c>
      <c r="AV191" s="79"/>
      <c r="AW191" s="78" t="str">
        <f t="shared" si="24"/>
        <v/>
      </c>
      <c r="AX191" s="77" t="str">
        <f t="shared" si="34"/>
        <v/>
      </c>
      <c r="AY191" s="21" t="str">
        <f>IFERROR(VLOOKUP((CONCATENATE(AM191,AX191)),Listados!$U$3:$V$11,2,FALSE),"")</f>
        <v/>
      </c>
      <c r="AZ191" s="48">
        <f t="shared" si="35"/>
        <v>100</v>
      </c>
      <c r="BA191" s="355"/>
      <c r="BB191" s="357"/>
      <c r="BC191" s="173">
        <f>+IF(AND(W191="Preventivo",BB187="Fuerte"),2,IF(AND(W191="Preventivo",BB187="Moderado"),1,0))</f>
        <v>0</v>
      </c>
      <c r="BD191" s="64">
        <f>+IF(AND(W191="Detectivo/Correctivo",$BB187="Fuerte"),2,IF(AND(W191="Detectivo/Correctivo",$BB191="Moderado"),1,IF(AND(W191="Preventivo",$BB187="Fuerte"),1,0)))</f>
        <v>0</v>
      </c>
      <c r="BE191" s="173" t="e">
        <f>+N187-BC191</f>
        <v>#N/A</v>
      </c>
      <c r="BF191" s="173" t="e">
        <f>+P187-BD191</f>
        <v>#N/A</v>
      </c>
      <c r="BG191" s="346"/>
      <c r="BH191" s="346"/>
      <c r="BI191" s="346"/>
      <c r="BJ191" s="538"/>
      <c r="BK191" s="538"/>
      <c r="BL191" s="538"/>
      <c r="BM191" s="538"/>
    </row>
    <row r="192" spans="1:65" ht="65.099999999999994" customHeight="1" thickBot="1">
      <c r="A192" s="330"/>
      <c r="B192" s="514"/>
      <c r="C192" s="365"/>
      <c r="D192" s="106"/>
      <c r="E192" s="106"/>
      <c r="F192" s="434"/>
      <c r="G192" s="368"/>
      <c r="H192" s="100"/>
      <c r="I192" s="237"/>
      <c r="J192" s="100"/>
      <c r="K192" s="31"/>
      <c r="L192" s="222"/>
      <c r="M192" s="370"/>
      <c r="N192" s="350"/>
      <c r="O192" s="352"/>
      <c r="P192" s="350"/>
      <c r="Q192" s="353"/>
      <c r="R192" s="347"/>
      <c r="S192" s="208"/>
      <c r="T192" s="98"/>
      <c r="U192" s="47" t="s">
        <v>627</v>
      </c>
      <c r="V192" s="215"/>
      <c r="W192" s="215"/>
      <c r="X192" s="215"/>
      <c r="Y192" s="95" t="str">
        <f t="shared" si="25"/>
        <v/>
      </c>
      <c r="Z192" s="215"/>
      <c r="AA192" s="95" t="str">
        <f t="shared" si="26"/>
        <v/>
      </c>
      <c r="AB192" s="208"/>
      <c r="AC192" s="95" t="str">
        <f t="shared" si="27"/>
        <v/>
      </c>
      <c r="AD192" s="208"/>
      <c r="AE192" s="95" t="str">
        <f t="shared" si="28"/>
        <v/>
      </c>
      <c r="AF192" s="208"/>
      <c r="AG192" s="95" t="str">
        <f t="shared" si="29"/>
        <v/>
      </c>
      <c r="AH192" s="208"/>
      <c r="AI192" s="95" t="str">
        <f t="shared" si="30"/>
        <v/>
      </c>
      <c r="AJ192" s="208"/>
      <c r="AK192" s="27" t="str">
        <f t="shared" si="31"/>
        <v/>
      </c>
      <c r="AL192" s="48" t="str">
        <f t="shared" si="32"/>
        <v/>
      </c>
      <c r="AM192" s="48" t="str">
        <f t="shared" si="33"/>
        <v/>
      </c>
      <c r="AN192" s="293"/>
      <c r="AO192" s="293"/>
      <c r="AP192" s="293"/>
      <c r="AQ192" s="293"/>
      <c r="AR192" s="293"/>
      <c r="AS192" s="293"/>
      <c r="AT192" s="293"/>
      <c r="AU192" s="294" t="str">
        <f>IFERROR(VLOOKUP(AT192,'Seguridad Información'!$I$61:$J$65,2,0),"")</f>
        <v/>
      </c>
      <c r="AV192" s="79"/>
      <c r="AW192" s="78" t="str">
        <f t="shared" si="24"/>
        <v/>
      </c>
      <c r="AX192" s="77" t="str">
        <f t="shared" si="34"/>
        <v/>
      </c>
      <c r="AY192" s="21" t="str">
        <f>IFERROR(VLOOKUP((CONCATENATE(AM192,AX192)),Listados!$U$3:$V$11,2,FALSE),"")</f>
        <v/>
      </c>
      <c r="AZ192" s="48">
        <f t="shared" si="35"/>
        <v>100</v>
      </c>
      <c r="BA192" s="356"/>
      <c r="BB192" s="357"/>
      <c r="BC192" s="173">
        <f>+IF(AND(W192="Preventivo",BB187="Fuerte"),2,IF(AND(W192="Preventivo",BB187="Moderado"),1,0))</f>
        <v>0</v>
      </c>
      <c r="BD192" s="64">
        <f>+IF(AND(W192="Detectivo/Correctivo",$BB187="Fuerte"),2,IF(AND(W192="Detectivo/Correctivo",$BB192="Moderado"),1,IF(AND(W192="Preventivo",$BB187="Fuerte"),1,0)))</f>
        <v>0</v>
      </c>
      <c r="BE192" s="173" t="e">
        <f>+N187-BC192</f>
        <v>#N/A</v>
      </c>
      <c r="BF192" s="173" t="e">
        <f>+P187-BD192</f>
        <v>#N/A</v>
      </c>
      <c r="BG192" s="347"/>
      <c r="BH192" s="347"/>
      <c r="BI192" s="347"/>
      <c r="BJ192" s="539"/>
      <c r="BK192" s="539"/>
      <c r="BL192" s="539"/>
      <c r="BM192" s="539"/>
    </row>
    <row r="193" spans="1:65" ht="65.099999999999994" customHeight="1" thickBot="1">
      <c r="A193" s="328">
        <v>32</v>
      </c>
      <c r="B193" s="519"/>
      <c r="C193" s="371" t="str">
        <f>IFERROR(VLOOKUP(B193,Listados!B$3:C$20,2,FALSE),"")</f>
        <v/>
      </c>
      <c r="D193" s="107"/>
      <c r="E193" s="107"/>
      <c r="F193" s="432"/>
      <c r="G193" s="372"/>
      <c r="H193" s="100"/>
      <c r="I193" s="237"/>
      <c r="J193" s="100"/>
      <c r="K193" s="103"/>
      <c r="L193" s="17"/>
      <c r="M193" s="369"/>
      <c r="N193" s="348" t="e">
        <f>+VLOOKUP(M193,Listados!$K$8:$L$12,2,0)</f>
        <v>#N/A</v>
      </c>
      <c r="O193" s="351"/>
      <c r="P193" s="348" t="e">
        <f>+VLOOKUP(O193,Listados!$K$13:$L$17,2,0)</f>
        <v>#N/A</v>
      </c>
      <c r="Q193" s="347" t="str">
        <f>IF(AND(M193&lt;&gt;"",O193&lt;&gt;""),VLOOKUP(M193&amp;O193,Listados!$M$3:$N$27,2,FALSE),"")</f>
        <v/>
      </c>
      <c r="R193" s="345" t="e">
        <f>+VLOOKUP(Q193,Listados!$P$3:$Q$6,2,FALSE)</f>
        <v>#N/A</v>
      </c>
      <c r="S193" s="208"/>
      <c r="T193" s="94"/>
      <c r="U193" s="47" t="s">
        <v>627</v>
      </c>
      <c r="V193" s="215"/>
      <c r="W193" s="215"/>
      <c r="X193" s="215"/>
      <c r="Y193" s="95" t="str">
        <f t="shared" si="25"/>
        <v/>
      </c>
      <c r="Z193" s="215"/>
      <c r="AA193" s="95" t="str">
        <f t="shared" si="26"/>
        <v/>
      </c>
      <c r="AB193" s="208"/>
      <c r="AC193" s="95" t="str">
        <f t="shared" si="27"/>
        <v/>
      </c>
      <c r="AD193" s="208"/>
      <c r="AE193" s="95" t="str">
        <f t="shared" si="28"/>
        <v/>
      </c>
      <c r="AF193" s="208"/>
      <c r="AG193" s="95" t="str">
        <f t="shared" si="29"/>
        <v/>
      </c>
      <c r="AH193" s="208"/>
      <c r="AI193" s="95" t="str">
        <f t="shared" si="30"/>
        <v/>
      </c>
      <c r="AJ193" s="208"/>
      <c r="AK193" s="27" t="str">
        <f t="shared" si="31"/>
        <v/>
      </c>
      <c r="AL193" s="48" t="str">
        <f t="shared" si="32"/>
        <v/>
      </c>
      <c r="AM193" s="48" t="str">
        <f t="shared" si="33"/>
        <v/>
      </c>
      <c r="AN193" s="293"/>
      <c r="AO193" s="293"/>
      <c r="AP193" s="293"/>
      <c r="AQ193" s="293"/>
      <c r="AR193" s="293"/>
      <c r="AS193" s="293"/>
      <c r="AT193" s="293"/>
      <c r="AU193" s="294" t="str">
        <f>IFERROR(VLOOKUP(AT193,'Seguridad Información'!$I$61:$J$65,2,0),"")</f>
        <v/>
      </c>
      <c r="AV193" s="79"/>
      <c r="AW193" s="78" t="str">
        <f t="shared" si="24"/>
        <v/>
      </c>
      <c r="AX193" s="77" t="str">
        <f t="shared" si="34"/>
        <v/>
      </c>
      <c r="AY193" s="21" t="str">
        <f>IFERROR(VLOOKUP((CONCATENATE(AM193,AX193)),Listados!$U$3:$V$11,2,FALSE),"")</f>
        <v/>
      </c>
      <c r="AZ193" s="48">
        <f t="shared" si="35"/>
        <v>100</v>
      </c>
      <c r="BA193" s="354">
        <f>AVERAGE(AZ193:AZ198)</f>
        <v>100</v>
      </c>
      <c r="BB193" s="356" t="str">
        <f>IF(BA193&lt;=50, "Débil", IF(BA193&lt;=99,"Moderado","Fuerte"))</f>
        <v>Fuerte</v>
      </c>
      <c r="BC193" s="173">
        <f>+IF(AND(W193="Preventivo",BB193="Fuerte"),2,IF(AND(W193="Preventivo",BB193="Moderado"),1,0))</f>
        <v>0</v>
      </c>
      <c r="BD193" s="64">
        <f>+IF(AND(W193="Detectivo/Correctivo",$BB193="Fuerte"),2,IF(AND(W193="Detectivo/Correctivo",$BB193="Moderado"),1,IF(AND(W193="Preventivo",$BB193="Fuerte"),1,0)))</f>
        <v>0</v>
      </c>
      <c r="BE193" s="173" t="e">
        <f>+N193-BC193</f>
        <v>#N/A</v>
      </c>
      <c r="BF193" s="173" t="e">
        <f>+P193-BD193</f>
        <v>#N/A</v>
      </c>
      <c r="BG193" s="345" t="e">
        <f>+VLOOKUP(MIN(BE193,BE194,BE195,BE196,BE197,BE198),Listados!$J$18:$K$24,2,TRUE)</f>
        <v>#N/A</v>
      </c>
      <c r="BH193" s="345" t="e">
        <f>+VLOOKUP(MIN(BF193,BF194,BF195,BF196,BF197,BF198),Listados!$J$27:$K$32,2,TRUE)</f>
        <v>#N/A</v>
      </c>
      <c r="BI193" s="345" t="e">
        <f>IF(AND(BG193&lt;&gt;"",BH193&lt;&gt;""),VLOOKUP(BG193&amp;BH193,Listados!$M$3:$N$27,2,FALSE),"")</f>
        <v>#N/A</v>
      </c>
      <c r="BJ193" s="537" t="e">
        <f>+IF($R193="Asumir el riesgo","NA","")</f>
        <v>#N/A</v>
      </c>
      <c r="BK193" s="537" t="e">
        <f>+IF($R193="Asumir el riesgo","NA","")</f>
        <v>#N/A</v>
      </c>
      <c r="BL193" s="537" t="e">
        <f>+IF($R193="Asumir el riesgo","NA","")</f>
        <v>#N/A</v>
      </c>
      <c r="BM193" s="537" t="e">
        <f>+IF($R193="Asumir el riesgo","NA","")</f>
        <v>#N/A</v>
      </c>
    </row>
    <row r="194" spans="1:65" ht="65.099999999999994" customHeight="1" thickBot="1">
      <c r="A194" s="329"/>
      <c r="B194" s="514"/>
      <c r="C194" s="364"/>
      <c r="D194" s="233"/>
      <c r="E194" s="233"/>
      <c r="F194" s="433"/>
      <c r="G194" s="367"/>
      <c r="H194" s="100"/>
      <c r="I194" s="237"/>
      <c r="J194" s="100"/>
      <c r="K194" s="236"/>
      <c r="L194" s="222"/>
      <c r="M194" s="370"/>
      <c r="N194" s="349"/>
      <c r="O194" s="352"/>
      <c r="P194" s="349"/>
      <c r="Q194" s="353"/>
      <c r="R194" s="346"/>
      <c r="S194" s="208"/>
      <c r="T194" s="195"/>
      <c r="U194" s="47" t="s">
        <v>627</v>
      </c>
      <c r="V194" s="215"/>
      <c r="W194" s="215"/>
      <c r="X194" s="215"/>
      <c r="Y194" s="95" t="str">
        <f t="shared" si="25"/>
        <v/>
      </c>
      <c r="Z194" s="215"/>
      <c r="AA194" s="95" t="str">
        <f t="shared" si="26"/>
        <v/>
      </c>
      <c r="AB194" s="208"/>
      <c r="AC194" s="95" t="str">
        <f t="shared" si="27"/>
        <v/>
      </c>
      <c r="AD194" s="208"/>
      <c r="AE194" s="95" t="str">
        <f t="shared" si="28"/>
        <v/>
      </c>
      <c r="AF194" s="208"/>
      <c r="AG194" s="95" t="str">
        <f t="shared" si="29"/>
        <v/>
      </c>
      <c r="AH194" s="208"/>
      <c r="AI194" s="95" t="str">
        <f t="shared" si="30"/>
        <v/>
      </c>
      <c r="AJ194" s="208"/>
      <c r="AK194" s="27" t="str">
        <f t="shared" si="31"/>
        <v/>
      </c>
      <c r="AL194" s="48" t="str">
        <f t="shared" si="32"/>
        <v/>
      </c>
      <c r="AM194" s="48" t="str">
        <f t="shared" si="33"/>
        <v/>
      </c>
      <c r="AN194" s="293"/>
      <c r="AO194" s="293"/>
      <c r="AP194" s="293"/>
      <c r="AQ194" s="293"/>
      <c r="AR194" s="293"/>
      <c r="AS194" s="293"/>
      <c r="AT194" s="293"/>
      <c r="AU194" s="294" t="str">
        <f>IFERROR(VLOOKUP(AT194,'Seguridad Información'!$I$61:$J$65,2,0),"")</f>
        <v/>
      </c>
      <c r="AV194" s="79"/>
      <c r="AW194" s="78" t="str">
        <f t="shared" si="24"/>
        <v/>
      </c>
      <c r="AX194" s="77" t="str">
        <f t="shared" si="34"/>
        <v/>
      </c>
      <c r="AY194" s="21" t="str">
        <f>IFERROR(VLOOKUP((CONCATENATE(AM194,AX194)),Listados!$U$3:$V$11,2,FALSE),"")</f>
        <v/>
      </c>
      <c r="AZ194" s="48">
        <f t="shared" si="35"/>
        <v>100</v>
      </c>
      <c r="BA194" s="355"/>
      <c r="BB194" s="357"/>
      <c r="BC194" s="173">
        <f>+IF(AND(W194="Preventivo",BB193="Fuerte"),2,IF(AND(W194="Preventivo",BB193="Moderado"),1,0))</f>
        <v>0</v>
      </c>
      <c r="BD194" s="64">
        <f>+IF(AND(W194="Detectivo/Correctivo",$BB193="Fuerte"),2,IF(AND(W194="Detectivo/Correctivo",$BB194="Moderado"),1,IF(AND(W194="Preventivo",$BB193="Fuerte"),1,0)))</f>
        <v>0</v>
      </c>
      <c r="BE194" s="173" t="e">
        <f>+N193-BC194</f>
        <v>#N/A</v>
      </c>
      <c r="BF194" s="173" t="e">
        <f>+P193-BD194</f>
        <v>#N/A</v>
      </c>
      <c r="BG194" s="346"/>
      <c r="BH194" s="346"/>
      <c r="BI194" s="346"/>
      <c r="BJ194" s="538"/>
      <c r="BK194" s="538"/>
      <c r="BL194" s="538"/>
      <c r="BM194" s="538"/>
    </row>
    <row r="195" spans="1:65" ht="65.099999999999994" customHeight="1" thickBot="1">
      <c r="A195" s="329"/>
      <c r="B195" s="514"/>
      <c r="C195" s="364"/>
      <c r="D195" s="233"/>
      <c r="E195" s="233"/>
      <c r="F195" s="433"/>
      <c r="G195" s="367"/>
      <c r="H195" s="100"/>
      <c r="I195" s="237"/>
      <c r="J195" s="100"/>
      <c r="K195" s="236"/>
      <c r="L195" s="222"/>
      <c r="M195" s="370"/>
      <c r="N195" s="349"/>
      <c r="O195" s="352"/>
      <c r="P195" s="349"/>
      <c r="Q195" s="353"/>
      <c r="R195" s="346"/>
      <c r="S195" s="208"/>
      <c r="T195" s="96"/>
      <c r="U195" s="47" t="s">
        <v>627</v>
      </c>
      <c r="V195" s="215"/>
      <c r="W195" s="215"/>
      <c r="X195" s="215"/>
      <c r="Y195" s="95" t="str">
        <f t="shared" si="25"/>
        <v/>
      </c>
      <c r="Z195" s="215"/>
      <c r="AA195" s="95" t="str">
        <f t="shared" si="26"/>
        <v/>
      </c>
      <c r="AB195" s="208"/>
      <c r="AC195" s="95" t="str">
        <f t="shared" si="27"/>
        <v/>
      </c>
      <c r="AD195" s="208"/>
      <c r="AE195" s="95" t="str">
        <f t="shared" si="28"/>
        <v/>
      </c>
      <c r="AF195" s="208"/>
      <c r="AG195" s="95" t="str">
        <f t="shared" si="29"/>
        <v/>
      </c>
      <c r="AH195" s="208"/>
      <c r="AI195" s="95" t="str">
        <f t="shared" si="30"/>
        <v/>
      </c>
      <c r="AJ195" s="208"/>
      <c r="AK195" s="27" t="str">
        <f t="shared" si="31"/>
        <v/>
      </c>
      <c r="AL195" s="48" t="str">
        <f t="shared" si="32"/>
        <v/>
      </c>
      <c r="AM195" s="48" t="str">
        <f t="shared" si="33"/>
        <v/>
      </c>
      <c r="AN195" s="293"/>
      <c r="AO195" s="293"/>
      <c r="AP195" s="293"/>
      <c r="AQ195" s="293"/>
      <c r="AR195" s="293"/>
      <c r="AS195" s="293"/>
      <c r="AT195" s="293"/>
      <c r="AU195" s="294" t="str">
        <f>IFERROR(VLOOKUP(AT195,'Seguridad Información'!$I$61:$J$65,2,0),"")</f>
        <v/>
      </c>
      <c r="AV195" s="79"/>
      <c r="AW195" s="78" t="str">
        <f t="shared" si="24"/>
        <v/>
      </c>
      <c r="AX195" s="77" t="str">
        <f t="shared" si="34"/>
        <v/>
      </c>
      <c r="AY195" s="21" t="str">
        <f>IFERROR(VLOOKUP((CONCATENATE(AM195,AX195)),Listados!$U$3:$V$11,2,FALSE),"")</f>
        <v/>
      </c>
      <c r="AZ195" s="48">
        <f t="shared" si="35"/>
        <v>100</v>
      </c>
      <c r="BA195" s="355"/>
      <c r="BB195" s="357"/>
      <c r="BC195" s="173">
        <f>+IF(AND(W195="Preventivo",BB193="Fuerte"),2,IF(AND(W195="Preventivo",BB193="Moderado"),1,0))</f>
        <v>0</v>
      </c>
      <c r="BD195" s="64">
        <f>+IF(AND(W195="Detectivo/Correctivo",$BB193="Fuerte"),2,IF(AND(W195="Detectivo/Correctivo",$BB195="Moderado"),1,IF(AND(W195="Preventivo",$BB193="Fuerte"),1,0)))</f>
        <v>0</v>
      </c>
      <c r="BE195" s="173" t="e">
        <f>+N193-BC195</f>
        <v>#N/A</v>
      </c>
      <c r="BF195" s="173" t="e">
        <f>+P193-BD195</f>
        <v>#N/A</v>
      </c>
      <c r="BG195" s="346"/>
      <c r="BH195" s="346"/>
      <c r="BI195" s="346"/>
      <c r="BJ195" s="538"/>
      <c r="BK195" s="538"/>
      <c r="BL195" s="538"/>
      <c r="BM195" s="538"/>
    </row>
    <row r="196" spans="1:65" ht="65.099999999999994" customHeight="1" thickBot="1">
      <c r="A196" s="329"/>
      <c r="B196" s="514"/>
      <c r="C196" s="364"/>
      <c r="D196" s="233"/>
      <c r="E196" s="233"/>
      <c r="F196" s="433"/>
      <c r="G196" s="367"/>
      <c r="H196" s="100"/>
      <c r="I196" s="237"/>
      <c r="J196" s="100"/>
      <c r="K196" s="236"/>
      <c r="L196" s="222"/>
      <c r="M196" s="370"/>
      <c r="N196" s="349"/>
      <c r="O196" s="352"/>
      <c r="P196" s="349"/>
      <c r="Q196" s="353"/>
      <c r="R196" s="346"/>
      <c r="S196" s="208"/>
      <c r="T196" s="97"/>
      <c r="U196" s="47" t="s">
        <v>627</v>
      </c>
      <c r="V196" s="215"/>
      <c r="W196" s="215"/>
      <c r="X196" s="215"/>
      <c r="Y196" s="95" t="str">
        <f t="shared" si="25"/>
        <v/>
      </c>
      <c r="Z196" s="215"/>
      <c r="AA196" s="95" t="str">
        <f t="shared" si="26"/>
        <v/>
      </c>
      <c r="AB196" s="208"/>
      <c r="AC196" s="95" t="str">
        <f t="shared" si="27"/>
        <v/>
      </c>
      <c r="AD196" s="208"/>
      <c r="AE196" s="95" t="str">
        <f t="shared" si="28"/>
        <v/>
      </c>
      <c r="AF196" s="208"/>
      <c r="AG196" s="95" t="str">
        <f t="shared" si="29"/>
        <v/>
      </c>
      <c r="AH196" s="208"/>
      <c r="AI196" s="95" t="str">
        <f t="shared" si="30"/>
        <v/>
      </c>
      <c r="AJ196" s="208"/>
      <c r="AK196" s="27" t="str">
        <f t="shared" si="31"/>
        <v/>
      </c>
      <c r="AL196" s="48" t="str">
        <f t="shared" si="32"/>
        <v/>
      </c>
      <c r="AM196" s="48" t="str">
        <f t="shared" si="33"/>
        <v/>
      </c>
      <c r="AN196" s="293"/>
      <c r="AO196" s="293"/>
      <c r="AP196" s="293"/>
      <c r="AQ196" s="293"/>
      <c r="AR196" s="293"/>
      <c r="AS196" s="293"/>
      <c r="AT196" s="293"/>
      <c r="AU196" s="294" t="str">
        <f>IFERROR(VLOOKUP(AT196,'Seguridad Información'!$I$61:$J$65,2,0),"")</f>
        <v/>
      </c>
      <c r="AV196" s="79"/>
      <c r="AW196" s="78" t="str">
        <f t="shared" si="24"/>
        <v/>
      </c>
      <c r="AX196" s="77" t="str">
        <f t="shared" si="34"/>
        <v/>
      </c>
      <c r="AY196" s="21" t="str">
        <f>IFERROR(VLOOKUP((CONCATENATE(AM196,AX196)),Listados!$U$3:$V$11,2,FALSE),"")</f>
        <v/>
      </c>
      <c r="AZ196" s="48">
        <f t="shared" si="35"/>
        <v>100</v>
      </c>
      <c r="BA196" s="355"/>
      <c r="BB196" s="357"/>
      <c r="BC196" s="173">
        <f>+IF(AND(W196="Preventivo",BB193="Fuerte"),2,IF(AND(W196="Preventivo",BB193="Moderado"),1,0))</f>
        <v>0</v>
      </c>
      <c r="BD196" s="64">
        <f>+IF(AND(W196="Detectivo/Correctivo",$BB193="Fuerte"),2,IF(AND(W196="Detectivo/Correctivo",$BB196="Moderado"),1,IF(AND(W196="Preventivo",$BB193="Fuerte"),1,0)))</f>
        <v>0</v>
      </c>
      <c r="BE196" s="173" t="e">
        <f>+N193-BC196</f>
        <v>#N/A</v>
      </c>
      <c r="BF196" s="173" t="e">
        <f>+P193-BD196</f>
        <v>#N/A</v>
      </c>
      <c r="BG196" s="346"/>
      <c r="BH196" s="346"/>
      <c r="BI196" s="346"/>
      <c r="BJ196" s="538"/>
      <c r="BK196" s="538"/>
      <c r="BL196" s="538"/>
      <c r="BM196" s="538"/>
    </row>
    <row r="197" spans="1:65" ht="65.099999999999994" customHeight="1" thickBot="1">
      <c r="A197" s="329"/>
      <c r="B197" s="514"/>
      <c r="C197" s="364"/>
      <c r="D197" s="109"/>
      <c r="E197" s="109"/>
      <c r="F197" s="433"/>
      <c r="G197" s="367"/>
      <c r="H197" s="100"/>
      <c r="I197" s="237"/>
      <c r="J197" s="100"/>
      <c r="K197" s="29"/>
      <c r="L197" s="222"/>
      <c r="M197" s="370"/>
      <c r="N197" s="349"/>
      <c r="O197" s="352"/>
      <c r="P197" s="349"/>
      <c r="Q197" s="353"/>
      <c r="R197" s="346"/>
      <c r="S197" s="208"/>
      <c r="T197" s="195"/>
      <c r="U197" s="47" t="s">
        <v>627</v>
      </c>
      <c r="V197" s="215"/>
      <c r="W197" s="215"/>
      <c r="X197" s="215"/>
      <c r="Y197" s="95" t="str">
        <f t="shared" si="25"/>
        <v/>
      </c>
      <c r="Z197" s="215"/>
      <c r="AA197" s="95" t="str">
        <f t="shared" si="26"/>
        <v/>
      </c>
      <c r="AB197" s="208"/>
      <c r="AC197" s="95" t="str">
        <f t="shared" si="27"/>
        <v/>
      </c>
      <c r="AD197" s="208"/>
      <c r="AE197" s="95" t="str">
        <f t="shared" si="28"/>
        <v/>
      </c>
      <c r="AF197" s="208"/>
      <c r="AG197" s="95" t="str">
        <f t="shared" si="29"/>
        <v/>
      </c>
      <c r="AH197" s="208"/>
      <c r="AI197" s="95" t="str">
        <f t="shared" si="30"/>
        <v/>
      </c>
      <c r="AJ197" s="208"/>
      <c r="AK197" s="27" t="str">
        <f t="shared" si="31"/>
        <v/>
      </c>
      <c r="AL197" s="48" t="str">
        <f t="shared" si="32"/>
        <v/>
      </c>
      <c r="AM197" s="48" t="str">
        <f t="shared" si="33"/>
        <v/>
      </c>
      <c r="AN197" s="293"/>
      <c r="AO197" s="293"/>
      <c r="AP197" s="293"/>
      <c r="AQ197" s="293"/>
      <c r="AR197" s="293"/>
      <c r="AS197" s="293"/>
      <c r="AT197" s="293"/>
      <c r="AU197" s="294" t="str">
        <f>IFERROR(VLOOKUP(AT197,'Seguridad Información'!$I$61:$J$65,2,0),"")</f>
        <v/>
      </c>
      <c r="AV197" s="79"/>
      <c r="AW197" s="78" t="str">
        <f t="shared" si="24"/>
        <v/>
      </c>
      <c r="AX197" s="77" t="str">
        <f t="shared" si="34"/>
        <v/>
      </c>
      <c r="AY197" s="21" t="str">
        <f>IFERROR(VLOOKUP((CONCATENATE(AM197,AX197)),Listados!$U$3:$V$11,2,FALSE),"")</f>
        <v/>
      </c>
      <c r="AZ197" s="48">
        <f t="shared" si="35"/>
        <v>100</v>
      </c>
      <c r="BA197" s="355"/>
      <c r="BB197" s="357"/>
      <c r="BC197" s="173">
        <f>+IF(AND(W197="Preventivo",BB193="Fuerte"),2,IF(AND(W197="Preventivo",BB193="Moderado"),1,0))</f>
        <v>0</v>
      </c>
      <c r="BD197" s="64">
        <f>+IF(AND(W197="Detectivo/Correctivo",$BB193="Fuerte"),2,IF(AND(W197="Detectivo/Correctivo",$BB197="Moderado"),1,IF(AND(W197="Preventivo",$BB193="Fuerte"),1,0)))</f>
        <v>0</v>
      </c>
      <c r="BE197" s="173" t="e">
        <f>+N193-BC197</f>
        <v>#N/A</v>
      </c>
      <c r="BF197" s="173" t="e">
        <f>+P193-BD197</f>
        <v>#N/A</v>
      </c>
      <c r="BG197" s="346"/>
      <c r="BH197" s="346"/>
      <c r="BI197" s="346"/>
      <c r="BJ197" s="538"/>
      <c r="BK197" s="538"/>
      <c r="BL197" s="538"/>
      <c r="BM197" s="538"/>
    </row>
    <row r="198" spans="1:65" ht="65.099999999999994" customHeight="1" thickBot="1">
      <c r="A198" s="330"/>
      <c r="B198" s="514"/>
      <c r="C198" s="365"/>
      <c r="D198" s="106"/>
      <c r="E198" s="106"/>
      <c r="F198" s="434"/>
      <c r="G198" s="368"/>
      <c r="H198" s="100"/>
      <c r="I198" s="237"/>
      <c r="J198" s="100"/>
      <c r="K198" s="31"/>
      <c r="L198" s="222"/>
      <c r="M198" s="370"/>
      <c r="N198" s="350"/>
      <c r="O198" s="352"/>
      <c r="P198" s="350"/>
      <c r="Q198" s="353"/>
      <c r="R198" s="347"/>
      <c r="S198" s="208"/>
      <c r="T198" s="98"/>
      <c r="U198" s="47" t="s">
        <v>627</v>
      </c>
      <c r="V198" s="215"/>
      <c r="W198" s="215"/>
      <c r="X198" s="215"/>
      <c r="Y198" s="95" t="str">
        <f t="shared" si="25"/>
        <v/>
      </c>
      <c r="Z198" s="215"/>
      <c r="AA198" s="95" t="str">
        <f t="shared" si="26"/>
        <v/>
      </c>
      <c r="AB198" s="208"/>
      <c r="AC198" s="95" t="str">
        <f t="shared" si="27"/>
        <v/>
      </c>
      <c r="AD198" s="208"/>
      <c r="AE198" s="95" t="str">
        <f t="shared" si="28"/>
        <v/>
      </c>
      <c r="AF198" s="208"/>
      <c r="AG198" s="95" t="str">
        <f t="shared" si="29"/>
        <v/>
      </c>
      <c r="AH198" s="208"/>
      <c r="AI198" s="95" t="str">
        <f t="shared" si="30"/>
        <v/>
      </c>
      <c r="AJ198" s="208"/>
      <c r="AK198" s="27" t="str">
        <f t="shared" si="31"/>
        <v/>
      </c>
      <c r="AL198" s="48" t="str">
        <f t="shared" si="32"/>
        <v/>
      </c>
      <c r="AM198" s="48" t="str">
        <f t="shared" si="33"/>
        <v/>
      </c>
      <c r="AN198" s="293"/>
      <c r="AO198" s="293"/>
      <c r="AP198" s="293"/>
      <c r="AQ198" s="293"/>
      <c r="AR198" s="293"/>
      <c r="AS198" s="293"/>
      <c r="AT198" s="293"/>
      <c r="AU198" s="294" t="str">
        <f>IFERROR(VLOOKUP(AT198,'Seguridad Información'!$I$61:$J$65,2,0),"")</f>
        <v/>
      </c>
      <c r="AV198" s="79"/>
      <c r="AW198" s="78" t="str">
        <f t="shared" si="24"/>
        <v/>
      </c>
      <c r="AX198" s="77" t="str">
        <f t="shared" si="34"/>
        <v/>
      </c>
      <c r="AY198" s="21" t="str">
        <f>IFERROR(VLOOKUP((CONCATENATE(AM198,AX198)),Listados!$U$3:$V$11,2,FALSE),"")</f>
        <v/>
      </c>
      <c r="AZ198" s="48">
        <f t="shared" si="35"/>
        <v>100</v>
      </c>
      <c r="BA198" s="356"/>
      <c r="BB198" s="357"/>
      <c r="BC198" s="173">
        <f>+IF(AND(W198="Preventivo",BB193="Fuerte"),2,IF(AND(W198="Preventivo",BB193="Moderado"),1,0))</f>
        <v>0</v>
      </c>
      <c r="BD198" s="64">
        <f>+IF(AND(W198="Detectivo/Correctivo",$BB193="Fuerte"),2,IF(AND(W198="Detectivo/Correctivo",$BB198="Moderado"),1,IF(AND(W198="Preventivo",$BB193="Fuerte"),1,0)))</f>
        <v>0</v>
      </c>
      <c r="BE198" s="173" t="e">
        <f>+N193-BC198</f>
        <v>#N/A</v>
      </c>
      <c r="BF198" s="173" t="e">
        <f>+P193-BD198</f>
        <v>#N/A</v>
      </c>
      <c r="BG198" s="347"/>
      <c r="BH198" s="347"/>
      <c r="BI198" s="347"/>
      <c r="BJ198" s="539"/>
      <c r="BK198" s="539"/>
      <c r="BL198" s="539"/>
      <c r="BM198" s="539"/>
    </row>
    <row r="199" spans="1:65" ht="65.099999999999994" customHeight="1" thickBot="1">
      <c r="A199" s="328">
        <v>33</v>
      </c>
      <c r="B199" s="519"/>
      <c r="C199" s="371" t="str">
        <f>IFERROR(VLOOKUP(B199,Listados!B$3:C$20,2,FALSE),"")</f>
        <v/>
      </c>
      <c r="D199" s="107"/>
      <c r="E199" s="107"/>
      <c r="F199" s="432"/>
      <c r="G199" s="372"/>
      <c r="H199" s="100"/>
      <c r="I199" s="237"/>
      <c r="J199" s="100"/>
      <c r="K199" s="103"/>
      <c r="L199" s="17"/>
      <c r="M199" s="369"/>
      <c r="N199" s="348" t="e">
        <f>+VLOOKUP(M199,Listados!$K$8:$L$12,2,0)</f>
        <v>#N/A</v>
      </c>
      <c r="O199" s="351"/>
      <c r="P199" s="348" t="e">
        <f>+VLOOKUP(O199,Listados!$K$13:$L$17,2,0)</f>
        <v>#N/A</v>
      </c>
      <c r="Q199" s="347" t="str">
        <f>IF(AND(M199&lt;&gt;"",O199&lt;&gt;""),VLOOKUP(M199&amp;O199,Listados!$M$3:$N$27,2,FALSE),"")</f>
        <v/>
      </c>
      <c r="R199" s="345" t="e">
        <f>+VLOOKUP(Q199,Listados!$P$3:$Q$6,2,FALSE)</f>
        <v>#N/A</v>
      </c>
      <c r="S199" s="208"/>
      <c r="T199" s="94"/>
      <c r="U199" s="47" t="s">
        <v>627</v>
      </c>
      <c r="V199" s="215"/>
      <c r="W199" s="215"/>
      <c r="X199" s="215"/>
      <c r="Y199" s="95" t="str">
        <f t="shared" si="25"/>
        <v/>
      </c>
      <c r="Z199" s="215"/>
      <c r="AA199" s="95" t="str">
        <f t="shared" si="26"/>
        <v/>
      </c>
      <c r="AB199" s="208"/>
      <c r="AC199" s="95" t="str">
        <f t="shared" si="27"/>
        <v/>
      </c>
      <c r="AD199" s="208"/>
      <c r="AE199" s="95" t="str">
        <f t="shared" si="28"/>
        <v/>
      </c>
      <c r="AF199" s="208"/>
      <c r="AG199" s="95" t="str">
        <f t="shared" si="29"/>
        <v/>
      </c>
      <c r="AH199" s="208"/>
      <c r="AI199" s="95" t="str">
        <f t="shared" si="30"/>
        <v/>
      </c>
      <c r="AJ199" s="208"/>
      <c r="AK199" s="27" t="str">
        <f t="shared" si="31"/>
        <v/>
      </c>
      <c r="AL199" s="48" t="str">
        <f t="shared" si="32"/>
        <v/>
      </c>
      <c r="AM199" s="48" t="str">
        <f t="shared" si="33"/>
        <v/>
      </c>
      <c r="AN199" s="293"/>
      <c r="AO199" s="293"/>
      <c r="AP199" s="293"/>
      <c r="AQ199" s="293"/>
      <c r="AR199" s="293"/>
      <c r="AS199" s="293"/>
      <c r="AT199" s="293"/>
      <c r="AU199" s="294" t="str">
        <f>IFERROR(VLOOKUP(AT199,'Seguridad Información'!$I$61:$J$65,2,0),"")</f>
        <v/>
      </c>
      <c r="AV199" s="79"/>
      <c r="AW199" s="78" t="str">
        <f t="shared" ref="AW199:AW262" si="36">IFERROR(AVERAGE(AO199,AQ199,AS199,AU199),"")</f>
        <v/>
      </c>
      <c r="AX199" s="77" t="str">
        <f t="shared" si="34"/>
        <v/>
      </c>
      <c r="AY199" s="21" t="str">
        <f>IFERROR(VLOOKUP((CONCATENATE(AM199,AX199)),Listados!$U$3:$V$11,2,FALSE),"")</f>
        <v/>
      </c>
      <c r="AZ199" s="48">
        <f t="shared" si="35"/>
        <v>100</v>
      </c>
      <c r="BA199" s="354">
        <f>AVERAGE(AZ199:AZ204)</f>
        <v>100</v>
      </c>
      <c r="BB199" s="356" t="str">
        <f>IF(BA199&lt;=50, "Débil", IF(BA199&lt;=99,"Moderado","Fuerte"))</f>
        <v>Fuerte</v>
      </c>
      <c r="BC199" s="173">
        <f>+IF(AND(W199="Preventivo",BB199="Fuerte"),2,IF(AND(W199="Preventivo",BB199="Moderado"),1,0))</f>
        <v>0</v>
      </c>
      <c r="BD199" s="64">
        <f>+IF(AND(W199="Detectivo/Correctivo",$BB199="Fuerte"),2,IF(AND(W199="Detectivo/Correctivo",$BB199="Moderado"),1,IF(AND(W199="Preventivo",$BB199="Fuerte"),1,0)))</f>
        <v>0</v>
      </c>
      <c r="BE199" s="173" t="e">
        <f>+N199-BC199</f>
        <v>#N/A</v>
      </c>
      <c r="BF199" s="173" t="e">
        <f>+P199-BD199</f>
        <v>#N/A</v>
      </c>
      <c r="BG199" s="345" t="e">
        <f>+VLOOKUP(MIN(BE199,BE200,BE201,BE202,BE203,BE204),Listados!$J$18:$K$24,2,TRUE)</f>
        <v>#N/A</v>
      </c>
      <c r="BH199" s="345" t="e">
        <f>+VLOOKUP(MIN(BF199,BF200,BF201,BF202,BF203,BF204),Listados!$J$27:$K$32,2,TRUE)</f>
        <v>#N/A</v>
      </c>
      <c r="BI199" s="345" t="e">
        <f>IF(AND(BG199&lt;&gt;"",BH199&lt;&gt;""),VLOOKUP(BG199&amp;BH199,Listados!$M$3:$N$27,2,FALSE),"")</f>
        <v>#N/A</v>
      </c>
      <c r="BJ199" s="537" t="e">
        <f>+IF($R199="Asumir el riesgo","NA","")</f>
        <v>#N/A</v>
      </c>
      <c r="BK199" s="537" t="e">
        <f>+IF($R199="Asumir el riesgo","NA","")</f>
        <v>#N/A</v>
      </c>
      <c r="BL199" s="537" t="e">
        <f>+IF($R199="Asumir el riesgo","NA","")</f>
        <v>#N/A</v>
      </c>
      <c r="BM199" s="537" t="e">
        <f>+IF($R199="Asumir el riesgo","NA","")</f>
        <v>#N/A</v>
      </c>
    </row>
    <row r="200" spans="1:65" ht="65.099999999999994" customHeight="1" thickBot="1">
      <c r="A200" s="329"/>
      <c r="B200" s="514"/>
      <c r="C200" s="364"/>
      <c r="D200" s="233"/>
      <c r="E200" s="233"/>
      <c r="F200" s="433"/>
      <c r="G200" s="367"/>
      <c r="H200" s="100"/>
      <c r="I200" s="237"/>
      <c r="J200" s="100"/>
      <c r="K200" s="236"/>
      <c r="L200" s="222"/>
      <c r="M200" s="370"/>
      <c r="N200" s="349"/>
      <c r="O200" s="352"/>
      <c r="P200" s="349"/>
      <c r="Q200" s="353"/>
      <c r="R200" s="346"/>
      <c r="S200" s="208"/>
      <c r="T200" s="195"/>
      <c r="U200" s="47" t="s">
        <v>627</v>
      </c>
      <c r="V200" s="215"/>
      <c r="W200" s="215"/>
      <c r="X200" s="215"/>
      <c r="Y200" s="95" t="str">
        <f t="shared" ref="Y200:Y263" si="37">+IF(X200="si",15,"")</f>
        <v/>
      </c>
      <c r="Z200" s="215"/>
      <c r="AA200" s="95" t="str">
        <f t="shared" ref="AA200:AA263" si="38">+IF(Z200="si",15,"")</f>
        <v/>
      </c>
      <c r="AB200" s="208"/>
      <c r="AC200" s="95" t="str">
        <f t="shared" ref="AC200:AC263" si="39">+IF(AB200="si",15,"")</f>
        <v/>
      </c>
      <c r="AD200" s="208"/>
      <c r="AE200" s="95" t="str">
        <f t="shared" ref="AE200:AE263" si="40">+IF(AD200="si",15,"")</f>
        <v/>
      </c>
      <c r="AF200" s="208"/>
      <c r="AG200" s="95" t="str">
        <f t="shared" ref="AG200:AG263" si="41">+IF(AF200="si",15,"")</f>
        <v/>
      </c>
      <c r="AH200" s="208"/>
      <c r="AI200" s="95" t="str">
        <f t="shared" ref="AI200:AI263" si="42">+IF(AH200="si",15,"")</f>
        <v/>
      </c>
      <c r="AJ200" s="208"/>
      <c r="AK200" s="27" t="str">
        <f t="shared" ref="AK200:AK263" si="43">+IF(AJ200="Completa",10,IF(AJ200="Incompleta",5,""))</f>
        <v/>
      </c>
      <c r="AL200" s="48" t="str">
        <f t="shared" ref="AL200:AL263" si="44">IF((SUM(Y200,AA200,AC200,AE200,AG200,AI200,AK200)=0),"",(SUM(Y200,AA200,AC200,AE200,AG200,AI200,AK200)))</f>
        <v/>
      </c>
      <c r="AM200" s="48" t="str">
        <f t="shared" ref="AM200:AM263" si="45">IF(AL200&lt;=85,"Débil",IF(AL200&lt;=95,"Moderado",IF(AL200=100,"Fuerte","")))</f>
        <v/>
      </c>
      <c r="AN200" s="293"/>
      <c r="AO200" s="293"/>
      <c r="AP200" s="293"/>
      <c r="AQ200" s="293"/>
      <c r="AR200" s="293"/>
      <c r="AS200" s="293"/>
      <c r="AT200" s="293"/>
      <c r="AU200" s="294" t="str">
        <f>IFERROR(VLOOKUP(AT200,'Seguridad Información'!$I$61:$J$65,2,0),"")</f>
        <v/>
      </c>
      <c r="AV200" s="79"/>
      <c r="AW200" s="78" t="str">
        <f t="shared" si="36"/>
        <v/>
      </c>
      <c r="AX200" s="77" t="str">
        <f t="shared" ref="AX200:AX263" si="46">IF(AW200&lt;=80,"Débil",IF(AW200&lt;=90,"Moderado",IF(AW200=100,"Fuerte","")))</f>
        <v/>
      </c>
      <c r="AY200" s="21" t="str">
        <f>IFERROR(VLOOKUP((CONCATENATE(AM200,AX200)),Listados!$U$3:$V$11,2,FALSE),"")</f>
        <v/>
      </c>
      <c r="AZ200" s="48">
        <f t="shared" si="35"/>
        <v>100</v>
      </c>
      <c r="BA200" s="355"/>
      <c r="BB200" s="357"/>
      <c r="BC200" s="173">
        <f>+IF(AND(W200="Preventivo",BB199="Fuerte"),2,IF(AND(W200="Preventivo",BB199="Moderado"),1,0))</f>
        <v>0</v>
      </c>
      <c r="BD200" s="64">
        <f>+IF(AND(W200="Detectivo/Correctivo",$BB199="Fuerte"),2,IF(AND(W200="Detectivo/Correctivo",$BB200="Moderado"),1,IF(AND(W200="Preventivo",$BB199="Fuerte"),1,0)))</f>
        <v>0</v>
      </c>
      <c r="BE200" s="173" t="e">
        <f>+N199-BC200</f>
        <v>#N/A</v>
      </c>
      <c r="BF200" s="173" t="e">
        <f>+P199-BD200</f>
        <v>#N/A</v>
      </c>
      <c r="BG200" s="346"/>
      <c r="BH200" s="346"/>
      <c r="BI200" s="346"/>
      <c r="BJ200" s="538"/>
      <c r="BK200" s="538"/>
      <c r="BL200" s="538"/>
      <c r="BM200" s="538"/>
    </row>
    <row r="201" spans="1:65" ht="65.099999999999994" customHeight="1" thickBot="1">
      <c r="A201" s="329"/>
      <c r="B201" s="514"/>
      <c r="C201" s="364"/>
      <c r="D201" s="233"/>
      <c r="E201" s="233"/>
      <c r="F201" s="433"/>
      <c r="G201" s="367"/>
      <c r="H201" s="100"/>
      <c r="I201" s="237"/>
      <c r="J201" s="100"/>
      <c r="K201" s="236"/>
      <c r="L201" s="222"/>
      <c r="M201" s="370"/>
      <c r="N201" s="349"/>
      <c r="O201" s="352"/>
      <c r="P201" s="349"/>
      <c r="Q201" s="353"/>
      <c r="R201" s="346"/>
      <c r="S201" s="208"/>
      <c r="T201" s="96"/>
      <c r="U201" s="47" t="s">
        <v>627</v>
      </c>
      <c r="V201" s="215"/>
      <c r="W201" s="215"/>
      <c r="X201" s="215"/>
      <c r="Y201" s="95" t="str">
        <f t="shared" si="37"/>
        <v/>
      </c>
      <c r="Z201" s="215"/>
      <c r="AA201" s="95" t="str">
        <f t="shared" si="38"/>
        <v/>
      </c>
      <c r="AB201" s="208"/>
      <c r="AC201" s="95" t="str">
        <f t="shared" si="39"/>
        <v/>
      </c>
      <c r="AD201" s="208"/>
      <c r="AE201" s="95" t="str">
        <f t="shared" si="40"/>
        <v/>
      </c>
      <c r="AF201" s="208"/>
      <c r="AG201" s="95" t="str">
        <f t="shared" si="41"/>
        <v/>
      </c>
      <c r="AH201" s="208"/>
      <c r="AI201" s="95" t="str">
        <f t="shared" si="42"/>
        <v/>
      </c>
      <c r="AJ201" s="208"/>
      <c r="AK201" s="27" t="str">
        <f t="shared" si="43"/>
        <v/>
      </c>
      <c r="AL201" s="48" t="str">
        <f t="shared" si="44"/>
        <v/>
      </c>
      <c r="AM201" s="48" t="str">
        <f t="shared" si="45"/>
        <v/>
      </c>
      <c r="AN201" s="293"/>
      <c r="AO201" s="293"/>
      <c r="AP201" s="293"/>
      <c r="AQ201" s="293"/>
      <c r="AR201" s="293"/>
      <c r="AS201" s="293"/>
      <c r="AT201" s="293"/>
      <c r="AU201" s="294" t="str">
        <f>IFERROR(VLOOKUP(AT201,'Seguridad Información'!$I$61:$J$65,2,0),"")</f>
        <v/>
      </c>
      <c r="AV201" s="79"/>
      <c r="AW201" s="78" t="str">
        <f t="shared" si="36"/>
        <v/>
      </c>
      <c r="AX201" s="77" t="str">
        <f t="shared" si="46"/>
        <v/>
      </c>
      <c r="AY201" s="21" t="str">
        <f>IFERROR(VLOOKUP((CONCATENATE(AM201,AX201)),Listados!$U$3:$V$11,2,FALSE),"")</f>
        <v/>
      </c>
      <c r="AZ201" s="48">
        <f t="shared" ref="AZ201:AZ264" si="47">IF(ISBLANK(AY201),"",IF(AY201="Débil", 0, IF(AY201="Moderado",50,100)))</f>
        <v>100</v>
      </c>
      <c r="BA201" s="355"/>
      <c r="BB201" s="357"/>
      <c r="BC201" s="173">
        <f>+IF(AND(W201="Preventivo",BB199="Fuerte"),2,IF(AND(W201="Preventivo",BB199="Moderado"),1,0))</f>
        <v>0</v>
      </c>
      <c r="BD201" s="64">
        <f>+IF(AND(W201="Detectivo/Correctivo",$BB199="Fuerte"),2,IF(AND(W201="Detectivo/Correctivo",$BB201="Moderado"),1,IF(AND(W201="Preventivo",$BB199="Fuerte"),1,0)))</f>
        <v>0</v>
      </c>
      <c r="BE201" s="173" t="e">
        <f>+N199-BC201</f>
        <v>#N/A</v>
      </c>
      <c r="BF201" s="173" t="e">
        <f>+P199-BD201</f>
        <v>#N/A</v>
      </c>
      <c r="BG201" s="346"/>
      <c r="BH201" s="346"/>
      <c r="BI201" s="346"/>
      <c r="BJ201" s="538"/>
      <c r="BK201" s="538"/>
      <c r="BL201" s="538"/>
      <c r="BM201" s="538"/>
    </row>
    <row r="202" spans="1:65" ht="65.099999999999994" customHeight="1" thickBot="1">
      <c r="A202" s="329"/>
      <c r="B202" s="514"/>
      <c r="C202" s="364"/>
      <c r="D202" s="233"/>
      <c r="E202" s="233"/>
      <c r="F202" s="433"/>
      <c r="G202" s="367"/>
      <c r="H202" s="100"/>
      <c r="I202" s="237"/>
      <c r="J202" s="100"/>
      <c r="K202" s="236"/>
      <c r="L202" s="222"/>
      <c r="M202" s="370"/>
      <c r="N202" s="349"/>
      <c r="O202" s="352"/>
      <c r="P202" s="349"/>
      <c r="Q202" s="353"/>
      <c r="R202" s="346"/>
      <c r="S202" s="208"/>
      <c r="T202" s="97"/>
      <c r="U202" s="47" t="s">
        <v>627</v>
      </c>
      <c r="V202" s="215"/>
      <c r="W202" s="215"/>
      <c r="X202" s="215"/>
      <c r="Y202" s="95" t="str">
        <f t="shared" si="37"/>
        <v/>
      </c>
      <c r="Z202" s="215"/>
      <c r="AA202" s="95" t="str">
        <f t="shared" si="38"/>
        <v/>
      </c>
      <c r="AB202" s="208"/>
      <c r="AC202" s="95" t="str">
        <f t="shared" si="39"/>
        <v/>
      </c>
      <c r="AD202" s="208"/>
      <c r="AE202" s="95" t="str">
        <f t="shared" si="40"/>
        <v/>
      </c>
      <c r="AF202" s="208"/>
      <c r="AG202" s="95" t="str">
        <f t="shared" si="41"/>
        <v/>
      </c>
      <c r="AH202" s="208"/>
      <c r="AI202" s="95" t="str">
        <f t="shared" si="42"/>
        <v/>
      </c>
      <c r="AJ202" s="208"/>
      <c r="AK202" s="27" t="str">
        <f t="shared" si="43"/>
        <v/>
      </c>
      <c r="AL202" s="48" t="str">
        <f t="shared" si="44"/>
        <v/>
      </c>
      <c r="AM202" s="48" t="str">
        <f t="shared" si="45"/>
        <v/>
      </c>
      <c r="AN202" s="293"/>
      <c r="AO202" s="293"/>
      <c r="AP202" s="293"/>
      <c r="AQ202" s="293"/>
      <c r="AR202" s="293"/>
      <c r="AS202" s="293"/>
      <c r="AT202" s="293"/>
      <c r="AU202" s="294" t="str">
        <f>IFERROR(VLOOKUP(AT202,'Seguridad Información'!$I$61:$J$65,2,0),"")</f>
        <v/>
      </c>
      <c r="AV202" s="79"/>
      <c r="AW202" s="78" t="str">
        <f t="shared" si="36"/>
        <v/>
      </c>
      <c r="AX202" s="77" t="str">
        <f t="shared" si="46"/>
        <v/>
      </c>
      <c r="AY202" s="21" t="str">
        <f>IFERROR(VLOOKUP((CONCATENATE(AM202,AX202)),Listados!$U$3:$V$11,2,FALSE),"")</f>
        <v/>
      </c>
      <c r="AZ202" s="48">
        <f t="shared" si="47"/>
        <v>100</v>
      </c>
      <c r="BA202" s="355"/>
      <c r="BB202" s="357"/>
      <c r="BC202" s="173">
        <f>+IF(AND(W202="Preventivo",BB199="Fuerte"),2,IF(AND(W202="Preventivo",BB199="Moderado"),1,0))</f>
        <v>0</v>
      </c>
      <c r="BD202" s="64">
        <f>+IF(AND(W202="Detectivo/Correctivo",$BB199="Fuerte"),2,IF(AND(W202="Detectivo/Correctivo",$BB202="Moderado"),1,IF(AND(W202="Preventivo",$BB199="Fuerte"),1,0)))</f>
        <v>0</v>
      </c>
      <c r="BE202" s="173" t="e">
        <f>+N199-BC202</f>
        <v>#N/A</v>
      </c>
      <c r="BF202" s="173" t="e">
        <f>+P199-BD202</f>
        <v>#N/A</v>
      </c>
      <c r="BG202" s="346"/>
      <c r="BH202" s="346"/>
      <c r="BI202" s="346"/>
      <c r="BJ202" s="538"/>
      <c r="BK202" s="538"/>
      <c r="BL202" s="538"/>
      <c r="BM202" s="538"/>
    </row>
    <row r="203" spans="1:65" ht="65.099999999999994" customHeight="1" thickBot="1">
      <c r="A203" s="329"/>
      <c r="B203" s="514"/>
      <c r="C203" s="364"/>
      <c r="D203" s="109"/>
      <c r="E203" s="109"/>
      <c r="F203" s="433"/>
      <c r="G203" s="367"/>
      <c r="H203" s="100"/>
      <c r="I203" s="237"/>
      <c r="J203" s="100"/>
      <c r="K203" s="29"/>
      <c r="L203" s="222"/>
      <c r="M203" s="370"/>
      <c r="N203" s="349"/>
      <c r="O203" s="352"/>
      <c r="P203" s="349"/>
      <c r="Q203" s="353"/>
      <c r="R203" s="346"/>
      <c r="S203" s="208"/>
      <c r="T203" s="195"/>
      <c r="U203" s="47" t="s">
        <v>627</v>
      </c>
      <c r="V203" s="215"/>
      <c r="W203" s="215"/>
      <c r="X203" s="215"/>
      <c r="Y203" s="95" t="str">
        <f t="shared" si="37"/>
        <v/>
      </c>
      <c r="Z203" s="215"/>
      <c r="AA203" s="95" t="str">
        <f t="shared" si="38"/>
        <v/>
      </c>
      <c r="AB203" s="208"/>
      <c r="AC203" s="95" t="str">
        <f t="shared" si="39"/>
        <v/>
      </c>
      <c r="AD203" s="208"/>
      <c r="AE203" s="95" t="str">
        <f t="shared" si="40"/>
        <v/>
      </c>
      <c r="AF203" s="208"/>
      <c r="AG203" s="95" t="str">
        <f t="shared" si="41"/>
        <v/>
      </c>
      <c r="AH203" s="208"/>
      <c r="AI203" s="95" t="str">
        <f t="shared" si="42"/>
        <v/>
      </c>
      <c r="AJ203" s="208"/>
      <c r="AK203" s="27" t="str">
        <f t="shared" si="43"/>
        <v/>
      </c>
      <c r="AL203" s="48" t="str">
        <f t="shared" si="44"/>
        <v/>
      </c>
      <c r="AM203" s="48" t="str">
        <f t="shared" si="45"/>
        <v/>
      </c>
      <c r="AN203" s="293"/>
      <c r="AO203" s="293"/>
      <c r="AP203" s="293"/>
      <c r="AQ203" s="293"/>
      <c r="AR203" s="293"/>
      <c r="AS203" s="293"/>
      <c r="AT203" s="293"/>
      <c r="AU203" s="294" t="str">
        <f>IFERROR(VLOOKUP(AT203,'Seguridad Información'!$I$61:$J$65,2,0),"")</f>
        <v/>
      </c>
      <c r="AV203" s="79"/>
      <c r="AW203" s="78" t="str">
        <f t="shared" si="36"/>
        <v/>
      </c>
      <c r="AX203" s="77" t="str">
        <f t="shared" si="46"/>
        <v/>
      </c>
      <c r="AY203" s="21" t="str">
        <f>IFERROR(VLOOKUP((CONCATENATE(AM203,AX203)),Listados!$U$3:$V$11,2,FALSE),"")</f>
        <v/>
      </c>
      <c r="AZ203" s="48">
        <f t="shared" si="47"/>
        <v>100</v>
      </c>
      <c r="BA203" s="355"/>
      <c r="BB203" s="357"/>
      <c r="BC203" s="173">
        <f>+IF(AND(W203="Preventivo",BB199="Fuerte"),2,IF(AND(W203="Preventivo",BB199="Moderado"),1,0))</f>
        <v>0</v>
      </c>
      <c r="BD203" s="64">
        <f>+IF(AND(W203="Detectivo/Correctivo",$BB199="Fuerte"),2,IF(AND(W203="Detectivo/Correctivo",$BB203="Moderado"),1,IF(AND(W203="Preventivo",$BB199="Fuerte"),1,0)))</f>
        <v>0</v>
      </c>
      <c r="BE203" s="173" t="e">
        <f>+N199-BC203</f>
        <v>#N/A</v>
      </c>
      <c r="BF203" s="173" t="e">
        <f>+P199-BD203</f>
        <v>#N/A</v>
      </c>
      <c r="BG203" s="346"/>
      <c r="BH203" s="346"/>
      <c r="BI203" s="346"/>
      <c r="BJ203" s="538"/>
      <c r="BK203" s="538"/>
      <c r="BL203" s="538"/>
      <c r="BM203" s="538"/>
    </row>
    <row r="204" spans="1:65" ht="65.099999999999994" customHeight="1" thickBot="1">
      <c r="A204" s="330"/>
      <c r="B204" s="514"/>
      <c r="C204" s="365"/>
      <c r="D204" s="106"/>
      <c r="E204" s="106"/>
      <c r="F204" s="434"/>
      <c r="G204" s="368"/>
      <c r="H204" s="100"/>
      <c r="I204" s="237"/>
      <c r="J204" s="100"/>
      <c r="K204" s="31"/>
      <c r="L204" s="222"/>
      <c r="M204" s="370"/>
      <c r="N204" s="350"/>
      <c r="O204" s="352"/>
      <c r="P204" s="350"/>
      <c r="Q204" s="353"/>
      <c r="R204" s="347"/>
      <c r="S204" s="208"/>
      <c r="T204" s="98"/>
      <c r="U204" s="47" t="s">
        <v>627</v>
      </c>
      <c r="V204" s="215"/>
      <c r="W204" s="215"/>
      <c r="X204" s="215"/>
      <c r="Y204" s="95" t="str">
        <f t="shared" si="37"/>
        <v/>
      </c>
      <c r="Z204" s="215"/>
      <c r="AA204" s="95" t="str">
        <f t="shared" si="38"/>
        <v/>
      </c>
      <c r="AB204" s="208"/>
      <c r="AC204" s="95" t="str">
        <f t="shared" si="39"/>
        <v/>
      </c>
      <c r="AD204" s="208"/>
      <c r="AE204" s="95" t="str">
        <f t="shared" si="40"/>
        <v/>
      </c>
      <c r="AF204" s="208"/>
      <c r="AG204" s="95" t="str">
        <f t="shared" si="41"/>
        <v/>
      </c>
      <c r="AH204" s="208"/>
      <c r="AI204" s="95" t="str">
        <f t="shared" si="42"/>
        <v/>
      </c>
      <c r="AJ204" s="208"/>
      <c r="AK204" s="27" t="str">
        <f t="shared" si="43"/>
        <v/>
      </c>
      <c r="AL204" s="48" t="str">
        <f t="shared" si="44"/>
        <v/>
      </c>
      <c r="AM204" s="48" t="str">
        <f t="shared" si="45"/>
        <v/>
      </c>
      <c r="AN204" s="293"/>
      <c r="AO204" s="293"/>
      <c r="AP204" s="293"/>
      <c r="AQ204" s="293"/>
      <c r="AR204" s="293"/>
      <c r="AS204" s="293"/>
      <c r="AT204" s="293"/>
      <c r="AU204" s="294" t="str">
        <f>IFERROR(VLOOKUP(AT204,'Seguridad Información'!$I$61:$J$65,2,0),"")</f>
        <v/>
      </c>
      <c r="AV204" s="79"/>
      <c r="AW204" s="78" t="str">
        <f t="shared" si="36"/>
        <v/>
      </c>
      <c r="AX204" s="77" t="str">
        <f t="shared" si="46"/>
        <v/>
      </c>
      <c r="AY204" s="21" t="str">
        <f>IFERROR(VLOOKUP((CONCATENATE(AM204,AX204)),Listados!$U$3:$V$11,2,FALSE),"")</f>
        <v/>
      </c>
      <c r="AZ204" s="48">
        <f t="shared" si="47"/>
        <v>100</v>
      </c>
      <c r="BA204" s="356"/>
      <c r="BB204" s="357"/>
      <c r="BC204" s="173">
        <f>+IF(AND(W204="Preventivo",BB199="Fuerte"),2,IF(AND(W204="Preventivo",BB199="Moderado"),1,0))</f>
        <v>0</v>
      </c>
      <c r="BD204" s="64">
        <f>+IF(AND(W204="Detectivo/Correctivo",$BB199="Fuerte"),2,IF(AND(W204="Detectivo/Correctivo",$BB204="Moderado"),1,IF(AND(W204="Preventivo",$BB199="Fuerte"),1,0)))</f>
        <v>0</v>
      </c>
      <c r="BE204" s="173" t="e">
        <f>+N199-BC204</f>
        <v>#N/A</v>
      </c>
      <c r="BF204" s="173" t="e">
        <f>+P199-BD204</f>
        <v>#N/A</v>
      </c>
      <c r="BG204" s="347"/>
      <c r="BH204" s="347"/>
      <c r="BI204" s="347"/>
      <c r="BJ204" s="539"/>
      <c r="BK204" s="539"/>
      <c r="BL204" s="539"/>
      <c r="BM204" s="539"/>
    </row>
    <row r="205" spans="1:65" ht="65.099999999999994" customHeight="1" thickBot="1">
      <c r="A205" s="328">
        <v>34</v>
      </c>
      <c r="B205" s="519"/>
      <c r="C205" s="371" t="str">
        <f>IFERROR(VLOOKUP(B205,Listados!B$3:C$20,2,FALSE),"")</f>
        <v/>
      </c>
      <c r="D205" s="107"/>
      <c r="E205" s="107"/>
      <c r="F205" s="432"/>
      <c r="G205" s="372"/>
      <c r="H205" s="100"/>
      <c r="I205" s="237"/>
      <c r="J205" s="100"/>
      <c r="K205" s="103"/>
      <c r="L205" s="17"/>
      <c r="M205" s="369"/>
      <c r="N205" s="348" t="e">
        <f>+VLOOKUP(M205,Listados!$K$8:$L$12,2,0)</f>
        <v>#N/A</v>
      </c>
      <c r="O205" s="351"/>
      <c r="P205" s="348" t="e">
        <f>+VLOOKUP(O205,Listados!$K$13:$L$17,2,0)</f>
        <v>#N/A</v>
      </c>
      <c r="Q205" s="347" t="str">
        <f>IF(AND(M205&lt;&gt;"",O205&lt;&gt;""),VLOOKUP(M205&amp;O205,Listados!$M$3:$N$27,2,FALSE),"")</f>
        <v/>
      </c>
      <c r="R205" s="345" t="e">
        <f>+VLOOKUP(Q205,Listados!$P$3:$Q$6,2,FALSE)</f>
        <v>#N/A</v>
      </c>
      <c r="S205" s="208"/>
      <c r="T205" s="94"/>
      <c r="U205" s="47" t="s">
        <v>627</v>
      </c>
      <c r="V205" s="215"/>
      <c r="W205" s="215"/>
      <c r="X205" s="215"/>
      <c r="Y205" s="95" t="str">
        <f t="shared" si="37"/>
        <v/>
      </c>
      <c r="Z205" s="215"/>
      <c r="AA205" s="95" t="str">
        <f t="shared" si="38"/>
        <v/>
      </c>
      <c r="AB205" s="208"/>
      <c r="AC205" s="95" t="str">
        <f t="shared" si="39"/>
        <v/>
      </c>
      <c r="AD205" s="208"/>
      <c r="AE205" s="95" t="str">
        <f t="shared" si="40"/>
        <v/>
      </c>
      <c r="AF205" s="208"/>
      <c r="AG205" s="95" t="str">
        <f t="shared" si="41"/>
        <v/>
      </c>
      <c r="AH205" s="208"/>
      <c r="AI205" s="95" t="str">
        <f t="shared" si="42"/>
        <v/>
      </c>
      <c r="AJ205" s="208"/>
      <c r="AK205" s="27" t="str">
        <f t="shared" si="43"/>
        <v/>
      </c>
      <c r="AL205" s="48" t="str">
        <f t="shared" si="44"/>
        <v/>
      </c>
      <c r="AM205" s="48" t="str">
        <f t="shared" si="45"/>
        <v/>
      </c>
      <c r="AN205" s="293"/>
      <c r="AO205" s="293"/>
      <c r="AP205" s="293"/>
      <c r="AQ205" s="293"/>
      <c r="AR205" s="293"/>
      <c r="AS205" s="293"/>
      <c r="AT205" s="293"/>
      <c r="AU205" s="294" t="str">
        <f>IFERROR(VLOOKUP(AT205,'Seguridad Información'!$I$61:$J$65,2,0),"")</f>
        <v/>
      </c>
      <c r="AV205" s="79"/>
      <c r="AW205" s="78" t="str">
        <f t="shared" si="36"/>
        <v/>
      </c>
      <c r="AX205" s="77" t="str">
        <f t="shared" si="46"/>
        <v/>
      </c>
      <c r="AY205" s="21" t="str">
        <f>IFERROR(VLOOKUP((CONCATENATE(AM205,AX205)),Listados!$U$3:$V$11,2,FALSE),"")</f>
        <v/>
      </c>
      <c r="AZ205" s="48">
        <f t="shared" si="47"/>
        <v>100</v>
      </c>
      <c r="BA205" s="354">
        <f>AVERAGE(AZ205:AZ210)</f>
        <v>100</v>
      </c>
      <c r="BB205" s="356" t="str">
        <f>IF(BA205&lt;=50, "Débil", IF(BA205&lt;=99,"Moderado","Fuerte"))</f>
        <v>Fuerte</v>
      </c>
      <c r="BC205" s="173">
        <f>+IF(AND(W205="Preventivo",BB205="Fuerte"),2,IF(AND(W205="Preventivo",BB205="Moderado"),1,0))</f>
        <v>0</v>
      </c>
      <c r="BD205" s="64">
        <f>+IF(AND(W205="Detectivo/Correctivo",$BB205="Fuerte"),2,IF(AND(W205="Detectivo/Correctivo",$BB205="Moderado"),1,IF(AND(W205="Preventivo",$BB205="Fuerte"),1,0)))</f>
        <v>0</v>
      </c>
      <c r="BE205" s="173" t="e">
        <f>+N205-BC205</f>
        <v>#N/A</v>
      </c>
      <c r="BF205" s="173" t="e">
        <f>+P205-BD205</f>
        <v>#N/A</v>
      </c>
      <c r="BG205" s="345" t="e">
        <f>+VLOOKUP(MIN(BE205,BE206,BE207,BE208,BE209,BE210),Listados!$J$18:$K$24,2,TRUE)</f>
        <v>#N/A</v>
      </c>
      <c r="BH205" s="345" t="e">
        <f>+VLOOKUP(MIN(BF205,BF206,BF207,BF208,BF209,BF210),Listados!$J$27:$K$32,2,TRUE)</f>
        <v>#N/A</v>
      </c>
      <c r="BI205" s="345" t="e">
        <f>IF(AND(BG205&lt;&gt;"",BH205&lt;&gt;""),VLOOKUP(BG205&amp;BH205,Listados!$M$3:$N$27,2,FALSE),"")</f>
        <v>#N/A</v>
      </c>
      <c r="BJ205" s="537" t="e">
        <f>+IF($R205="Asumir el riesgo","NA","")</f>
        <v>#N/A</v>
      </c>
      <c r="BK205" s="537" t="e">
        <f>+IF($R205="Asumir el riesgo","NA","")</f>
        <v>#N/A</v>
      </c>
      <c r="BL205" s="537" t="e">
        <f>+IF($R205="Asumir el riesgo","NA","")</f>
        <v>#N/A</v>
      </c>
      <c r="BM205" s="537" t="e">
        <f>+IF($R205="Asumir el riesgo","NA","")</f>
        <v>#N/A</v>
      </c>
    </row>
    <row r="206" spans="1:65" ht="65.099999999999994" customHeight="1" thickBot="1">
      <c r="A206" s="329"/>
      <c r="B206" s="514"/>
      <c r="C206" s="364"/>
      <c r="D206" s="233"/>
      <c r="E206" s="233"/>
      <c r="F206" s="433"/>
      <c r="G206" s="367"/>
      <c r="H206" s="100"/>
      <c r="I206" s="237"/>
      <c r="J206" s="100"/>
      <c r="K206" s="236"/>
      <c r="L206" s="222"/>
      <c r="M206" s="370"/>
      <c r="N206" s="349"/>
      <c r="O206" s="352"/>
      <c r="P206" s="349"/>
      <c r="Q206" s="353"/>
      <c r="R206" s="346"/>
      <c r="S206" s="208"/>
      <c r="T206" s="195"/>
      <c r="U206" s="47" t="s">
        <v>627</v>
      </c>
      <c r="V206" s="215"/>
      <c r="W206" s="215"/>
      <c r="X206" s="215"/>
      <c r="Y206" s="95" t="str">
        <f t="shared" si="37"/>
        <v/>
      </c>
      <c r="Z206" s="215"/>
      <c r="AA206" s="95" t="str">
        <f t="shared" si="38"/>
        <v/>
      </c>
      <c r="AB206" s="208"/>
      <c r="AC206" s="95" t="str">
        <f t="shared" si="39"/>
        <v/>
      </c>
      <c r="AD206" s="208"/>
      <c r="AE206" s="95" t="str">
        <f t="shared" si="40"/>
        <v/>
      </c>
      <c r="AF206" s="208"/>
      <c r="AG206" s="95" t="str">
        <f t="shared" si="41"/>
        <v/>
      </c>
      <c r="AH206" s="208"/>
      <c r="AI206" s="95" t="str">
        <f t="shared" si="42"/>
        <v/>
      </c>
      <c r="AJ206" s="208"/>
      <c r="AK206" s="27" t="str">
        <f t="shared" si="43"/>
        <v/>
      </c>
      <c r="AL206" s="48" t="str">
        <f t="shared" si="44"/>
        <v/>
      </c>
      <c r="AM206" s="48" t="str">
        <f t="shared" si="45"/>
        <v/>
      </c>
      <c r="AN206" s="293"/>
      <c r="AO206" s="293"/>
      <c r="AP206" s="293"/>
      <c r="AQ206" s="293"/>
      <c r="AR206" s="293"/>
      <c r="AS206" s="293"/>
      <c r="AT206" s="293"/>
      <c r="AU206" s="294" t="str">
        <f>IFERROR(VLOOKUP(AT206,'Seguridad Información'!$I$61:$J$65,2,0),"")</f>
        <v/>
      </c>
      <c r="AV206" s="79"/>
      <c r="AW206" s="78" t="str">
        <f t="shared" si="36"/>
        <v/>
      </c>
      <c r="AX206" s="77" t="str">
        <f t="shared" si="46"/>
        <v/>
      </c>
      <c r="AY206" s="21" t="str">
        <f>IFERROR(VLOOKUP((CONCATENATE(AM206,AX206)),Listados!$U$3:$V$11,2,FALSE),"")</f>
        <v/>
      </c>
      <c r="AZ206" s="48">
        <f t="shared" si="47"/>
        <v>100</v>
      </c>
      <c r="BA206" s="355"/>
      <c r="BB206" s="357"/>
      <c r="BC206" s="173">
        <f>+IF(AND(W206="Preventivo",BB205="Fuerte"),2,IF(AND(W206="Preventivo",BB205="Moderado"),1,0))</f>
        <v>0</v>
      </c>
      <c r="BD206" s="64">
        <f>+IF(AND(W206="Detectivo/Correctivo",$BB205="Fuerte"),2,IF(AND(W206="Detectivo/Correctivo",$BB206="Moderado"),1,IF(AND(W206="Preventivo",$BB205="Fuerte"),1,0)))</f>
        <v>0</v>
      </c>
      <c r="BE206" s="173" t="e">
        <f>+N205-BC206</f>
        <v>#N/A</v>
      </c>
      <c r="BF206" s="173" t="e">
        <f>+P205-BD206</f>
        <v>#N/A</v>
      </c>
      <c r="BG206" s="346"/>
      <c r="BH206" s="346"/>
      <c r="BI206" s="346"/>
      <c r="BJ206" s="538"/>
      <c r="BK206" s="538"/>
      <c r="BL206" s="538"/>
      <c r="BM206" s="538"/>
    </row>
    <row r="207" spans="1:65" ht="65.099999999999994" customHeight="1" thickBot="1">
      <c r="A207" s="329"/>
      <c r="B207" s="514"/>
      <c r="C207" s="364"/>
      <c r="D207" s="233"/>
      <c r="E207" s="233"/>
      <c r="F207" s="433"/>
      <c r="G207" s="367"/>
      <c r="H207" s="100"/>
      <c r="I207" s="237"/>
      <c r="J207" s="100"/>
      <c r="K207" s="236"/>
      <c r="L207" s="222"/>
      <c r="M207" s="370"/>
      <c r="N207" s="349"/>
      <c r="O207" s="352"/>
      <c r="P207" s="349"/>
      <c r="Q207" s="353"/>
      <c r="R207" s="346"/>
      <c r="S207" s="208"/>
      <c r="T207" s="96"/>
      <c r="U207" s="47" t="s">
        <v>627</v>
      </c>
      <c r="V207" s="215"/>
      <c r="W207" s="215"/>
      <c r="X207" s="215"/>
      <c r="Y207" s="95" t="str">
        <f t="shared" si="37"/>
        <v/>
      </c>
      <c r="Z207" s="215"/>
      <c r="AA207" s="95" t="str">
        <f t="shared" si="38"/>
        <v/>
      </c>
      <c r="AB207" s="208"/>
      <c r="AC207" s="95" t="str">
        <f t="shared" si="39"/>
        <v/>
      </c>
      <c r="AD207" s="208"/>
      <c r="AE207" s="95" t="str">
        <f t="shared" si="40"/>
        <v/>
      </c>
      <c r="AF207" s="208"/>
      <c r="AG207" s="95" t="str">
        <f t="shared" si="41"/>
        <v/>
      </c>
      <c r="AH207" s="208"/>
      <c r="AI207" s="95" t="str">
        <f t="shared" si="42"/>
        <v/>
      </c>
      <c r="AJ207" s="208"/>
      <c r="AK207" s="27" t="str">
        <f t="shared" si="43"/>
        <v/>
      </c>
      <c r="AL207" s="48" t="str">
        <f t="shared" si="44"/>
        <v/>
      </c>
      <c r="AM207" s="48" t="str">
        <f t="shared" si="45"/>
        <v/>
      </c>
      <c r="AN207" s="293"/>
      <c r="AO207" s="293"/>
      <c r="AP207" s="293"/>
      <c r="AQ207" s="293"/>
      <c r="AR207" s="293"/>
      <c r="AS207" s="293"/>
      <c r="AT207" s="293"/>
      <c r="AU207" s="294" t="str">
        <f>IFERROR(VLOOKUP(AT207,'Seguridad Información'!$I$61:$J$65,2,0),"")</f>
        <v/>
      </c>
      <c r="AV207" s="79"/>
      <c r="AW207" s="78" t="str">
        <f t="shared" si="36"/>
        <v/>
      </c>
      <c r="AX207" s="77" t="str">
        <f t="shared" si="46"/>
        <v/>
      </c>
      <c r="AY207" s="21" t="str">
        <f>IFERROR(VLOOKUP((CONCATENATE(AM207,AX207)),Listados!$U$3:$V$11,2,FALSE),"")</f>
        <v/>
      </c>
      <c r="AZ207" s="48">
        <f t="shared" si="47"/>
        <v>100</v>
      </c>
      <c r="BA207" s="355"/>
      <c r="BB207" s="357"/>
      <c r="BC207" s="173">
        <f>+IF(AND(W207="Preventivo",BB205="Fuerte"),2,IF(AND(W207="Preventivo",BB205="Moderado"),1,0))</f>
        <v>0</v>
      </c>
      <c r="BD207" s="64">
        <f>+IF(AND(W207="Detectivo/Correctivo",$BB205="Fuerte"),2,IF(AND(W207="Detectivo/Correctivo",$BB207="Moderado"),1,IF(AND(W207="Preventivo",$BB205="Fuerte"),1,0)))</f>
        <v>0</v>
      </c>
      <c r="BE207" s="173" t="e">
        <f>+N205-BC207</f>
        <v>#N/A</v>
      </c>
      <c r="BF207" s="173" t="e">
        <f>+P205-BD207</f>
        <v>#N/A</v>
      </c>
      <c r="BG207" s="346"/>
      <c r="BH207" s="346"/>
      <c r="BI207" s="346"/>
      <c r="BJ207" s="538"/>
      <c r="BK207" s="538"/>
      <c r="BL207" s="538"/>
      <c r="BM207" s="538"/>
    </row>
    <row r="208" spans="1:65" ht="65.099999999999994" customHeight="1" thickBot="1">
      <c r="A208" s="329"/>
      <c r="B208" s="514"/>
      <c r="C208" s="364"/>
      <c r="D208" s="233"/>
      <c r="E208" s="233"/>
      <c r="F208" s="433"/>
      <c r="G208" s="367"/>
      <c r="H208" s="100"/>
      <c r="I208" s="237"/>
      <c r="J208" s="100"/>
      <c r="K208" s="236"/>
      <c r="L208" s="222"/>
      <c r="M208" s="370"/>
      <c r="N208" s="349"/>
      <c r="O208" s="352"/>
      <c r="P208" s="349"/>
      <c r="Q208" s="353"/>
      <c r="R208" s="346"/>
      <c r="S208" s="208"/>
      <c r="T208" s="97"/>
      <c r="U208" s="47" t="s">
        <v>627</v>
      </c>
      <c r="V208" s="215"/>
      <c r="W208" s="215"/>
      <c r="X208" s="215"/>
      <c r="Y208" s="95" t="str">
        <f t="shared" si="37"/>
        <v/>
      </c>
      <c r="Z208" s="215"/>
      <c r="AA208" s="95" t="str">
        <f t="shared" si="38"/>
        <v/>
      </c>
      <c r="AB208" s="208"/>
      <c r="AC208" s="95" t="str">
        <f t="shared" si="39"/>
        <v/>
      </c>
      <c r="AD208" s="208"/>
      <c r="AE208" s="95" t="str">
        <f t="shared" si="40"/>
        <v/>
      </c>
      <c r="AF208" s="208"/>
      <c r="AG208" s="95" t="str">
        <f t="shared" si="41"/>
        <v/>
      </c>
      <c r="AH208" s="208"/>
      <c r="AI208" s="95" t="str">
        <f t="shared" si="42"/>
        <v/>
      </c>
      <c r="AJ208" s="208"/>
      <c r="AK208" s="27" t="str">
        <f t="shared" si="43"/>
        <v/>
      </c>
      <c r="AL208" s="48" t="str">
        <f t="shared" si="44"/>
        <v/>
      </c>
      <c r="AM208" s="48" t="str">
        <f t="shared" si="45"/>
        <v/>
      </c>
      <c r="AN208" s="293"/>
      <c r="AO208" s="293"/>
      <c r="AP208" s="293"/>
      <c r="AQ208" s="293"/>
      <c r="AR208" s="293"/>
      <c r="AS208" s="293"/>
      <c r="AT208" s="293"/>
      <c r="AU208" s="294" t="str">
        <f>IFERROR(VLOOKUP(AT208,'Seguridad Información'!$I$61:$J$65,2,0),"")</f>
        <v/>
      </c>
      <c r="AV208" s="79"/>
      <c r="AW208" s="78" t="str">
        <f t="shared" si="36"/>
        <v/>
      </c>
      <c r="AX208" s="77" t="str">
        <f t="shared" si="46"/>
        <v/>
      </c>
      <c r="AY208" s="21" t="str">
        <f>IFERROR(VLOOKUP((CONCATENATE(AM208,AX208)),Listados!$U$3:$V$11,2,FALSE),"")</f>
        <v/>
      </c>
      <c r="AZ208" s="48">
        <f t="shared" si="47"/>
        <v>100</v>
      </c>
      <c r="BA208" s="355"/>
      <c r="BB208" s="357"/>
      <c r="BC208" s="173">
        <f>+IF(AND(W208="Preventivo",BB205="Fuerte"),2,IF(AND(W208="Preventivo",BB205="Moderado"),1,0))</f>
        <v>0</v>
      </c>
      <c r="BD208" s="64">
        <f>+IF(AND(W208="Detectivo/Correctivo",$BB205="Fuerte"),2,IF(AND(W208="Detectivo/Correctivo",$BB208="Moderado"),1,IF(AND(W208="Preventivo",$BB205="Fuerte"),1,0)))</f>
        <v>0</v>
      </c>
      <c r="BE208" s="173" t="e">
        <f>+N205-BC208</f>
        <v>#N/A</v>
      </c>
      <c r="BF208" s="173" t="e">
        <f>+P205-BD208</f>
        <v>#N/A</v>
      </c>
      <c r="BG208" s="346"/>
      <c r="BH208" s="346"/>
      <c r="BI208" s="346"/>
      <c r="BJ208" s="538"/>
      <c r="BK208" s="538"/>
      <c r="BL208" s="538"/>
      <c r="BM208" s="538"/>
    </row>
    <row r="209" spans="1:65" ht="65.099999999999994" customHeight="1" thickBot="1">
      <c r="A209" s="329"/>
      <c r="B209" s="514"/>
      <c r="C209" s="364"/>
      <c r="D209" s="109"/>
      <c r="E209" s="109"/>
      <c r="F209" s="433"/>
      <c r="G209" s="367"/>
      <c r="H209" s="100"/>
      <c r="I209" s="237"/>
      <c r="J209" s="100"/>
      <c r="K209" s="29"/>
      <c r="L209" s="222"/>
      <c r="M209" s="370"/>
      <c r="N209" s="349"/>
      <c r="O209" s="352"/>
      <c r="P209" s="349"/>
      <c r="Q209" s="353"/>
      <c r="R209" s="346"/>
      <c r="S209" s="208"/>
      <c r="T209" s="195"/>
      <c r="U209" s="47" t="s">
        <v>627</v>
      </c>
      <c r="V209" s="215"/>
      <c r="W209" s="215"/>
      <c r="X209" s="215"/>
      <c r="Y209" s="95" t="str">
        <f t="shared" si="37"/>
        <v/>
      </c>
      <c r="Z209" s="215"/>
      <c r="AA209" s="95" t="str">
        <f t="shared" si="38"/>
        <v/>
      </c>
      <c r="AB209" s="208"/>
      <c r="AC209" s="95" t="str">
        <f t="shared" si="39"/>
        <v/>
      </c>
      <c r="AD209" s="208"/>
      <c r="AE209" s="95" t="str">
        <f t="shared" si="40"/>
        <v/>
      </c>
      <c r="AF209" s="208"/>
      <c r="AG209" s="95" t="str">
        <f t="shared" si="41"/>
        <v/>
      </c>
      <c r="AH209" s="208"/>
      <c r="AI209" s="95" t="str">
        <f t="shared" si="42"/>
        <v/>
      </c>
      <c r="AJ209" s="208"/>
      <c r="AK209" s="27" t="str">
        <f t="shared" si="43"/>
        <v/>
      </c>
      <c r="AL209" s="48" t="str">
        <f t="shared" si="44"/>
        <v/>
      </c>
      <c r="AM209" s="48" t="str">
        <f t="shared" si="45"/>
        <v/>
      </c>
      <c r="AN209" s="293"/>
      <c r="AO209" s="293"/>
      <c r="AP209" s="293"/>
      <c r="AQ209" s="293"/>
      <c r="AR209" s="293"/>
      <c r="AS209" s="293"/>
      <c r="AT209" s="293"/>
      <c r="AU209" s="294" t="str">
        <f>IFERROR(VLOOKUP(AT209,'Seguridad Información'!$I$61:$J$65,2,0),"")</f>
        <v/>
      </c>
      <c r="AV209" s="79"/>
      <c r="AW209" s="78" t="str">
        <f t="shared" si="36"/>
        <v/>
      </c>
      <c r="AX209" s="77" t="str">
        <f t="shared" si="46"/>
        <v/>
      </c>
      <c r="AY209" s="21" t="str">
        <f>IFERROR(VLOOKUP((CONCATENATE(AM209,AX209)),Listados!$U$3:$V$11,2,FALSE),"")</f>
        <v/>
      </c>
      <c r="AZ209" s="48">
        <f t="shared" si="47"/>
        <v>100</v>
      </c>
      <c r="BA209" s="355"/>
      <c r="BB209" s="357"/>
      <c r="BC209" s="173">
        <f>+IF(AND(W209="Preventivo",BB205="Fuerte"),2,IF(AND(W209="Preventivo",BB205="Moderado"),1,0))</f>
        <v>0</v>
      </c>
      <c r="BD209" s="64">
        <f>+IF(AND(W209="Detectivo/Correctivo",$BB205="Fuerte"),2,IF(AND(W209="Detectivo/Correctivo",$BB209="Moderado"),1,IF(AND(W209="Preventivo",$BB205="Fuerte"),1,0)))</f>
        <v>0</v>
      </c>
      <c r="BE209" s="173" t="e">
        <f>+N205-BC209</f>
        <v>#N/A</v>
      </c>
      <c r="BF209" s="173" t="e">
        <f>+P205-BD209</f>
        <v>#N/A</v>
      </c>
      <c r="BG209" s="346"/>
      <c r="BH209" s="346"/>
      <c r="BI209" s="346"/>
      <c r="BJ209" s="538"/>
      <c r="BK209" s="538"/>
      <c r="BL209" s="538"/>
      <c r="BM209" s="538"/>
    </row>
    <row r="210" spans="1:65" ht="65.099999999999994" customHeight="1" thickBot="1">
      <c r="A210" s="330"/>
      <c r="B210" s="514"/>
      <c r="C210" s="365"/>
      <c r="D210" s="106"/>
      <c r="E210" s="106"/>
      <c r="F210" s="434"/>
      <c r="G210" s="368"/>
      <c r="H210" s="100"/>
      <c r="I210" s="237"/>
      <c r="J210" s="100"/>
      <c r="K210" s="31"/>
      <c r="L210" s="222"/>
      <c r="M210" s="370"/>
      <c r="N210" s="350"/>
      <c r="O210" s="352"/>
      <c r="P210" s="350"/>
      <c r="Q210" s="353"/>
      <c r="R210" s="347"/>
      <c r="S210" s="208"/>
      <c r="T210" s="98"/>
      <c r="U210" s="47" t="s">
        <v>627</v>
      </c>
      <c r="V210" s="215"/>
      <c r="W210" s="215"/>
      <c r="X210" s="215"/>
      <c r="Y210" s="95" t="str">
        <f t="shared" si="37"/>
        <v/>
      </c>
      <c r="Z210" s="215"/>
      <c r="AA210" s="95" t="str">
        <f t="shared" si="38"/>
        <v/>
      </c>
      <c r="AB210" s="208"/>
      <c r="AC210" s="95" t="str">
        <f t="shared" si="39"/>
        <v/>
      </c>
      <c r="AD210" s="208"/>
      <c r="AE210" s="95" t="str">
        <f t="shared" si="40"/>
        <v/>
      </c>
      <c r="AF210" s="208"/>
      <c r="AG210" s="95" t="str">
        <f t="shared" si="41"/>
        <v/>
      </c>
      <c r="AH210" s="208"/>
      <c r="AI210" s="95" t="str">
        <f t="shared" si="42"/>
        <v/>
      </c>
      <c r="AJ210" s="208"/>
      <c r="AK210" s="27" t="str">
        <f t="shared" si="43"/>
        <v/>
      </c>
      <c r="AL210" s="48" t="str">
        <f t="shared" si="44"/>
        <v/>
      </c>
      <c r="AM210" s="48" t="str">
        <f t="shared" si="45"/>
        <v/>
      </c>
      <c r="AN210" s="293"/>
      <c r="AO210" s="293"/>
      <c r="AP210" s="293"/>
      <c r="AQ210" s="293"/>
      <c r="AR210" s="293"/>
      <c r="AS210" s="293"/>
      <c r="AT210" s="293"/>
      <c r="AU210" s="294" t="str">
        <f>IFERROR(VLOOKUP(AT210,'Seguridad Información'!$I$61:$J$65,2,0),"")</f>
        <v/>
      </c>
      <c r="AV210" s="79"/>
      <c r="AW210" s="78" t="str">
        <f t="shared" si="36"/>
        <v/>
      </c>
      <c r="AX210" s="77" t="str">
        <f t="shared" si="46"/>
        <v/>
      </c>
      <c r="AY210" s="21" t="str">
        <f>IFERROR(VLOOKUP((CONCATENATE(AM210,AX210)),Listados!$U$3:$V$11,2,FALSE),"")</f>
        <v/>
      </c>
      <c r="AZ210" s="48">
        <f t="shared" si="47"/>
        <v>100</v>
      </c>
      <c r="BA210" s="356"/>
      <c r="BB210" s="357"/>
      <c r="BC210" s="173">
        <f>+IF(AND(W210="Preventivo",BB205="Fuerte"),2,IF(AND(W210="Preventivo",BB205="Moderado"),1,0))</f>
        <v>0</v>
      </c>
      <c r="BD210" s="64">
        <f>+IF(AND(W210="Detectivo/Correctivo",$BB205="Fuerte"),2,IF(AND(W210="Detectivo/Correctivo",$BB210="Moderado"),1,IF(AND(W210="Preventivo",$BB205="Fuerte"),1,0)))</f>
        <v>0</v>
      </c>
      <c r="BE210" s="173" t="e">
        <f>+N205-BC210</f>
        <v>#N/A</v>
      </c>
      <c r="BF210" s="173" t="e">
        <f>+P205-BD210</f>
        <v>#N/A</v>
      </c>
      <c r="BG210" s="347"/>
      <c r="BH210" s="347"/>
      <c r="BI210" s="347"/>
      <c r="BJ210" s="539"/>
      <c r="BK210" s="539"/>
      <c r="BL210" s="539"/>
      <c r="BM210" s="539"/>
    </row>
    <row r="211" spans="1:65" ht="65.099999999999994" customHeight="1" thickBot="1">
      <c r="A211" s="328">
        <v>35</v>
      </c>
      <c r="B211" s="519"/>
      <c r="C211" s="371" t="str">
        <f>IFERROR(VLOOKUP(B211,Listados!B$3:C$20,2,FALSE),"")</f>
        <v/>
      </c>
      <c r="D211" s="107"/>
      <c r="E211" s="107"/>
      <c r="F211" s="432"/>
      <c r="G211" s="372"/>
      <c r="H211" s="100"/>
      <c r="I211" s="237"/>
      <c r="J211" s="100"/>
      <c r="K211" s="103"/>
      <c r="L211" s="17"/>
      <c r="M211" s="369"/>
      <c r="N211" s="348" t="e">
        <f>+VLOOKUP(M211,Listados!$K$8:$L$12,2,0)</f>
        <v>#N/A</v>
      </c>
      <c r="O211" s="351"/>
      <c r="P211" s="348" t="e">
        <f>+VLOOKUP(O211,Listados!$K$13:$L$17,2,0)</f>
        <v>#N/A</v>
      </c>
      <c r="Q211" s="347" t="str">
        <f>IF(AND(M211&lt;&gt;"",O211&lt;&gt;""),VLOOKUP(M211&amp;O211,Listados!$M$3:$N$27,2,FALSE),"")</f>
        <v/>
      </c>
      <c r="R211" s="345" t="e">
        <f>+VLOOKUP(Q211,Listados!$P$3:$Q$6,2,FALSE)</f>
        <v>#N/A</v>
      </c>
      <c r="S211" s="208"/>
      <c r="T211" s="94"/>
      <c r="U211" s="47" t="s">
        <v>627</v>
      </c>
      <c r="V211" s="215"/>
      <c r="W211" s="215"/>
      <c r="X211" s="215"/>
      <c r="Y211" s="95" t="str">
        <f t="shared" si="37"/>
        <v/>
      </c>
      <c r="Z211" s="215"/>
      <c r="AA211" s="95" t="str">
        <f t="shared" si="38"/>
        <v/>
      </c>
      <c r="AB211" s="208"/>
      <c r="AC211" s="95" t="str">
        <f t="shared" si="39"/>
        <v/>
      </c>
      <c r="AD211" s="208"/>
      <c r="AE211" s="95" t="str">
        <f t="shared" si="40"/>
        <v/>
      </c>
      <c r="AF211" s="208"/>
      <c r="AG211" s="95" t="str">
        <f t="shared" si="41"/>
        <v/>
      </c>
      <c r="AH211" s="208"/>
      <c r="AI211" s="95" t="str">
        <f t="shared" si="42"/>
        <v/>
      </c>
      <c r="AJ211" s="208"/>
      <c r="AK211" s="27" t="str">
        <f t="shared" si="43"/>
        <v/>
      </c>
      <c r="AL211" s="48" t="str">
        <f t="shared" si="44"/>
        <v/>
      </c>
      <c r="AM211" s="48" t="str">
        <f t="shared" si="45"/>
        <v/>
      </c>
      <c r="AN211" s="293"/>
      <c r="AO211" s="293"/>
      <c r="AP211" s="293"/>
      <c r="AQ211" s="293"/>
      <c r="AR211" s="293"/>
      <c r="AS211" s="293"/>
      <c r="AT211" s="293"/>
      <c r="AU211" s="294" t="str">
        <f>IFERROR(VLOOKUP(AT211,'Seguridad Información'!$I$61:$J$65,2,0),"")</f>
        <v/>
      </c>
      <c r="AV211" s="79"/>
      <c r="AW211" s="78" t="str">
        <f t="shared" si="36"/>
        <v/>
      </c>
      <c r="AX211" s="77" t="str">
        <f t="shared" si="46"/>
        <v/>
      </c>
      <c r="AY211" s="21" t="str">
        <f>IFERROR(VLOOKUP((CONCATENATE(AM211,AX211)),Listados!$U$3:$V$11,2,FALSE),"")</f>
        <v/>
      </c>
      <c r="AZ211" s="48">
        <f t="shared" si="47"/>
        <v>100</v>
      </c>
      <c r="BA211" s="354">
        <f>AVERAGE(AZ211:AZ216)</f>
        <v>100</v>
      </c>
      <c r="BB211" s="356" t="str">
        <f>IF(BA211&lt;=50, "Débil", IF(BA211&lt;=99,"Moderado","Fuerte"))</f>
        <v>Fuerte</v>
      </c>
      <c r="BC211" s="173">
        <f>+IF(AND(W211="Preventivo",BB211="Fuerte"),2,IF(AND(W211="Preventivo",BB211="Moderado"),1,0))</f>
        <v>0</v>
      </c>
      <c r="BD211" s="64">
        <f>+IF(AND(W211="Detectivo/Correctivo",$BB211="Fuerte"),2,IF(AND(W211="Detectivo/Correctivo",$BB211="Moderado"),1,IF(AND(W211="Preventivo",$BB211="Fuerte"),1,0)))</f>
        <v>0</v>
      </c>
      <c r="BE211" s="173" t="e">
        <f>+N211-BC211</f>
        <v>#N/A</v>
      </c>
      <c r="BF211" s="173" t="e">
        <f>+P211-BD211</f>
        <v>#N/A</v>
      </c>
      <c r="BG211" s="345" t="e">
        <f>+VLOOKUP(MIN(BE211,BE212,BE213,BE214,BE215,BE216),Listados!$J$18:$K$24,2,TRUE)</f>
        <v>#N/A</v>
      </c>
      <c r="BH211" s="345" t="e">
        <f>+VLOOKUP(MIN(BF211,BF212,BF213,BF214,BF215,BF216),Listados!$J$27:$K$32,2,TRUE)</f>
        <v>#N/A</v>
      </c>
      <c r="BI211" s="345" t="e">
        <f>IF(AND(BG211&lt;&gt;"",BH211&lt;&gt;""),VLOOKUP(BG211&amp;BH211,Listados!$M$3:$N$27,2,FALSE),"")</f>
        <v>#N/A</v>
      </c>
      <c r="BJ211" s="537" t="e">
        <f>+IF($R211="Asumir el riesgo","NA","")</f>
        <v>#N/A</v>
      </c>
      <c r="BK211" s="537" t="e">
        <f>+IF($R211="Asumir el riesgo","NA","")</f>
        <v>#N/A</v>
      </c>
      <c r="BL211" s="537" t="e">
        <f>+IF($R211="Asumir el riesgo","NA","")</f>
        <v>#N/A</v>
      </c>
      <c r="BM211" s="537" t="e">
        <f>+IF($R211="Asumir el riesgo","NA","")</f>
        <v>#N/A</v>
      </c>
    </row>
    <row r="212" spans="1:65" ht="65.099999999999994" customHeight="1" thickBot="1">
      <c r="A212" s="329"/>
      <c r="B212" s="514"/>
      <c r="C212" s="364"/>
      <c r="D212" s="233"/>
      <c r="E212" s="233"/>
      <c r="F212" s="433"/>
      <c r="G212" s="367"/>
      <c r="H212" s="100"/>
      <c r="I212" s="237"/>
      <c r="J212" s="100"/>
      <c r="K212" s="236"/>
      <c r="L212" s="222"/>
      <c r="M212" s="370"/>
      <c r="N212" s="349"/>
      <c r="O212" s="352"/>
      <c r="P212" s="349"/>
      <c r="Q212" s="353"/>
      <c r="R212" s="346"/>
      <c r="S212" s="208"/>
      <c r="T212" s="195"/>
      <c r="U212" s="47" t="s">
        <v>627</v>
      </c>
      <c r="V212" s="215"/>
      <c r="W212" s="215"/>
      <c r="X212" s="215"/>
      <c r="Y212" s="95" t="str">
        <f t="shared" si="37"/>
        <v/>
      </c>
      <c r="Z212" s="215"/>
      <c r="AA212" s="95" t="str">
        <f t="shared" si="38"/>
        <v/>
      </c>
      <c r="AB212" s="208"/>
      <c r="AC212" s="95" t="str">
        <f t="shared" si="39"/>
        <v/>
      </c>
      <c r="AD212" s="208"/>
      <c r="AE212" s="95" t="str">
        <f t="shared" si="40"/>
        <v/>
      </c>
      <c r="AF212" s="208"/>
      <c r="AG212" s="95" t="str">
        <f t="shared" si="41"/>
        <v/>
      </c>
      <c r="AH212" s="208"/>
      <c r="AI212" s="95" t="str">
        <f t="shared" si="42"/>
        <v/>
      </c>
      <c r="AJ212" s="208"/>
      <c r="AK212" s="27" t="str">
        <f t="shared" si="43"/>
        <v/>
      </c>
      <c r="AL212" s="48" t="str">
        <f t="shared" si="44"/>
        <v/>
      </c>
      <c r="AM212" s="48" t="str">
        <f t="shared" si="45"/>
        <v/>
      </c>
      <c r="AN212" s="293"/>
      <c r="AO212" s="293"/>
      <c r="AP212" s="293"/>
      <c r="AQ212" s="293"/>
      <c r="AR212" s="293"/>
      <c r="AS212" s="293"/>
      <c r="AT212" s="293"/>
      <c r="AU212" s="294" t="str">
        <f>IFERROR(VLOOKUP(AT212,'Seguridad Información'!$I$61:$J$65,2,0),"")</f>
        <v/>
      </c>
      <c r="AV212" s="79"/>
      <c r="AW212" s="78" t="str">
        <f t="shared" si="36"/>
        <v/>
      </c>
      <c r="AX212" s="77" t="str">
        <f t="shared" si="46"/>
        <v/>
      </c>
      <c r="AY212" s="21" t="str">
        <f>IFERROR(VLOOKUP((CONCATENATE(AM212,AX212)),Listados!$U$3:$V$11,2,FALSE),"")</f>
        <v/>
      </c>
      <c r="AZ212" s="48">
        <f t="shared" si="47"/>
        <v>100</v>
      </c>
      <c r="BA212" s="355"/>
      <c r="BB212" s="357"/>
      <c r="BC212" s="173">
        <f>+IF(AND(W212="Preventivo",BB211="Fuerte"),2,IF(AND(W212="Preventivo",BB211="Moderado"),1,0))</f>
        <v>0</v>
      </c>
      <c r="BD212" s="64">
        <f>+IF(AND(W212="Detectivo/Correctivo",$BB211="Fuerte"),2,IF(AND(W212="Detectivo/Correctivo",$BB212="Moderado"),1,IF(AND(W212="Preventivo",$BB211="Fuerte"),1,0)))</f>
        <v>0</v>
      </c>
      <c r="BE212" s="173" t="e">
        <f>+N211-BC212</f>
        <v>#N/A</v>
      </c>
      <c r="BF212" s="173" t="e">
        <f>+P211-BD212</f>
        <v>#N/A</v>
      </c>
      <c r="BG212" s="346"/>
      <c r="BH212" s="346"/>
      <c r="BI212" s="346"/>
      <c r="BJ212" s="538"/>
      <c r="BK212" s="538"/>
      <c r="BL212" s="538"/>
      <c r="BM212" s="538"/>
    </row>
    <row r="213" spans="1:65" ht="65.099999999999994" customHeight="1" thickBot="1">
      <c r="A213" s="329"/>
      <c r="B213" s="514"/>
      <c r="C213" s="364"/>
      <c r="D213" s="233"/>
      <c r="E213" s="233"/>
      <c r="F213" s="433"/>
      <c r="G213" s="367"/>
      <c r="H213" s="100"/>
      <c r="I213" s="237"/>
      <c r="J213" s="100"/>
      <c r="K213" s="236"/>
      <c r="L213" s="222"/>
      <c r="M213" s="370"/>
      <c r="N213" s="349"/>
      <c r="O213" s="352"/>
      <c r="P213" s="349"/>
      <c r="Q213" s="353"/>
      <c r="R213" s="346"/>
      <c r="S213" s="208"/>
      <c r="T213" s="96"/>
      <c r="U213" s="47" t="s">
        <v>627</v>
      </c>
      <c r="V213" s="215"/>
      <c r="W213" s="215"/>
      <c r="X213" s="215"/>
      <c r="Y213" s="95" t="str">
        <f t="shared" si="37"/>
        <v/>
      </c>
      <c r="Z213" s="215"/>
      <c r="AA213" s="95" t="str">
        <f t="shared" si="38"/>
        <v/>
      </c>
      <c r="AB213" s="208"/>
      <c r="AC213" s="95" t="str">
        <f t="shared" si="39"/>
        <v/>
      </c>
      <c r="AD213" s="208"/>
      <c r="AE213" s="95" t="str">
        <f t="shared" si="40"/>
        <v/>
      </c>
      <c r="AF213" s="208"/>
      <c r="AG213" s="95" t="str">
        <f t="shared" si="41"/>
        <v/>
      </c>
      <c r="AH213" s="208"/>
      <c r="AI213" s="95" t="str">
        <f t="shared" si="42"/>
        <v/>
      </c>
      <c r="AJ213" s="208"/>
      <c r="AK213" s="27" t="str">
        <f t="shared" si="43"/>
        <v/>
      </c>
      <c r="AL213" s="48" t="str">
        <f t="shared" si="44"/>
        <v/>
      </c>
      <c r="AM213" s="48" t="str">
        <f t="shared" si="45"/>
        <v/>
      </c>
      <c r="AN213" s="293"/>
      <c r="AO213" s="293"/>
      <c r="AP213" s="293"/>
      <c r="AQ213" s="293"/>
      <c r="AR213" s="293"/>
      <c r="AS213" s="293"/>
      <c r="AT213" s="293"/>
      <c r="AU213" s="294" t="str">
        <f>IFERROR(VLOOKUP(AT213,'Seguridad Información'!$I$61:$J$65,2,0),"")</f>
        <v/>
      </c>
      <c r="AV213" s="79"/>
      <c r="AW213" s="78" t="str">
        <f t="shared" si="36"/>
        <v/>
      </c>
      <c r="AX213" s="77" t="str">
        <f t="shared" si="46"/>
        <v/>
      </c>
      <c r="AY213" s="21" t="str">
        <f>IFERROR(VLOOKUP((CONCATENATE(AM213,AX213)),Listados!$U$3:$V$11,2,FALSE),"")</f>
        <v/>
      </c>
      <c r="AZ213" s="48">
        <f t="shared" si="47"/>
        <v>100</v>
      </c>
      <c r="BA213" s="355"/>
      <c r="BB213" s="357"/>
      <c r="BC213" s="173">
        <f>+IF(AND(W213="Preventivo",BB211="Fuerte"),2,IF(AND(W213="Preventivo",BB211="Moderado"),1,0))</f>
        <v>0</v>
      </c>
      <c r="BD213" s="64">
        <f>+IF(AND(W213="Detectivo/Correctivo",$BB211="Fuerte"),2,IF(AND(W213="Detectivo/Correctivo",$BB213="Moderado"),1,IF(AND(W213="Preventivo",$BB211="Fuerte"),1,0)))</f>
        <v>0</v>
      </c>
      <c r="BE213" s="173" t="e">
        <f>+N211-BC213</f>
        <v>#N/A</v>
      </c>
      <c r="BF213" s="173" t="e">
        <f>+P211-BD213</f>
        <v>#N/A</v>
      </c>
      <c r="BG213" s="346"/>
      <c r="BH213" s="346"/>
      <c r="BI213" s="346"/>
      <c r="BJ213" s="538"/>
      <c r="BK213" s="538"/>
      <c r="BL213" s="538"/>
      <c r="BM213" s="538"/>
    </row>
    <row r="214" spans="1:65" ht="65.099999999999994" customHeight="1" thickBot="1">
      <c r="A214" s="329"/>
      <c r="B214" s="514"/>
      <c r="C214" s="364"/>
      <c r="D214" s="233"/>
      <c r="E214" s="233"/>
      <c r="F214" s="433"/>
      <c r="G214" s="367"/>
      <c r="H214" s="100"/>
      <c r="I214" s="237"/>
      <c r="J214" s="100"/>
      <c r="K214" s="236"/>
      <c r="L214" s="222"/>
      <c r="M214" s="370"/>
      <c r="N214" s="349"/>
      <c r="O214" s="352"/>
      <c r="P214" s="349"/>
      <c r="Q214" s="353"/>
      <c r="R214" s="346"/>
      <c r="S214" s="208"/>
      <c r="T214" s="97"/>
      <c r="U214" s="47" t="s">
        <v>627</v>
      </c>
      <c r="V214" s="215"/>
      <c r="W214" s="215"/>
      <c r="X214" s="215"/>
      <c r="Y214" s="95" t="str">
        <f t="shared" si="37"/>
        <v/>
      </c>
      <c r="Z214" s="215"/>
      <c r="AA214" s="95" t="str">
        <f t="shared" si="38"/>
        <v/>
      </c>
      <c r="AB214" s="208"/>
      <c r="AC214" s="95" t="str">
        <f t="shared" si="39"/>
        <v/>
      </c>
      <c r="AD214" s="208"/>
      <c r="AE214" s="95" t="str">
        <f t="shared" si="40"/>
        <v/>
      </c>
      <c r="AF214" s="208"/>
      <c r="AG214" s="95" t="str">
        <f t="shared" si="41"/>
        <v/>
      </c>
      <c r="AH214" s="208"/>
      <c r="AI214" s="95" t="str">
        <f t="shared" si="42"/>
        <v/>
      </c>
      <c r="AJ214" s="208"/>
      <c r="AK214" s="27" t="str">
        <f t="shared" si="43"/>
        <v/>
      </c>
      <c r="AL214" s="48" t="str">
        <f t="shared" si="44"/>
        <v/>
      </c>
      <c r="AM214" s="48" t="str">
        <f t="shared" si="45"/>
        <v/>
      </c>
      <c r="AN214" s="293"/>
      <c r="AO214" s="293"/>
      <c r="AP214" s="293"/>
      <c r="AQ214" s="293"/>
      <c r="AR214" s="293"/>
      <c r="AS214" s="293"/>
      <c r="AT214" s="293"/>
      <c r="AU214" s="294" t="str">
        <f>IFERROR(VLOOKUP(AT214,'Seguridad Información'!$I$61:$J$65,2,0),"")</f>
        <v/>
      </c>
      <c r="AV214" s="79"/>
      <c r="AW214" s="78" t="str">
        <f t="shared" si="36"/>
        <v/>
      </c>
      <c r="AX214" s="77" t="str">
        <f t="shared" si="46"/>
        <v/>
      </c>
      <c r="AY214" s="21" t="str">
        <f>IFERROR(VLOOKUP((CONCATENATE(AM214,AX214)),Listados!$U$3:$V$11,2,FALSE),"")</f>
        <v/>
      </c>
      <c r="AZ214" s="48">
        <f t="shared" si="47"/>
        <v>100</v>
      </c>
      <c r="BA214" s="355"/>
      <c r="BB214" s="357"/>
      <c r="BC214" s="173">
        <f>+IF(AND(W214="Preventivo",BB211="Fuerte"),2,IF(AND(W214="Preventivo",BB211="Moderado"),1,0))</f>
        <v>0</v>
      </c>
      <c r="BD214" s="64">
        <f>+IF(AND(W214="Detectivo/Correctivo",$BB211="Fuerte"),2,IF(AND(W214="Detectivo/Correctivo",$BB214="Moderado"),1,IF(AND(W214="Preventivo",$BB211="Fuerte"),1,0)))</f>
        <v>0</v>
      </c>
      <c r="BE214" s="173" t="e">
        <f>+N211-BC214</f>
        <v>#N/A</v>
      </c>
      <c r="BF214" s="173" t="e">
        <f>+P211-BD214</f>
        <v>#N/A</v>
      </c>
      <c r="BG214" s="346"/>
      <c r="BH214" s="346"/>
      <c r="BI214" s="346"/>
      <c r="BJ214" s="538"/>
      <c r="BK214" s="538"/>
      <c r="BL214" s="538"/>
      <c r="BM214" s="538"/>
    </row>
    <row r="215" spans="1:65" ht="65.099999999999994" customHeight="1" thickBot="1">
      <c r="A215" s="329"/>
      <c r="B215" s="514"/>
      <c r="C215" s="364"/>
      <c r="D215" s="109"/>
      <c r="E215" s="109"/>
      <c r="F215" s="433"/>
      <c r="G215" s="367"/>
      <c r="H215" s="100"/>
      <c r="I215" s="237"/>
      <c r="J215" s="100"/>
      <c r="K215" s="29"/>
      <c r="L215" s="222"/>
      <c r="M215" s="370"/>
      <c r="N215" s="349"/>
      <c r="O215" s="352"/>
      <c r="P215" s="349"/>
      <c r="Q215" s="353"/>
      <c r="R215" s="346"/>
      <c r="S215" s="208"/>
      <c r="T215" s="195"/>
      <c r="U215" s="47" t="s">
        <v>627</v>
      </c>
      <c r="V215" s="215"/>
      <c r="W215" s="215"/>
      <c r="X215" s="215"/>
      <c r="Y215" s="95" t="str">
        <f t="shared" si="37"/>
        <v/>
      </c>
      <c r="Z215" s="215"/>
      <c r="AA215" s="95" t="str">
        <f t="shared" si="38"/>
        <v/>
      </c>
      <c r="AB215" s="208"/>
      <c r="AC215" s="95" t="str">
        <f t="shared" si="39"/>
        <v/>
      </c>
      <c r="AD215" s="208"/>
      <c r="AE215" s="95" t="str">
        <f t="shared" si="40"/>
        <v/>
      </c>
      <c r="AF215" s="208"/>
      <c r="AG215" s="95" t="str">
        <f t="shared" si="41"/>
        <v/>
      </c>
      <c r="AH215" s="208"/>
      <c r="AI215" s="95" t="str">
        <f t="shared" si="42"/>
        <v/>
      </c>
      <c r="AJ215" s="208"/>
      <c r="AK215" s="27" t="str">
        <f t="shared" si="43"/>
        <v/>
      </c>
      <c r="AL215" s="48" t="str">
        <f t="shared" si="44"/>
        <v/>
      </c>
      <c r="AM215" s="48" t="str">
        <f t="shared" si="45"/>
        <v/>
      </c>
      <c r="AN215" s="293"/>
      <c r="AO215" s="293"/>
      <c r="AP215" s="293"/>
      <c r="AQ215" s="293"/>
      <c r="AR215" s="293"/>
      <c r="AS215" s="293"/>
      <c r="AT215" s="293"/>
      <c r="AU215" s="294" t="str">
        <f>IFERROR(VLOOKUP(AT215,'Seguridad Información'!$I$61:$J$65,2,0),"")</f>
        <v/>
      </c>
      <c r="AV215" s="79"/>
      <c r="AW215" s="78" t="str">
        <f t="shared" si="36"/>
        <v/>
      </c>
      <c r="AX215" s="77" t="str">
        <f t="shared" si="46"/>
        <v/>
      </c>
      <c r="AY215" s="21" t="str">
        <f>IFERROR(VLOOKUP((CONCATENATE(AM215,AX215)),Listados!$U$3:$V$11,2,FALSE),"")</f>
        <v/>
      </c>
      <c r="AZ215" s="48">
        <f t="shared" si="47"/>
        <v>100</v>
      </c>
      <c r="BA215" s="355"/>
      <c r="BB215" s="357"/>
      <c r="BC215" s="173">
        <f>+IF(AND(W215="Preventivo",BB211="Fuerte"),2,IF(AND(W215="Preventivo",BB211="Moderado"),1,0))</f>
        <v>0</v>
      </c>
      <c r="BD215" s="64">
        <f>+IF(AND(W215="Detectivo/Correctivo",$BB211="Fuerte"),2,IF(AND(W215="Detectivo/Correctivo",$BB215="Moderado"),1,IF(AND(W215="Preventivo",$BB211="Fuerte"),1,0)))</f>
        <v>0</v>
      </c>
      <c r="BE215" s="173" t="e">
        <f>+N211-BC215</f>
        <v>#N/A</v>
      </c>
      <c r="BF215" s="173" t="e">
        <f>+P211-BD215</f>
        <v>#N/A</v>
      </c>
      <c r="BG215" s="346"/>
      <c r="BH215" s="346"/>
      <c r="BI215" s="346"/>
      <c r="BJ215" s="538"/>
      <c r="BK215" s="538"/>
      <c r="BL215" s="538"/>
      <c r="BM215" s="538"/>
    </row>
    <row r="216" spans="1:65" ht="65.099999999999994" customHeight="1" thickBot="1">
      <c r="A216" s="330"/>
      <c r="B216" s="514"/>
      <c r="C216" s="365"/>
      <c r="D216" s="106"/>
      <c r="E216" s="106"/>
      <c r="F216" s="434"/>
      <c r="G216" s="368"/>
      <c r="H216" s="100"/>
      <c r="I216" s="237"/>
      <c r="J216" s="100"/>
      <c r="K216" s="31"/>
      <c r="L216" s="222"/>
      <c r="M216" s="370"/>
      <c r="N216" s="350"/>
      <c r="O216" s="352"/>
      <c r="P216" s="350"/>
      <c r="Q216" s="353"/>
      <c r="R216" s="347"/>
      <c r="S216" s="208"/>
      <c r="T216" s="98"/>
      <c r="U216" s="47" t="s">
        <v>627</v>
      </c>
      <c r="V216" s="215"/>
      <c r="W216" s="215"/>
      <c r="X216" s="215"/>
      <c r="Y216" s="95" t="str">
        <f t="shared" si="37"/>
        <v/>
      </c>
      <c r="Z216" s="215"/>
      <c r="AA216" s="95" t="str">
        <f t="shared" si="38"/>
        <v/>
      </c>
      <c r="AB216" s="208"/>
      <c r="AC216" s="95" t="str">
        <f t="shared" si="39"/>
        <v/>
      </c>
      <c r="AD216" s="208"/>
      <c r="AE216" s="95" t="str">
        <f t="shared" si="40"/>
        <v/>
      </c>
      <c r="AF216" s="208"/>
      <c r="AG216" s="95" t="str">
        <f t="shared" si="41"/>
        <v/>
      </c>
      <c r="AH216" s="208"/>
      <c r="AI216" s="95" t="str">
        <f t="shared" si="42"/>
        <v/>
      </c>
      <c r="AJ216" s="208"/>
      <c r="AK216" s="27" t="str">
        <f t="shared" si="43"/>
        <v/>
      </c>
      <c r="AL216" s="48" t="str">
        <f t="shared" si="44"/>
        <v/>
      </c>
      <c r="AM216" s="48" t="str">
        <f t="shared" si="45"/>
        <v/>
      </c>
      <c r="AN216" s="293"/>
      <c r="AO216" s="293"/>
      <c r="AP216" s="293"/>
      <c r="AQ216" s="293"/>
      <c r="AR216" s="293"/>
      <c r="AS216" s="293"/>
      <c r="AT216" s="293"/>
      <c r="AU216" s="294" t="str">
        <f>IFERROR(VLOOKUP(AT216,'Seguridad Información'!$I$61:$J$65,2,0),"")</f>
        <v/>
      </c>
      <c r="AV216" s="79"/>
      <c r="AW216" s="78" t="str">
        <f t="shared" si="36"/>
        <v/>
      </c>
      <c r="AX216" s="77" t="str">
        <f t="shared" si="46"/>
        <v/>
      </c>
      <c r="AY216" s="21" t="str">
        <f>IFERROR(VLOOKUP((CONCATENATE(AM216,AX216)),Listados!$U$3:$V$11,2,FALSE),"")</f>
        <v/>
      </c>
      <c r="AZ216" s="48">
        <f t="shared" si="47"/>
        <v>100</v>
      </c>
      <c r="BA216" s="356"/>
      <c r="BB216" s="357"/>
      <c r="BC216" s="173">
        <f>+IF(AND(W216="Preventivo",BB211="Fuerte"),2,IF(AND(W216="Preventivo",BB211="Moderado"),1,0))</f>
        <v>0</v>
      </c>
      <c r="BD216" s="64">
        <f>+IF(AND(W216="Detectivo/Correctivo",$BB211="Fuerte"),2,IF(AND(W216="Detectivo/Correctivo",$BB216="Moderado"),1,IF(AND(W216="Preventivo",$BB211="Fuerte"),1,0)))</f>
        <v>0</v>
      </c>
      <c r="BE216" s="173" t="e">
        <f>+N211-BC216</f>
        <v>#N/A</v>
      </c>
      <c r="BF216" s="173" t="e">
        <f>+P211-BD216</f>
        <v>#N/A</v>
      </c>
      <c r="BG216" s="347"/>
      <c r="BH216" s="347"/>
      <c r="BI216" s="347"/>
      <c r="BJ216" s="539"/>
      <c r="BK216" s="539"/>
      <c r="BL216" s="539"/>
      <c r="BM216" s="539"/>
    </row>
    <row r="217" spans="1:65" ht="65.099999999999994" customHeight="1" thickBot="1">
      <c r="A217" s="328">
        <v>36</v>
      </c>
      <c r="B217" s="519"/>
      <c r="C217" s="371" t="str">
        <f>IFERROR(VLOOKUP(B217,Listados!B$3:C$20,2,FALSE),"")</f>
        <v/>
      </c>
      <c r="D217" s="107"/>
      <c r="E217" s="107"/>
      <c r="F217" s="432"/>
      <c r="G217" s="372"/>
      <c r="H217" s="100"/>
      <c r="I217" s="237"/>
      <c r="J217" s="100"/>
      <c r="K217" s="103"/>
      <c r="L217" s="17"/>
      <c r="M217" s="369"/>
      <c r="N217" s="348" t="e">
        <f>+VLOOKUP(M217,Listados!$K$8:$L$12,2,0)</f>
        <v>#N/A</v>
      </c>
      <c r="O217" s="351"/>
      <c r="P217" s="348" t="e">
        <f>+VLOOKUP(O217,Listados!$K$13:$L$17,2,0)</f>
        <v>#N/A</v>
      </c>
      <c r="Q217" s="347" t="str">
        <f>IF(AND(M217&lt;&gt;"",O217&lt;&gt;""),VLOOKUP(M217&amp;O217,Listados!$M$3:$N$27,2,FALSE),"")</f>
        <v/>
      </c>
      <c r="R217" s="345" t="e">
        <f>+VLOOKUP(Q217,Listados!$P$3:$Q$6,2,FALSE)</f>
        <v>#N/A</v>
      </c>
      <c r="S217" s="208"/>
      <c r="T217" s="94"/>
      <c r="U217" s="47" t="s">
        <v>627</v>
      </c>
      <c r="V217" s="215"/>
      <c r="W217" s="215"/>
      <c r="X217" s="215"/>
      <c r="Y217" s="95" t="str">
        <f t="shared" si="37"/>
        <v/>
      </c>
      <c r="Z217" s="215"/>
      <c r="AA217" s="95" t="str">
        <f t="shared" si="38"/>
        <v/>
      </c>
      <c r="AB217" s="208"/>
      <c r="AC217" s="95" t="str">
        <f t="shared" si="39"/>
        <v/>
      </c>
      <c r="AD217" s="208"/>
      <c r="AE217" s="95" t="str">
        <f t="shared" si="40"/>
        <v/>
      </c>
      <c r="AF217" s="208"/>
      <c r="AG217" s="95" t="str">
        <f t="shared" si="41"/>
        <v/>
      </c>
      <c r="AH217" s="208"/>
      <c r="AI217" s="95" t="str">
        <f t="shared" si="42"/>
        <v/>
      </c>
      <c r="AJ217" s="208"/>
      <c r="AK217" s="27" t="str">
        <f t="shared" si="43"/>
        <v/>
      </c>
      <c r="AL217" s="48" t="str">
        <f t="shared" si="44"/>
        <v/>
      </c>
      <c r="AM217" s="48" t="str">
        <f t="shared" si="45"/>
        <v/>
      </c>
      <c r="AN217" s="293"/>
      <c r="AO217" s="293"/>
      <c r="AP217" s="293"/>
      <c r="AQ217" s="293"/>
      <c r="AR217" s="293"/>
      <c r="AS217" s="293"/>
      <c r="AT217" s="293"/>
      <c r="AU217" s="294" t="str">
        <f>IFERROR(VLOOKUP(AT217,'Seguridad Información'!$I$61:$J$65,2,0),"")</f>
        <v/>
      </c>
      <c r="AV217" s="79"/>
      <c r="AW217" s="78" t="str">
        <f t="shared" si="36"/>
        <v/>
      </c>
      <c r="AX217" s="77" t="str">
        <f t="shared" si="46"/>
        <v/>
      </c>
      <c r="AY217" s="21" t="str">
        <f>IFERROR(VLOOKUP((CONCATENATE(AM217,AX217)),Listados!$U$3:$V$11,2,FALSE),"")</f>
        <v/>
      </c>
      <c r="AZ217" s="48">
        <f t="shared" si="47"/>
        <v>100</v>
      </c>
      <c r="BA217" s="354">
        <f>AVERAGE(AZ217:AZ222)</f>
        <v>100</v>
      </c>
      <c r="BB217" s="356" t="str">
        <f>IF(BA217&lt;=50, "Débil", IF(BA217&lt;=99,"Moderado","Fuerte"))</f>
        <v>Fuerte</v>
      </c>
      <c r="BC217" s="173">
        <f>+IF(AND(W217="Preventivo",BB217="Fuerte"),2,IF(AND(W217="Preventivo",BB217="Moderado"),1,0))</f>
        <v>0</v>
      </c>
      <c r="BD217" s="64">
        <f>+IF(AND(W217="Detectivo/Correctivo",$BB217="Fuerte"),2,IF(AND(W217="Detectivo/Correctivo",$BB217="Moderado"),1,IF(AND(W217="Preventivo",$BB217="Fuerte"),1,0)))</f>
        <v>0</v>
      </c>
      <c r="BE217" s="173" t="e">
        <f>+N217-BC217</f>
        <v>#N/A</v>
      </c>
      <c r="BF217" s="173" t="e">
        <f>+P217-BD217</f>
        <v>#N/A</v>
      </c>
      <c r="BG217" s="345" t="e">
        <f>+VLOOKUP(MIN(BE217,BE218,BE219,BE220,BE221,BE222),Listados!$J$18:$K$24,2,TRUE)</f>
        <v>#N/A</v>
      </c>
      <c r="BH217" s="345" t="e">
        <f>+VLOOKUP(MIN(BF217,BF218,BF219,BF220,BF221,BF222),Listados!$J$27:$K$32,2,TRUE)</f>
        <v>#N/A</v>
      </c>
      <c r="BI217" s="345" t="e">
        <f>IF(AND(BG217&lt;&gt;"",BH217&lt;&gt;""),VLOOKUP(BG217&amp;BH217,Listados!$M$3:$N$27,2,FALSE),"")</f>
        <v>#N/A</v>
      </c>
      <c r="BJ217" s="537" t="e">
        <f>+IF($R217="Asumir el riesgo","NA","")</f>
        <v>#N/A</v>
      </c>
      <c r="BK217" s="537" t="e">
        <f>+IF($R217="Asumir el riesgo","NA","")</f>
        <v>#N/A</v>
      </c>
      <c r="BL217" s="537" t="e">
        <f>+IF($R217="Asumir el riesgo","NA","")</f>
        <v>#N/A</v>
      </c>
      <c r="BM217" s="537" t="e">
        <f>+IF($R217="Asumir el riesgo","NA","")</f>
        <v>#N/A</v>
      </c>
    </row>
    <row r="218" spans="1:65" ht="65.099999999999994" customHeight="1" thickBot="1">
      <c r="A218" s="329"/>
      <c r="B218" s="514"/>
      <c r="C218" s="364"/>
      <c r="D218" s="233"/>
      <c r="E218" s="233"/>
      <c r="F218" s="433"/>
      <c r="G218" s="367"/>
      <c r="H218" s="100"/>
      <c r="I218" s="237"/>
      <c r="J218" s="100"/>
      <c r="K218" s="236"/>
      <c r="L218" s="222"/>
      <c r="M218" s="370"/>
      <c r="N218" s="349"/>
      <c r="O218" s="352"/>
      <c r="P218" s="349"/>
      <c r="Q218" s="353"/>
      <c r="R218" s="346"/>
      <c r="S218" s="208"/>
      <c r="T218" s="195"/>
      <c r="U218" s="47" t="s">
        <v>627</v>
      </c>
      <c r="V218" s="215"/>
      <c r="W218" s="215"/>
      <c r="X218" s="215"/>
      <c r="Y218" s="95" t="str">
        <f t="shared" si="37"/>
        <v/>
      </c>
      <c r="Z218" s="215"/>
      <c r="AA218" s="95" t="str">
        <f t="shared" si="38"/>
        <v/>
      </c>
      <c r="AB218" s="208"/>
      <c r="AC218" s="95" t="str">
        <f t="shared" si="39"/>
        <v/>
      </c>
      <c r="AD218" s="208"/>
      <c r="AE218" s="95" t="str">
        <f t="shared" si="40"/>
        <v/>
      </c>
      <c r="AF218" s="208"/>
      <c r="AG218" s="95" t="str">
        <f t="shared" si="41"/>
        <v/>
      </c>
      <c r="AH218" s="208"/>
      <c r="AI218" s="95" t="str">
        <f t="shared" si="42"/>
        <v/>
      </c>
      <c r="AJ218" s="208"/>
      <c r="AK218" s="27" t="str">
        <f t="shared" si="43"/>
        <v/>
      </c>
      <c r="AL218" s="48" t="str">
        <f t="shared" si="44"/>
        <v/>
      </c>
      <c r="AM218" s="48" t="str">
        <f t="shared" si="45"/>
        <v/>
      </c>
      <c r="AN218" s="293"/>
      <c r="AO218" s="293"/>
      <c r="AP218" s="293"/>
      <c r="AQ218" s="293"/>
      <c r="AR218" s="293"/>
      <c r="AS218" s="293"/>
      <c r="AT218" s="293"/>
      <c r="AU218" s="294" t="str">
        <f>IFERROR(VLOOKUP(AT218,'Seguridad Información'!$I$61:$J$65,2,0),"")</f>
        <v/>
      </c>
      <c r="AV218" s="79"/>
      <c r="AW218" s="78" t="str">
        <f t="shared" si="36"/>
        <v/>
      </c>
      <c r="AX218" s="77" t="str">
        <f t="shared" si="46"/>
        <v/>
      </c>
      <c r="AY218" s="21" t="str">
        <f>IFERROR(VLOOKUP((CONCATENATE(AM218,AX218)),Listados!$U$3:$V$11,2,FALSE),"")</f>
        <v/>
      </c>
      <c r="AZ218" s="48">
        <f t="shared" si="47"/>
        <v>100</v>
      </c>
      <c r="BA218" s="355"/>
      <c r="BB218" s="357"/>
      <c r="BC218" s="173">
        <f>+IF(AND(W218="Preventivo",BB217="Fuerte"),2,IF(AND(W218="Preventivo",BB217="Moderado"),1,0))</f>
        <v>0</v>
      </c>
      <c r="BD218" s="64">
        <f>+IF(AND(W218="Detectivo/Correctivo",$BB217="Fuerte"),2,IF(AND(W218="Detectivo/Correctivo",$BB218="Moderado"),1,IF(AND(W218="Preventivo",$BB217="Fuerte"),1,0)))</f>
        <v>0</v>
      </c>
      <c r="BE218" s="173" t="e">
        <f>+N217-BC218</f>
        <v>#N/A</v>
      </c>
      <c r="BF218" s="173" t="e">
        <f>+P217-BD218</f>
        <v>#N/A</v>
      </c>
      <c r="BG218" s="346"/>
      <c r="BH218" s="346"/>
      <c r="BI218" s="346"/>
      <c r="BJ218" s="538"/>
      <c r="BK218" s="538"/>
      <c r="BL218" s="538"/>
      <c r="BM218" s="538"/>
    </row>
    <row r="219" spans="1:65" ht="65.099999999999994" customHeight="1" thickBot="1">
      <c r="A219" s="329"/>
      <c r="B219" s="514"/>
      <c r="C219" s="364"/>
      <c r="D219" s="233"/>
      <c r="E219" s="233"/>
      <c r="F219" s="433"/>
      <c r="G219" s="367"/>
      <c r="H219" s="100"/>
      <c r="I219" s="237"/>
      <c r="J219" s="100"/>
      <c r="K219" s="236"/>
      <c r="L219" s="222"/>
      <c r="M219" s="370"/>
      <c r="N219" s="349"/>
      <c r="O219" s="352"/>
      <c r="P219" s="349"/>
      <c r="Q219" s="353"/>
      <c r="R219" s="346"/>
      <c r="S219" s="208"/>
      <c r="T219" s="96"/>
      <c r="U219" s="47" t="s">
        <v>627</v>
      </c>
      <c r="V219" s="215"/>
      <c r="W219" s="215"/>
      <c r="X219" s="215"/>
      <c r="Y219" s="95" t="str">
        <f t="shared" si="37"/>
        <v/>
      </c>
      <c r="Z219" s="215"/>
      <c r="AA219" s="95" t="str">
        <f t="shared" si="38"/>
        <v/>
      </c>
      <c r="AB219" s="208"/>
      <c r="AC219" s="95" t="str">
        <f t="shared" si="39"/>
        <v/>
      </c>
      <c r="AD219" s="208"/>
      <c r="AE219" s="95" t="str">
        <f t="shared" si="40"/>
        <v/>
      </c>
      <c r="AF219" s="208"/>
      <c r="AG219" s="95" t="str">
        <f t="shared" si="41"/>
        <v/>
      </c>
      <c r="AH219" s="208"/>
      <c r="AI219" s="95" t="str">
        <f t="shared" si="42"/>
        <v/>
      </c>
      <c r="AJ219" s="208"/>
      <c r="AK219" s="27" t="str">
        <f t="shared" si="43"/>
        <v/>
      </c>
      <c r="AL219" s="48" t="str">
        <f t="shared" si="44"/>
        <v/>
      </c>
      <c r="AM219" s="48" t="str">
        <f t="shared" si="45"/>
        <v/>
      </c>
      <c r="AN219" s="293"/>
      <c r="AO219" s="293"/>
      <c r="AP219" s="293"/>
      <c r="AQ219" s="293"/>
      <c r="AR219" s="293"/>
      <c r="AS219" s="293"/>
      <c r="AT219" s="293"/>
      <c r="AU219" s="294" t="str">
        <f>IFERROR(VLOOKUP(AT219,'Seguridad Información'!$I$61:$J$65,2,0),"")</f>
        <v/>
      </c>
      <c r="AV219" s="79"/>
      <c r="AW219" s="78" t="str">
        <f t="shared" si="36"/>
        <v/>
      </c>
      <c r="AX219" s="77" t="str">
        <f t="shared" si="46"/>
        <v/>
      </c>
      <c r="AY219" s="21" t="str">
        <f>IFERROR(VLOOKUP((CONCATENATE(AM219,AX219)),Listados!$U$3:$V$11,2,FALSE),"")</f>
        <v/>
      </c>
      <c r="AZ219" s="48">
        <f t="shared" si="47"/>
        <v>100</v>
      </c>
      <c r="BA219" s="355"/>
      <c r="BB219" s="357"/>
      <c r="BC219" s="173">
        <f>+IF(AND(W219="Preventivo",BB217="Fuerte"),2,IF(AND(W219="Preventivo",BB217="Moderado"),1,0))</f>
        <v>0</v>
      </c>
      <c r="BD219" s="64">
        <f>+IF(AND(W219="Detectivo/Correctivo",$BB217="Fuerte"),2,IF(AND(W219="Detectivo/Correctivo",$BB219="Moderado"),1,IF(AND(W219="Preventivo",$BB217="Fuerte"),1,0)))</f>
        <v>0</v>
      </c>
      <c r="BE219" s="173" t="e">
        <f>+N217-BC219</f>
        <v>#N/A</v>
      </c>
      <c r="BF219" s="173" t="e">
        <f>+P217-BD219</f>
        <v>#N/A</v>
      </c>
      <c r="BG219" s="346"/>
      <c r="BH219" s="346"/>
      <c r="BI219" s="346"/>
      <c r="BJ219" s="538"/>
      <c r="BK219" s="538"/>
      <c r="BL219" s="538"/>
      <c r="BM219" s="538"/>
    </row>
    <row r="220" spans="1:65" ht="65.099999999999994" customHeight="1" thickBot="1">
      <c r="A220" s="329"/>
      <c r="B220" s="514"/>
      <c r="C220" s="364"/>
      <c r="D220" s="233"/>
      <c r="E220" s="233"/>
      <c r="F220" s="433"/>
      <c r="G220" s="367"/>
      <c r="H220" s="100"/>
      <c r="I220" s="237"/>
      <c r="J220" s="100"/>
      <c r="K220" s="236"/>
      <c r="L220" s="222"/>
      <c r="M220" s="370"/>
      <c r="N220" s="349"/>
      <c r="O220" s="352"/>
      <c r="P220" s="349"/>
      <c r="Q220" s="353"/>
      <c r="R220" s="346"/>
      <c r="S220" s="208"/>
      <c r="T220" s="97"/>
      <c r="U220" s="47" t="s">
        <v>627</v>
      </c>
      <c r="V220" s="215"/>
      <c r="W220" s="215"/>
      <c r="X220" s="215"/>
      <c r="Y220" s="95" t="str">
        <f t="shared" si="37"/>
        <v/>
      </c>
      <c r="Z220" s="215"/>
      <c r="AA220" s="95" t="str">
        <f t="shared" si="38"/>
        <v/>
      </c>
      <c r="AB220" s="208"/>
      <c r="AC220" s="95" t="str">
        <f t="shared" si="39"/>
        <v/>
      </c>
      <c r="AD220" s="208"/>
      <c r="AE220" s="95" t="str">
        <f t="shared" si="40"/>
        <v/>
      </c>
      <c r="AF220" s="208"/>
      <c r="AG220" s="95" t="str">
        <f t="shared" si="41"/>
        <v/>
      </c>
      <c r="AH220" s="208"/>
      <c r="AI220" s="95" t="str">
        <f t="shared" si="42"/>
        <v/>
      </c>
      <c r="AJ220" s="208"/>
      <c r="AK220" s="27" t="str">
        <f t="shared" si="43"/>
        <v/>
      </c>
      <c r="AL220" s="48" t="str">
        <f t="shared" si="44"/>
        <v/>
      </c>
      <c r="AM220" s="48" t="str">
        <f t="shared" si="45"/>
        <v/>
      </c>
      <c r="AN220" s="293"/>
      <c r="AO220" s="293"/>
      <c r="AP220" s="293"/>
      <c r="AQ220" s="293"/>
      <c r="AR220" s="293"/>
      <c r="AS220" s="293"/>
      <c r="AT220" s="293"/>
      <c r="AU220" s="294" t="str">
        <f>IFERROR(VLOOKUP(AT220,'Seguridad Información'!$I$61:$J$65,2,0),"")</f>
        <v/>
      </c>
      <c r="AV220" s="79"/>
      <c r="AW220" s="78" t="str">
        <f t="shared" si="36"/>
        <v/>
      </c>
      <c r="AX220" s="77" t="str">
        <f t="shared" si="46"/>
        <v/>
      </c>
      <c r="AY220" s="21" t="str">
        <f>IFERROR(VLOOKUP((CONCATENATE(AM220,AX220)),Listados!$U$3:$V$11,2,FALSE),"")</f>
        <v/>
      </c>
      <c r="AZ220" s="48">
        <f t="shared" si="47"/>
        <v>100</v>
      </c>
      <c r="BA220" s="355"/>
      <c r="BB220" s="357"/>
      <c r="BC220" s="173">
        <f>+IF(AND(W220="Preventivo",BB217="Fuerte"),2,IF(AND(W220="Preventivo",BB217="Moderado"),1,0))</f>
        <v>0</v>
      </c>
      <c r="BD220" s="64">
        <f>+IF(AND(W220="Detectivo/Correctivo",$BB217="Fuerte"),2,IF(AND(W220="Detectivo/Correctivo",$BB220="Moderado"),1,IF(AND(W220="Preventivo",$BB217="Fuerte"),1,0)))</f>
        <v>0</v>
      </c>
      <c r="BE220" s="173" t="e">
        <f>+N217-BC220</f>
        <v>#N/A</v>
      </c>
      <c r="BF220" s="173" t="e">
        <f>+P217-BD220</f>
        <v>#N/A</v>
      </c>
      <c r="BG220" s="346"/>
      <c r="BH220" s="346"/>
      <c r="BI220" s="346"/>
      <c r="BJ220" s="538"/>
      <c r="BK220" s="538"/>
      <c r="BL220" s="538"/>
      <c r="BM220" s="538"/>
    </row>
    <row r="221" spans="1:65" ht="65.099999999999994" customHeight="1" thickBot="1">
      <c r="A221" s="329"/>
      <c r="B221" s="514"/>
      <c r="C221" s="364"/>
      <c r="D221" s="109"/>
      <c r="E221" s="109"/>
      <c r="F221" s="433"/>
      <c r="G221" s="367"/>
      <c r="H221" s="100"/>
      <c r="I221" s="237"/>
      <c r="J221" s="100"/>
      <c r="K221" s="29"/>
      <c r="L221" s="222"/>
      <c r="M221" s="370"/>
      <c r="N221" s="349"/>
      <c r="O221" s="352"/>
      <c r="P221" s="349"/>
      <c r="Q221" s="353"/>
      <c r="R221" s="346"/>
      <c r="S221" s="208"/>
      <c r="T221" s="195"/>
      <c r="U221" s="47" t="s">
        <v>627</v>
      </c>
      <c r="V221" s="215"/>
      <c r="W221" s="215"/>
      <c r="X221" s="215"/>
      <c r="Y221" s="95" t="str">
        <f t="shared" si="37"/>
        <v/>
      </c>
      <c r="Z221" s="215"/>
      <c r="AA221" s="95" t="str">
        <f t="shared" si="38"/>
        <v/>
      </c>
      <c r="AB221" s="208"/>
      <c r="AC221" s="95" t="str">
        <f t="shared" si="39"/>
        <v/>
      </c>
      <c r="AD221" s="208"/>
      <c r="AE221" s="95" t="str">
        <f t="shared" si="40"/>
        <v/>
      </c>
      <c r="AF221" s="208"/>
      <c r="AG221" s="95" t="str">
        <f t="shared" si="41"/>
        <v/>
      </c>
      <c r="AH221" s="208"/>
      <c r="AI221" s="95" t="str">
        <f t="shared" si="42"/>
        <v/>
      </c>
      <c r="AJ221" s="208"/>
      <c r="AK221" s="27" t="str">
        <f t="shared" si="43"/>
        <v/>
      </c>
      <c r="AL221" s="48" t="str">
        <f t="shared" si="44"/>
        <v/>
      </c>
      <c r="AM221" s="48" t="str">
        <f t="shared" si="45"/>
        <v/>
      </c>
      <c r="AN221" s="293"/>
      <c r="AO221" s="293"/>
      <c r="AP221" s="293"/>
      <c r="AQ221" s="293"/>
      <c r="AR221" s="293"/>
      <c r="AS221" s="293"/>
      <c r="AT221" s="293"/>
      <c r="AU221" s="294" t="str">
        <f>IFERROR(VLOOKUP(AT221,'Seguridad Información'!$I$61:$J$65,2,0),"")</f>
        <v/>
      </c>
      <c r="AV221" s="79"/>
      <c r="AW221" s="78" t="str">
        <f t="shared" si="36"/>
        <v/>
      </c>
      <c r="AX221" s="77" t="str">
        <f t="shared" si="46"/>
        <v/>
      </c>
      <c r="AY221" s="21" t="str">
        <f>IFERROR(VLOOKUP((CONCATENATE(AM221,AX221)),Listados!$U$3:$V$11,2,FALSE),"")</f>
        <v/>
      </c>
      <c r="AZ221" s="48">
        <f t="shared" si="47"/>
        <v>100</v>
      </c>
      <c r="BA221" s="355"/>
      <c r="BB221" s="357"/>
      <c r="BC221" s="173">
        <f>+IF(AND(W221="Preventivo",BB217="Fuerte"),2,IF(AND(W221="Preventivo",BB217="Moderado"),1,0))</f>
        <v>0</v>
      </c>
      <c r="BD221" s="64">
        <f>+IF(AND(W221="Detectivo/Correctivo",$BB217="Fuerte"),2,IF(AND(W221="Detectivo/Correctivo",$BB221="Moderado"),1,IF(AND(W221="Preventivo",$BB217="Fuerte"),1,0)))</f>
        <v>0</v>
      </c>
      <c r="BE221" s="173" t="e">
        <f>+N217-BC221</f>
        <v>#N/A</v>
      </c>
      <c r="BF221" s="173" t="e">
        <f>+P217-BD221</f>
        <v>#N/A</v>
      </c>
      <c r="BG221" s="346"/>
      <c r="BH221" s="346"/>
      <c r="BI221" s="346"/>
      <c r="BJ221" s="538"/>
      <c r="BK221" s="538"/>
      <c r="BL221" s="538"/>
      <c r="BM221" s="538"/>
    </row>
    <row r="222" spans="1:65" ht="65.099999999999994" customHeight="1" thickBot="1">
      <c r="A222" s="330"/>
      <c r="B222" s="514"/>
      <c r="C222" s="365"/>
      <c r="D222" s="106"/>
      <c r="E222" s="106"/>
      <c r="F222" s="434"/>
      <c r="G222" s="368"/>
      <c r="H222" s="100"/>
      <c r="I222" s="237"/>
      <c r="J222" s="100"/>
      <c r="K222" s="31"/>
      <c r="L222" s="222"/>
      <c r="M222" s="370"/>
      <c r="N222" s="350"/>
      <c r="O222" s="352"/>
      <c r="P222" s="350"/>
      <c r="Q222" s="353"/>
      <c r="R222" s="347"/>
      <c r="S222" s="208"/>
      <c r="T222" s="98"/>
      <c r="U222" s="47" t="s">
        <v>627</v>
      </c>
      <c r="V222" s="215"/>
      <c r="W222" s="215"/>
      <c r="X222" s="215"/>
      <c r="Y222" s="95" t="str">
        <f t="shared" si="37"/>
        <v/>
      </c>
      <c r="Z222" s="215"/>
      <c r="AA222" s="95" t="str">
        <f t="shared" si="38"/>
        <v/>
      </c>
      <c r="AB222" s="208"/>
      <c r="AC222" s="95" t="str">
        <f t="shared" si="39"/>
        <v/>
      </c>
      <c r="AD222" s="208"/>
      <c r="AE222" s="95" t="str">
        <f t="shared" si="40"/>
        <v/>
      </c>
      <c r="AF222" s="208"/>
      <c r="AG222" s="95" t="str">
        <f t="shared" si="41"/>
        <v/>
      </c>
      <c r="AH222" s="208"/>
      <c r="AI222" s="95" t="str">
        <f t="shared" si="42"/>
        <v/>
      </c>
      <c r="AJ222" s="208"/>
      <c r="AK222" s="27" t="str">
        <f t="shared" si="43"/>
        <v/>
      </c>
      <c r="AL222" s="48" t="str">
        <f t="shared" si="44"/>
        <v/>
      </c>
      <c r="AM222" s="48" t="str">
        <f t="shared" si="45"/>
        <v/>
      </c>
      <c r="AN222" s="293"/>
      <c r="AO222" s="293"/>
      <c r="AP222" s="293"/>
      <c r="AQ222" s="293"/>
      <c r="AR222" s="293"/>
      <c r="AS222" s="293"/>
      <c r="AT222" s="293"/>
      <c r="AU222" s="294" t="str">
        <f>IFERROR(VLOOKUP(AT222,'Seguridad Información'!$I$61:$J$65,2,0),"")</f>
        <v/>
      </c>
      <c r="AV222" s="79"/>
      <c r="AW222" s="78" t="str">
        <f t="shared" si="36"/>
        <v/>
      </c>
      <c r="AX222" s="77" t="str">
        <f t="shared" si="46"/>
        <v/>
      </c>
      <c r="AY222" s="21" t="str">
        <f>IFERROR(VLOOKUP((CONCATENATE(AM222,AX222)),Listados!$U$3:$V$11,2,FALSE),"")</f>
        <v/>
      </c>
      <c r="AZ222" s="48">
        <f t="shared" si="47"/>
        <v>100</v>
      </c>
      <c r="BA222" s="356"/>
      <c r="BB222" s="357"/>
      <c r="BC222" s="173">
        <f>+IF(AND(W222="Preventivo",BB217="Fuerte"),2,IF(AND(W222="Preventivo",BB217="Moderado"),1,0))</f>
        <v>0</v>
      </c>
      <c r="BD222" s="64">
        <f>+IF(AND(W222="Detectivo/Correctivo",$BB217="Fuerte"),2,IF(AND(W222="Detectivo/Correctivo",$BB222="Moderado"),1,IF(AND(W222="Preventivo",$BB217="Fuerte"),1,0)))</f>
        <v>0</v>
      </c>
      <c r="BE222" s="173" t="e">
        <f>+N217-BC222</f>
        <v>#N/A</v>
      </c>
      <c r="BF222" s="173" t="e">
        <f>+P217-BD222</f>
        <v>#N/A</v>
      </c>
      <c r="BG222" s="347"/>
      <c r="BH222" s="347"/>
      <c r="BI222" s="347"/>
      <c r="BJ222" s="539"/>
      <c r="BK222" s="539"/>
      <c r="BL222" s="539"/>
      <c r="BM222" s="539"/>
    </row>
    <row r="223" spans="1:65" ht="65.099999999999994" customHeight="1" thickBot="1">
      <c r="A223" s="328">
        <v>37</v>
      </c>
      <c r="B223" s="519"/>
      <c r="C223" s="371" t="str">
        <f>IFERROR(VLOOKUP(B223,Listados!B$3:C$20,2,FALSE),"")</f>
        <v/>
      </c>
      <c r="D223" s="107"/>
      <c r="E223" s="107"/>
      <c r="F223" s="432"/>
      <c r="G223" s="372"/>
      <c r="H223" s="100"/>
      <c r="I223" s="237"/>
      <c r="J223" s="100"/>
      <c r="K223" s="103"/>
      <c r="L223" s="17"/>
      <c r="M223" s="369"/>
      <c r="N223" s="348" t="e">
        <f>+VLOOKUP(M223,Listados!$K$8:$L$12,2,0)</f>
        <v>#N/A</v>
      </c>
      <c r="O223" s="351"/>
      <c r="P223" s="348" t="e">
        <f>+VLOOKUP(O223,Listados!$K$13:$L$17,2,0)</f>
        <v>#N/A</v>
      </c>
      <c r="Q223" s="347" t="str">
        <f>IF(AND(M223&lt;&gt;"",O223&lt;&gt;""),VLOOKUP(M223&amp;O223,Listados!$M$3:$N$27,2,FALSE),"")</f>
        <v/>
      </c>
      <c r="R223" s="345" t="e">
        <f>+VLOOKUP(Q223,Listados!$P$3:$Q$6,2,FALSE)</f>
        <v>#N/A</v>
      </c>
      <c r="S223" s="208"/>
      <c r="T223" s="94"/>
      <c r="U223" s="47" t="s">
        <v>627</v>
      </c>
      <c r="V223" s="215"/>
      <c r="W223" s="215"/>
      <c r="X223" s="215"/>
      <c r="Y223" s="95" t="str">
        <f t="shared" si="37"/>
        <v/>
      </c>
      <c r="Z223" s="215"/>
      <c r="AA223" s="95" t="str">
        <f t="shared" si="38"/>
        <v/>
      </c>
      <c r="AB223" s="208"/>
      <c r="AC223" s="95" t="str">
        <f t="shared" si="39"/>
        <v/>
      </c>
      <c r="AD223" s="208"/>
      <c r="AE223" s="95" t="str">
        <f t="shared" si="40"/>
        <v/>
      </c>
      <c r="AF223" s="208"/>
      <c r="AG223" s="95" t="str">
        <f t="shared" si="41"/>
        <v/>
      </c>
      <c r="AH223" s="208"/>
      <c r="AI223" s="95" t="str">
        <f t="shared" si="42"/>
        <v/>
      </c>
      <c r="AJ223" s="208"/>
      <c r="AK223" s="27" t="str">
        <f t="shared" si="43"/>
        <v/>
      </c>
      <c r="AL223" s="48" t="str">
        <f t="shared" si="44"/>
        <v/>
      </c>
      <c r="AM223" s="48" t="str">
        <f t="shared" si="45"/>
        <v/>
      </c>
      <c r="AN223" s="293"/>
      <c r="AO223" s="293"/>
      <c r="AP223" s="293"/>
      <c r="AQ223" s="293"/>
      <c r="AR223" s="293"/>
      <c r="AS223" s="293"/>
      <c r="AT223" s="293"/>
      <c r="AU223" s="294" t="str">
        <f>IFERROR(VLOOKUP(AT223,'Seguridad Información'!$I$61:$J$65,2,0),"")</f>
        <v/>
      </c>
      <c r="AV223" s="79"/>
      <c r="AW223" s="78" t="str">
        <f t="shared" si="36"/>
        <v/>
      </c>
      <c r="AX223" s="77" t="str">
        <f t="shared" si="46"/>
        <v/>
      </c>
      <c r="AY223" s="21" t="str">
        <f>IFERROR(VLOOKUP((CONCATENATE(AM223,AX223)),Listados!$U$3:$V$11,2,FALSE),"")</f>
        <v/>
      </c>
      <c r="AZ223" s="48">
        <f t="shared" si="47"/>
        <v>100</v>
      </c>
      <c r="BA223" s="354">
        <f>AVERAGE(AZ223:AZ228)</f>
        <v>100</v>
      </c>
      <c r="BB223" s="356" t="str">
        <f>IF(BA223&lt;=50, "Débil", IF(BA223&lt;=99,"Moderado","Fuerte"))</f>
        <v>Fuerte</v>
      </c>
      <c r="BC223" s="173">
        <f>+IF(AND(W223="Preventivo",BB223="Fuerte"),2,IF(AND(W223="Preventivo",BB223="Moderado"),1,0))</f>
        <v>0</v>
      </c>
      <c r="BD223" s="64">
        <f>+IF(AND(W223="Detectivo/Correctivo",$BB223="Fuerte"),2,IF(AND(W223="Detectivo/Correctivo",$BB223="Moderado"),1,IF(AND(W223="Preventivo",$BB223="Fuerte"),1,0)))</f>
        <v>0</v>
      </c>
      <c r="BE223" s="173" t="e">
        <f>+N223-BC223</f>
        <v>#N/A</v>
      </c>
      <c r="BF223" s="173" t="e">
        <f>+P223-BD223</f>
        <v>#N/A</v>
      </c>
      <c r="BG223" s="345" t="e">
        <f>+VLOOKUP(MIN(BE223,BE224,BE225,BE226,BE227,BE228),Listados!$J$18:$K$24,2,TRUE)</f>
        <v>#N/A</v>
      </c>
      <c r="BH223" s="345" t="e">
        <f>+VLOOKUP(MIN(BF223,BF224,BF225,BF226,BF227,BF228),Listados!$J$27:$K$32,2,TRUE)</f>
        <v>#N/A</v>
      </c>
      <c r="BI223" s="345" t="e">
        <f>IF(AND(BG223&lt;&gt;"",BH223&lt;&gt;""),VLOOKUP(BG223&amp;BH223,Listados!$M$3:$N$27,2,FALSE),"")</f>
        <v>#N/A</v>
      </c>
      <c r="BJ223" s="537" t="e">
        <f>+IF($R223="Asumir el riesgo","NA","")</f>
        <v>#N/A</v>
      </c>
      <c r="BK223" s="537" t="e">
        <f>+IF($R223="Asumir el riesgo","NA","")</f>
        <v>#N/A</v>
      </c>
      <c r="BL223" s="537" t="e">
        <f>+IF($R223="Asumir el riesgo","NA","")</f>
        <v>#N/A</v>
      </c>
      <c r="BM223" s="537" t="e">
        <f>+IF($R223="Asumir el riesgo","NA","")</f>
        <v>#N/A</v>
      </c>
    </row>
    <row r="224" spans="1:65" ht="65.099999999999994" customHeight="1" thickBot="1">
      <c r="A224" s="329"/>
      <c r="B224" s="514"/>
      <c r="C224" s="364"/>
      <c r="D224" s="233"/>
      <c r="E224" s="233"/>
      <c r="F224" s="433"/>
      <c r="G224" s="367"/>
      <c r="H224" s="100"/>
      <c r="I224" s="237"/>
      <c r="J224" s="100"/>
      <c r="K224" s="236"/>
      <c r="L224" s="222"/>
      <c r="M224" s="370"/>
      <c r="N224" s="349"/>
      <c r="O224" s="352"/>
      <c r="P224" s="349"/>
      <c r="Q224" s="353"/>
      <c r="R224" s="346"/>
      <c r="S224" s="208"/>
      <c r="T224" s="195"/>
      <c r="U224" s="47" t="s">
        <v>627</v>
      </c>
      <c r="V224" s="215"/>
      <c r="W224" s="215"/>
      <c r="X224" s="215"/>
      <c r="Y224" s="95" t="str">
        <f t="shared" si="37"/>
        <v/>
      </c>
      <c r="Z224" s="215"/>
      <c r="AA224" s="95" t="str">
        <f t="shared" si="38"/>
        <v/>
      </c>
      <c r="AB224" s="208"/>
      <c r="AC224" s="95" t="str">
        <f t="shared" si="39"/>
        <v/>
      </c>
      <c r="AD224" s="208"/>
      <c r="AE224" s="95" t="str">
        <f t="shared" si="40"/>
        <v/>
      </c>
      <c r="AF224" s="208"/>
      <c r="AG224" s="95" t="str">
        <f t="shared" si="41"/>
        <v/>
      </c>
      <c r="AH224" s="208"/>
      <c r="AI224" s="95" t="str">
        <f t="shared" si="42"/>
        <v/>
      </c>
      <c r="AJ224" s="208"/>
      <c r="AK224" s="27" t="str">
        <f t="shared" si="43"/>
        <v/>
      </c>
      <c r="AL224" s="48" t="str">
        <f t="shared" si="44"/>
        <v/>
      </c>
      <c r="AM224" s="48" t="str">
        <f t="shared" si="45"/>
        <v/>
      </c>
      <c r="AN224" s="293"/>
      <c r="AO224" s="293"/>
      <c r="AP224" s="293"/>
      <c r="AQ224" s="293"/>
      <c r="AR224" s="293"/>
      <c r="AS224" s="293"/>
      <c r="AT224" s="293"/>
      <c r="AU224" s="294" t="str">
        <f>IFERROR(VLOOKUP(AT224,'Seguridad Información'!$I$61:$J$65,2,0),"")</f>
        <v/>
      </c>
      <c r="AV224" s="79"/>
      <c r="AW224" s="78" t="str">
        <f t="shared" si="36"/>
        <v/>
      </c>
      <c r="AX224" s="77" t="str">
        <f t="shared" si="46"/>
        <v/>
      </c>
      <c r="AY224" s="21" t="str">
        <f>IFERROR(VLOOKUP((CONCATENATE(AM224,AX224)),Listados!$U$3:$V$11,2,FALSE),"")</f>
        <v/>
      </c>
      <c r="AZ224" s="48">
        <f t="shared" si="47"/>
        <v>100</v>
      </c>
      <c r="BA224" s="355"/>
      <c r="BB224" s="357"/>
      <c r="BC224" s="173">
        <f>+IF(AND(W224="Preventivo",BB223="Fuerte"),2,IF(AND(W224="Preventivo",BB223="Moderado"),1,0))</f>
        <v>0</v>
      </c>
      <c r="BD224" s="64">
        <f>+IF(AND(W224="Detectivo/Correctivo",$BB223="Fuerte"),2,IF(AND(W224="Detectivo/Correctivo",$BB224="Moderado"),1,IF(AND(W224="Preventivo",$BB223="Fuerte"),1,0)))</f>
        <v>0</v>
      </c>
      <c r="BE224" s="173" t="e">
        <f>+N223-BC224</f>
        <v>#N/A</v>
      </c>
      <c r="BF224" s="173" t="e">
        <f>+P223-BD224</f>
        <v>#N/A</v>
      </c>
      <c r="BG224" s="346"/>
      <c r="BH224" s="346"/>
      <c r="BI224" s="346"/>
      <c r="BJ224" s="538"/>
      <c r="BK224" s="538"/>
      <c r="BL224" s="538"/>
      <c r="BM224" s="538"/>
    </row>
    <row r="225" spans="1:65" ht="65.099999999999994" customHeight="1" thickBot="1">
      <c r="A225" s="329"/>
      <c r="B225" s="514"/>
      <c r="C225" s="364"/>
      <c r="D225" s="233"/>
      <c r="E225" s="233"/>
      <c r="F225" s="433"/>
      <c r="G225" s="367"/>
      <c r="H225" s="100"/>
      <c r="I225" s="237"/>
      <c r="J225" s="100"/>
      <c r="K225" s="236"/>
      <c r="L225" s="222"/>
      <c r="M225" s="370"/>
      <c r="N225" s="349"/>
      <c r="O225" s="352"/>
      <c r="P225" s="349"/>
      <c r="Q225" s="353"/>
      <c r="R225" s="346"/>
      <c r="S225" s="208"/>
      <c r="T225" s="96"/>
      <c r="U225" s="47" t="s">
        <v>627</v>
      </c>
      <c r="V225" s="215"/>
      <c r="W225" s="215"/>
      <c r="X225" s="215"/>
      <c r="Y225" s="95" t="str">
        <f t="shared" si="37"/>
        <v/>
      </c>
      <c r="Z225" s="215"/>
      <c r="AA225" s="95" t="str">
        <f t="shared" si="38"/>
        <v/>
      </c>
      <c r="AB225" s="208"/>
      <c r="AC225" s="95" t="str">
        <f t="shared" si="39"/>
        <v/>
      </c>
      <c r="AD225" s="208"/>
      <c r="AE225" s="95" t="str">
        <f t="shared" si="40"/>
        <v/>
      </c>
      <c r="AF225" s="208"/>
      <c r="AG225" s="95" t="str">
        <f t="shared" si="41"/>
        <v/>
      </c>
      <c r="AH225" s="208"/>
      <c r="AI225" s="95" t="str">
        <f t="shared" si="42"/>
        <v/>
      </c>
      <c r="AJ225" s="208"/>
      <c r="AK225" s="27" t="str">
        <f t="shared" si="43"/>
        <v/>
      </c>
      <c r="AL225" s="48" t="str">
        <f t="shared" si="44"/>
        <v/>
      </c>
      <c r="AM225" s="48" t="str">
        <f t="shared" si="45"/>
        <v/>
      </c>
      <c r="AN225" s="293"/>
      <c r="AO225" s="293"/>
      <c r="AP225" s="293"/>
      <c r="AQ225" s="293"/>
      <c r="AR225" s="293"/>
      <c r="AS225" s="293"/>
      <c r="AT225" s="293"/>
      <c r="AU225" s="294" t="str">
        <f>IFERROR(VLOOKUP(AT225,'Seguridad Información'!$I$61:$J$65,2,0),"")</f>
        <v/>
      </c>
      <c r="AV225" s="79"/>
      <c r="AW225" s="78" t="str">
        <f t="shared" si="36"/>
        <v/>
      </c>
      <c r="AX225" s="77" t="str">
        <f t="shared" si="46"/>
        <v/>
      </c>
      <c r="AY225" s="21" t="str">
        <f>IFERROR(VLOOKUP((CONCATENATE(AM225,AX225)),Listados!$U$3:$V$11,2,FALSE),"")</f>
        <v/>
      </c>
      <c r="AZ225" s="48">
        <f t="shared" si="47"/>
        <v>100</v>
      </c>
      <c r="BA225" s="355"/>
      <c r="BB225" s="357"/>
      <c r="BC225" s="173">
        <f>+IF(AND(W225="Preventivo",BB223="Fuerte"),2,IF(AND(W225="Preventivo",BB223="Moderado"),1,0))</f>
        <v>0</v>
      </c>
      <c r="BD225" s="64">
        <f>+IF(AND(W225="Detectivo/Correctivo",$BB223="Fuerte"),2,IF(AND(W225="Detectivo/Correctivo",$BB225="Moderado"),1,IF(AND(W225="Preventivo",$BB223="Fuerte"),1,0)))</f>
        <v>0</v>
      </c>
      <c r="BE225" s="173" t="e">
        <f>+N223-BC225</f>
        <v>#N/A</v>
      </c>
      <c r="BF225" s="173" t="e">
        <f>+P223-BD225</f>
        <v>#N/A</v>
      </c>
      <c r="BG225" s="346"/>
      <c r="BH225" s="346"/>
      <c r="BI225" s="346"/>
      <c r="BJ225" s="538"/>
      <c r="BK225" s="538"/>
      <c r="BL225" s="538"/>
      <c r="BM225" s="538"/>
    </row>
    <row r="226" spans="1:65" ht="65.099999999999994" customHeight="1" thickBot="1">
      <c r="A226" s="329"/>
      <c r="B226" s="514"/>
      <c r="C226" s="364"/>
      <c r="D226" s="233"/>
      <c r="E226" s="233"/>
      <c r="F226" s="433"/>
      <c r="G226" s="367"/>
      <c r="H226" s="100"/>
      <c r="I226" s="237"/>
      <c r="J226" s="100"/>
      <c r="K226" s="236"/>
      <c r="L226" s="222"/>
      <c r="M226" s="370"/>
      <c r="N226" s="349"/>
      <c r="O226" s="352"/>
      <c r="P226" s="349"/>
      <c r="Q226" s="353"/>
      <c r="R226" s="346"/>
      <c r="S226" s="208"/>
      <c r="T226" s="97"/>
      <c r="U226" s="47" t="s">
        <v>627</v>
      </c>
      <c r="V226" s="215"/>
      <c r="W226" s="215"/>
      <c r="X226" s="215"/>
      <c r="Y226" s="95" t="str">
        <f t="shared" si="37"/>
        <v/>
      </c>
      <c r="Z226" s="215"/>
      <c r="AA226" s="95" t="str">
        <f t="shared" si="38"/>
        <v/>
      </c>
      <c r="AB226" s="208"/>
      <c r="AC226" s="95" t="str">
        <f t="shared" si="39"/>
        <v/>
      </c>
      <c r="AD226" s="208"/>
      <c r="AE226" s="95" t="str">
        <f t="shared" si="40"/>
        <v/>
      </c>
      <c r="AF226" s="208"/>
      <c r="AG226" s="95" t="str">
        <f t="shared" si="41"/>
        <v/>
      </c>
      <c r="AH226" s="208"/>
      <c r="AI226" s="95" t="str">
        <f t="shared" si="42"/>
        <v/>
      </c>
      <c r="AJ226" s="208"/>
      <c r="AK226" s="27" t="str">
        <f t="shared" si="43"/>
        <v/>
      </c>
      <c r="AL226" s="48" t="str">
        <f t="shared" si="44"/>
        <v/>
      </c>
      <c r="AM226" s="48" t="str">
        <f t="shared" si="45"/>
        <v/>
      </c>
      <c r="AN226" s="293"/>
      <c r="AO226" s="293"/>
      <c r="AP226" s="293"/>
      <c r="AQ226" s="293"/>
      <c r="AR226" s="293"/>
      <c r="AS226" s="293"/>
      <c r="AT226" s="293"/>
      <c r="AU226" s="294" t="str">
        <f>IFERROR(VLOOKUP(AT226,'Seguridad Información'!$I$61:$J$65,2,0),"")</f>
        <v/>
      </c>
      <c r="AV226" s="79"/>
      <c r="AW226" s="78" t="str">
        <f t="shared" si="36"/>
        <v/>
      </c>
      <c r="AX226" s="77" t="str">
        <f t="shared" si="46"/>
        <v/>
      </c>
      <c r="AY226" s="21" t="str">
        <f>IFERROR(VLOOKUP((CONCATENATE(AM226,AX226)),Listados!$U$3:$V$11,2,FALSE),"")</f>
        <v/>
      </c>
      <c r="AZ226" s="48">
        <f t="shared" si="47"/>
        <v>100</v>
      </c>
      <c r="BA226" s="355"/>
      <c r="BB226" s="357"/>
      <c r="BC226" s="173">
        <f>+IF(AND(W226="Preventivo",BB223="Fuerte"),2,IF(AND(W226="Preventivo",BB223="Moderado"),1,0))</f>
        <v>0</v>
      </c>
      <c r="BD226" s="64">
        <f>+IF(AND(W226="Detectivo/Correctivo",$BB223="Fuerte"),2,IF(AND(W226="Detectivo/Correctivo",$BB226="Moderado"),1,IF(AND(W226="Preventivo",$BB223="Fuerte"),1,0)))</f>
        <v>0</v>
      </c>
      <c r="BE226" s="173" t="e">
        <f>+N223-BC226</f>
        <v>#N/A</v>
      </c>
      <c r="BF226" s="173" t="e">
        <f>+P223-BD226</f>
        <v>#N/A</v>
      </c>
      <c r="BG226" s="346"/>
      <c r="BH226" s="346"/>
      <c r="BI226" s="346"/>
      <c r="BJ226" s="538"/>
      <c r="BK226" s="538"/>
      <c r="BL226" s="538"/>
      <c r="BM226" s="538"/>
    </row>
    <row r="227" spans="1:65" ht="65.099999999999994" customHeight="1" thickBot="1">
      <c r="A227" s="329"/>
      <c r="B227" s="514"/>
      <c r="C227" s="364"/>
      <c r="D227" s="109"/>
      <c r="E227" s="109"/>
      <c r="F227" s="433"/>
      <c r="G227" s="367"/>
      <c r="H227" s="100"/>
      <c r="I227" s="237"/>
      <c r="J227" s="100"/>
      <c r="K227" s="29"/>
      <c r="L227" s="222"/>
      <c r="M227" s="370"/>
      <c r="N227" s="349"/>
      <c r="O227" s="352"/>
      <c r="P227" s="349"/>
      <c r="Q227" s="353"/>
      <c r="R227" s="346"/>
      <c r="S227" s="208"/>
      <c r="T227" s="195"/>
      <c r="U227" s="47" t="s">
        <v>627</v>
      </c>
      <c r="V227" s="215"/>
      <c r="W227" s="215"/>
      <c r="X227" s="215"/>
      <c r="Y227" s="95" t="str">
        <f t="shared" si="37"/>
        <v/>
      </c>
      <c r="Z227" s="215"/>
      <c r="AA227" s="95" t="str">
        <f t="shared" si="38"/>
        <v/>
      </c>
      <c r="AB227" s="208"/>
      <c r="AC227" s="95" t="str">
        <f t="shared" si="39"/>
        <v/>
      </c>
      <c r="AD227" s="208"/>
      <c r="AE227" s="95" t="str">
        <f t="shared" si="40"/>
        <v/>
      </c>
      <c r="AF227" s="208"/>
      <c r="AG227" s="95" t="str">
        <f t="shared" si="41"/>
        <v/>
      </c>
      <c r="AH227" s="208"/>
      <c r="AI227" s="95" t="str">
        <f t="shared" si="42"/>
        <v/>
      </c>
      <c r="AJ227" s="208"/>
      <c r="AK227" s="27" t="str">
        <f t="shared" si="43"/>
        <v/>
      </c>
      <c r="AL227" s="48" t="str">
        <f t="shared" si="44"/>
        <v/>
      </c>
      <c r="AM227" s="48" t="str">
        <f t="shared" si="45"/>
        <v/>
      </c>
      <c r="AN227" s="293"/>
      <c r="AO227" s="293"/>
      <c r="AP227" s="293"/>
      <c r="AQ227" s="293"/>
      <c r="AR227" s="293"/>
      <c r="AS227" s="293"/>
      <c r="AT227" s="293"/>
      <c r="AU227" s="294" t="str">
        <f>IFERROR(VLOOKUP(AT227,'Seguridad Información'!$I$61:$J$65,2,0),"")</f>
        <v/>
      </c>
      <c r="AV227" s="79"/>
      <c r="AW227" s="78" t="str">
        <f t="shared" si="36"/>
        <v/>
      </c>
      <c r="AX227" s="77" t="str">
        <f t="shared" si="46"/>
        <v/>
      </c>
      <c r="AY227" s="21" t="str">
        <f>IFERROR(VLOOKUP((CONCATENATE(AM227,AX227)),Listados!$U$3:$V$11,2,FALSE),"")</f>
        <v/>
      </c>
      <c r="AZ227" s="48">
        <f t="shared" si="47"/>
        <v>100</v>
      </c>
      <c r="BA227" s="355"/>
      <c r="BB227" s="357"/>
      <c r="BC227" s="173">
        <f>+IF(AND(W227="Preventivo",BB223="Fuerte"),2,IF(AND(W227="Preventivo",BB223="Moderado"),1,0))</f>
        <v>0</v>
      </c>
      <c r="BD227" s="64">
        <f>+IF(AND(W227="Detectivo/Correctivo",$BB223="Fuerte"),2,IF(AND(W227="Detectivo/Correctivo",$BB227="Moderado"),1,IF(AND(W227="Preventivo",$BB223="Fuerte"),1,0)))</f>
        <v>0</v>
      </c>
      <c r="BE227" s="173" t="e">
        <f>+N223-BC227</f>
        <v>#N/A</v>
      </c>
      <c r="BF227" s="173" t="e">
        <f>+P223-BD227</f>
        <v>#N/A</v>
      </c>
      <c r="BG227" s="346"/>
      <c r="BH227" s="346"/>
      <c r="BI227" s="346"/>
      <c r="BJ227" s="538"/>
      <c r="BK227" s="538"/>
      <c r="BL227" s="538"/>
      <c r="BM227" s="538"/>
    </row>
    <row r="228" spans="1:65" ht="65.099999999999994" customHeight="1" thickBot="1">
      <c r="A228" s="330"/>
      <c r="B228" s="514"/>
      <c r="C228" s="365"/>
      <c r="D228" s="106"/>
      <c r="E228" s="106"/>
      <c r="F228" s="434"/>
      <c r="G228" s="368"/>
      <c r="H228" s="100"/>
      <c r="I228" s="237"/>
      <c r="J228" s="100"/>
      <c r="K228" s="31"/>
      <c r="L228" s="222"/>
      <c r="M228" s="370"/>
      <c r="N228" s="350"/>
      <c r="O228" s="352"/>
      <c r="P228" s="350"/>
      <c r="Q228" s="353"/>
      <c r="R228" s="347"/>
      <c r="S228" s="208"/>
      <c r="T228" s="98"/>
      <c r="U228" s="47" t="s">
        <v>627</v>
      </c>
      <c r="V228" s="215"/>
      <c r="W228" s="215"/>
      <c r="X228" s="215"/>
      <c r="Y228" s="95" t="str">
        <f t="shared" si="37"/>
        <v/>
      </c>
      <c r="Z228" s="215"/>
      <c r="AA228" s="95" t="str">
        <f t="shared" si="38"/>
        <v/>
      </c>
      <c r="AB228" s="208"/>
      <c r="AC228" s="95" t="str">
        <f t="shared" si="39"/>
        <v/>
      </c>
      <c r="AD228" s="208"/>
      <c r="AE228" s="95" t="str">
        <f t="shared" si="40"/>
        <v/>
      </c>
      <c r="AF228" s="208"/>
      <c r="AG228" s="95" t="str">
        <f t="shared" si="41"/>
        <v/>
      </c>
      <c r="AH228" s="208"/>
      <c r="AI228" s="95" t="str">
        <f t="shared" si="42"/>
        <v/>
      </c>
      <c r="AJ228" s="208"/>
      <c r="AK228" s="27" t="str">
        <f t="shared" si="43"/>
        <v/>
      </c>
      <c r="AL228" s="48" t="str">
        <f t="shared" si="44"/>
        <v/>
      </c>
      <c r="AM228" s="48" t="str">
        <f t="shared" si="45"/>
        <v/>
      </c>
      <c r="AN228" s="293"/>
      <c r="AO228" s="293"/>
      <c r="AP228" s="293"/>
      <c r="AQ228" s="293"/>
      <c r="AR228" s="293"/>
      <c r="AS228" s="293"/>
      <c r="AT228" s="293"/>
      <c r="AU228" s="294" t="str">
        <f>IFERROR(VLOOKUP(AT228,'Seguridad Información'!$I$61:$J$65,2,0),"")</f>
        <v/>
      </c>
      <c r="AV228" s="79"/>
      <c r="AW228" s="78" t="str">
        <f t="shared" si="36"/>
        <v/>
      </c>
      <c r="AX228" s="77" t="str">
        <f t="shared" si="46"/>
        <v/>
      </c>
      <c r="AY228" s="21" t="str">
        <f>IFERROR(VLOOKUP((CONCATENATE(AM228,AX228)),Listados!$U$3:$V$11,2,FALSE),"")</f>
        <v/>
      </c>
      <c r="AZ228" s="48">
        <f t="shared" si="47"/>
        <v>100</v>
      </c>
      <c r="BA228" s="356"/>
      <c r="BB228" s="357"/>
      <c r="BC228" s="173">
        <f>+IF(AND(W228="Preventivo",BB223="Fuerte"),2,IF(AND(W228="Preventivo",BB223="Moderado"),1,0))</f>
        <v>0</v>
      </c>
      <c r="BD228" s="64">
        <f>+IF(AND(W228="Detectivo/Correctivo",$BB223="Fuerte"),2,IF(AND(W228="Detectivo/Correctivo",$BB228="Moderado"),1,IF(AND(W228="Preventivo",$BB223="Fuerte"),1,0)))</f>
        <v>0</v>
      </c>
      <c r="BE228" s="173" t="e">
        <f>+N223-BC228</f>
        <v>#N/A</v>
      </c>
      <c r="BF228" s="173" t="e">
        <f>+P223-BD228</f>
        <v>#N/A</v>
      </c>
      <c r="BG228" s="347"/>
      <c r="BH228" s="347"/>
      <c r="BI228" s="347"/>
      <c r="BJ228" s="539"/>
      <c r="BK228" s="539"/>
      <c r="BL228" s="539"/>
      <c r="BM228" s="539"/>
    </row>
    <row r="229" spans="1:65" ht="65.099999999999994" customHeight="1" thickBot="1">
      <c r="A229" s="328">
        <v>38</v>
      </c>
      <c r="B229" s="519"/>
      <c r="C229" s="371" t="str">
        <f>IFERROR(VLOOKUP(B229,Listados!B$3:C$20,2,FALSE),"")</f>
        <v/>
      </c>
      <c r="D229" s="107"/>
      <c r="E229" s="107"/>
      <c r="F229" s="432"/>
      <c r="G229" s="372"/>
      <c r="H229" s="100"/>
      <c r="I229" s="237"/>
      <c r="J229" s="100"/>
      <c r="K229" s="103"/>
      <c r="L229" s="17"/>
      <c r="M229" s="369"/>
      <c r="N229" s="348" t="e">
        <f>+VLOOKUP(M229,Listados!$K$8:$L$12,2,0)</f>
        <v>#N/A</v>
      </c>
      <c r="O229" s="351"/>
      <c r="P229" s="348" t="e">
        <f>+VLOOKUP(O229,Listados!$K$13:$L$17,2,0)</f>
        <v>#N/A</v>
      </c>
      <c r="Q229" s="347" t="str">
        <f>IF(AND(M229&lt;&gt;"",O229&lt;&gt;""),VLOOKUP(M229&amp;O229,Listados!$M$3:$N$27,2,FALSE),"")</f>
        <v/>
      </c>
      <c r="R229" s="345" t="e">
        <f>+VLOOKUP(Q229,Listados!$P$3:$Q$6,2,FALSE)</f>
        <v>#N/A</v>
      </c>
      <c r="S229" s="208"/>
      <c r="T229" s="94"/>
      <c r="U229" s="47" t="s">
        <v>627</v>
      </c>
      <c r="V229" s="215"/>
      <c r="W229" s="215"/>
      <c r="X229" s="215"/>
      <c r="Y229" s="95" t="str">
        <f t="shared" si="37"/>
        <v/>
      </c>
      <c r="Z229" s="215"/>
      <c r="AA229" s="95" t="str">
        <f t="shared" si="38"/>
        <v/>
      </c>
      <c r="AB229" s="208"/>
      <c r="AC229" s="95" t="str">
        <f t="shared" si="39"/>
        <v/>
      </c>
      <c r="AD229" s="208"/>
      <c r="AE229" s="95" t="str">
        <f t="shared" si="40"/>
        <v/>
      </c>
      <c r="AF229" s="208"/>
      <c r="AG229" s="95" t="str">
        <f t="shared" si="41"/>
        <v/>
      </c>
      <c r="AH229" s="208"/>
      <c r="AI229" s="95" t="str">
        <f t="shared" si="42"/>
        <v/>
      </c>
      <c r="AJ229" s="208"/>
      <c r="AK229" s="27" t="str">
        <f t="shared" si="43"/>
        <v/>
      </c>
      <c r="AL229" s="48" t="str">
        <f t="shared" si="44"/>
        <v/>
      </c>
      <c r="AM229" s="48" t="str">
        <f t="shared" si="45"/>
        <v/>
      </c>
      <c r="AN229" s="293"/>
      <c r="AO229" s="293"/>
      <c r="AP229" s="293"/>
      <c r="AQ229" s="293"/>
      <c r="AR229" s="293"/>
      <c r="AS229" s="293"/>
      <c r="AT229" s="293"/>
      <c r="AU229" s="294" t="str">
        <f>IFERROR(VLOOKUP(AT229,'Seguridad Información'!$I$61:$J$65,2,0),"")</f>
        <v/>
      </c>
      <c r="AV229" s="79"/>
      <c r="AW229" s="78" t="str">
        <f t="shared" si="36"/>
        <v/>
      </c>
      <c r="AX229" s="77" t="str">
        <f t="shared" si="46"/>
        <v/>
      </c>
      <c r="AY229" s="21" t="str">
        <f>IFERROR(VLOOKUP((CONCATENATE(AM229,AX229)),Listados!$U$3:$V$11,2,FALSE),"")</f>
        <v/>
      </c>
      <c r="AZ229" s="48">
        <f t="shared" si="47"/>
        <v>100</v>
      </c>
      <c r="BA229" s="354">
        <f>AVERAGE(AZ229:AZ234)</f>
        <v>100</v>
      </c>
      <c r="BB229" s="356" t="str">
        <f>IF(BA229&lt;=50, "Débil", IF(BA229&lt;=99,"Moderado","Fuerte"))</f>
        <v>Fuerte</v>
      </c>
      <c r="BC229" s="173">
        <f>+IF(AND(W229="Preventivo",BB229="Fuerte"),2,IF(AND(W229="Preventivo",BB229="Moderado"),1,0))</f>
        <v>0</v>
      </c>
      <c r="BD229" s="64">
        <f>+IF(AND(W229="Detectivo/Correctivo",$BB229="Fuerte"),2,IF(AND(W229="Detectivo/Correctivo",$BB229="Moderado"),1,IF(AND(W229="Preventivo",$BB229="Fuerte"),1,0)))</f>
        <v>0</v>
      </c>
      <c r="BE229" s="173" t="e">
        <f>+N229-BC229</f>
        <v>#N/A</v>
      </c>
      <c r="BF229" s="173" t="e">
        <f>+P229-BD229</f>
        <v>#N/A</v>
      </c>
      <c r="BG229" s="345" t="e">
        <f>+VLOOKUP(MIN(BE229,BE230,BE231,BE232,BE233,BE234),Listados!$J$18:$K$24,2,TRUE)</f>
        <v>#N/A</v>
      </c>
      <c r="BH229" s="345" t="e">
        <f>+VLOOKUP(MIN(BF229,BF230,BF231,BF232,BF233,BF234),Listados!$J$27:$K$32,2,TRUE)</f>
        <v>#N/A</v>
      </c>
      <c r="BI229" s="345" t="e">
        <f>IF(AND(BG229&lt;&gt;"",BH229&lt;&gt;""),VLOOKUP(BG229&amp;BH229,Listados!$M$3:$N$27,2,FALSE),"")</f>
        <v>#N/A</v>
      </c>
      <c r="BJ229" s="537" t="e">
        <f>+IF($R229="Asumir el riesgo","NA","")</f>
        <v>#N/A</v>
      </c>
      <c r="BK229" s="537" t="e">
        <f>+IF($R229="Asumir el riesgo","NA","")</f>
        <v>#N/A</v>
      </c>
      <c r="BL229" s="537" t="e">
        <f>+IF($R229="Asumir el riesgo","NA","")</f>
        <v>#N/A</v>
      </c>
      <c r="BM229" s="537" t="e">
        <f>+IF($R229="Asumir el riesgo","NA","")</f>
        <v>#N/A</v>
      </c>
    </row>
    <row r="230" spans="1:65" ht="65.099999999999994" customHeight="1" thickBot="1">
      <c r="A230" s="329"/>
      <c r="B230" s="514"/>
      <c r="C230" s="364"/>
      <c r="D230" s="233"/>
      <c r="E230" s="233"/>
      <c r="F230" s="433"/>
      <c r="G230" s="367"/>
      <c r="H230" s="100"/>
      <c r="I230" s="237"/>
      <c r="J230" s="100"/>
      <c r="K230" s="236"/>
      <c r="L230" s="222"/>
      <c r="M230" s="370"/>
      <c r="N230" s="349"/>
      <c r="O230" s="352"/>
      <c r="P230" s="349"/>
      <c r="Q230" s="353"/>
      <c r="R230" s="346"/>
      <c r="S230" s="208"/>
      <c r="T230" s="195"/>
      <c r="U230" s="47" t="s">
        <v>627</v>
      </c>
      <c r="V230" s="215"/>
      <c r="W230" s="215"/>
      <c r="X230" s="215"/>
      <c r="Y230" s="95" t="str">
        <f t="shared" si="37"/>
        <v/>
      </c>
      <c r="Z230" s="215"/>
      <c r="AA230" s="95" t="str">
        <f t="shared" si="38"/>
        <v/>
      </c>
      <c r="AB230" s="208"/>
      <c r="AC230" s="95" t="str">
        <f t="shared" si="39"/>
        <v/>
      </c>
      <c r="AD230" s="208"/>
      <c r="AE230" s="95" t="str">
        <f t="shared" si="40"/>
        <v/>
      </c>
      <c r="AF230" s="208"/>
      <c r="AG230" s="95" t="str">
        <f t="shared" si="41"/>
        <v/>
      </c>
      <c r="AH230" s="208"/>
      <c r="AI230" s="95" t="str">
        <f t="shared" si="42"/>
        <v/>
      </c>
      <c r="AJ230" s="208"/>
      <c r="AK230" s="27" t="str">
        <f t="shared" si="43"/>
        <v/>
      </c>
      <c r="AL230" s="48" t="str">
        <f t="shared" si="44"/>
        <v/>
      </c>
      <c r="AM230" s="48" t="str">
        <f t="shared" si="45"/>
        <v/>
      </c>
      <c r="AN230" s="293"/>
      <c r="AO230" s="293"/>
      <c r="AP230" s="293"/>
      <c r="AQ230" s="293"/>
      <c r="AR230" s="293"/>
      <c r="AS230" s="293"/>
      <c r="AT230" s="293"/>
      <c r="AU230" s="294" t="str">
        <f>IFERROR(VLOOKUP(AT230,'Seguridad Información'!$I$61:$J$65,2,0),"")</f>
        <v/>
      </c>
      <c r="AV230" s="79"/>
      <c r="AW230" s="78" t="str">
        <f t="shared" si="36"/>
        <v/>
      </c>
      <c r="AX230" s="77" t="str">
        <f t="shared" si="46"/>
        <v/>
      </c>
      <c r="AY230" s="21" t="str">
        <f>IFERROR(VLOOKUP((CONCATENATE(AM230,AX230)),Listados!$U$3:$V$11,2,FALSE),"")</f>
        <v/>
      </c>
      <c r="AZ230" s="48">
        <f t="shared" si="47"/>
        <v>100</v>
      </c>
      <c r="BA230" s="355"/>
      <c r="BB230" s="357"/>
      <c r="BC230" s="173">
        <f>+IF(AND(W230="Preventivo",BB229="Fuerte"),2,IF(AND(W230="Preventivo",BB229="Moderado"),1,0))</f>
        <v>0</v>
      </c>
      <c r="BD230" s="64">
        <f>+IF(AND(W230="Detectivo/Correctivo",$BB229="Fuerte"),2,IF(AND(W230="Detectivo/Correctivo",$BB230="Moderado"),1,IF(AND(W230="Preventivo",$BB229="Fuerte"),1,0)))</f>
        <v>0</v>
      </c>
      <c r="BE230" s="173" t="e">
        <f>+N229-BC230</f>
        <v>#N/A</v>
      </c>
      <c r="BF230" s="173" t="e">
        <f>+P229-BD230</f>
        <v>#N/A</v>
      </c>
      <c r="BG230" s="346"/>
      <c r="BH230" s="346"/>
      <c r="BI230" s="346"/>
      <c r="BJ230" s="538"/>
      <c r="BK230" s="538"/>
      <c r="BL230" s="538"/>
      <c r="BM230" s="538"/>
    </row>
    <row r="231" spans="1:65" ht="65.099999999999994" customHeight="1" thickBot="1">
      <c r="A231" s="329"/>
      <c r="B231" s="514"/>
      <c r="C231" s="364"/>
      <c r="D231" s="233"/>
      <c r="E231" s="233"/>
      <c r="F231" s="433"/>
      <c r="G231" s="367"/>
      <c r="H231" s="100"/>
      <c r="I231" s="237"/>
      <c r="J231" s="100"/>
      <c r="K231" s="236"/>
      <c r="L231" s="222"/>
      <c r="M231" s="370"/>
      <c r="N231" s="349"/>
      <c r="O231" s="352"/>
      <c r="P231" s="349"/>
      <c r="Q231" s="353"/>
      <c r="R231" s="346"/>
      <c r="S231" s="208"/>
      <c r="T231" s="96"/>
      <c r="U231" s="47" t="s">
        <v>627</v>
      </c>
      <c r="V231" s="215"/>
      <c r="W231" s="215"/>
      <c r="X231" s="215"/>
      <c r="Y231" s="95" t="str">
        <f t="shared" si="37"/>
        <v/>
      </c>
      <c r="Z231" s="215"/>
      <c r="AA231" s="95" t="str">
        <f t="shared" si="38"/>
        <v/>
      </c>
      <c r="AB231" s="208"/>
      <c r="AC231" s="95" t="str">
        <f t="shared" si="39"/>
        <v/>
      </c>
      <c r="AD231" s="208"/>
      <c r="AE231" s="95" t="str">
        <f t="shared" si="40"/>
        <v/>
      </c>
      <c r="AF231" s="208"/>
      <c r="AG231" s="95" t="str">
        <f t="shared" si="41"/>
        <v/>
      </c>
      <c r="AH231" s="208"/>
      <c r="AI231" s="95" t="str">
        <f t="shared" si="42"/>
        <v/>
      </c>
      <c r="AJ231" s="208"/>
      <c r="AK231" s="27" t="str">
        <f t="shared" si="43"/>
        <v/>
      </c>
      <c r="AL231" s="48" t="str">
        <f t="shared" si="44"/>
        <v/>
      </c>
      <c r="AM231" s="48" t="str">
        <f t="shared" si="45"/>
        <v/>
      </c>
      <c r="AN231" s="293"/>
      <c r="AO231" s="293"/>
      <c r="AP231" s="293"/>
      <c r="AQ231" s="293"/>
      <c r="AR231" s="293"/>
      <c r="AS231" s="293"/>
      <c r="AT231" s="293"/>
      <c r="AU231" s="294" t="str">
        <f>IFERROR(VLOOKUP(AT231,'Seguridad Información'!$I$61:$J$65,2,0),"")</f>
        <v/>
      </c>
      <c r="AV231" s="79"/>
      <c r="AW231" s="78" t="str">
        <f t="shared" si="36"/>
        <v/>
      </c>
      <c r="AX231" s="77" t="str">
        <f t="shared" si="46"/>
        <v/>
      </c>
      <c r="AY231" s="21" t="str">
        <f>IFERROR(VLOOKUP((CONCATENATE(AM231,AX231)),Listados!$U$3:$V$11,2,FALSE),"")</f>
        <v/>
      </c>
      <c r="AZ231" s="48">
        <f t="shared" si="47"/>
        <v>100</v>
      </c>
      <c r="BA231" s="355"/>
      <c r="BB231" s="357"/>
      <c r="BC231" s="173">
        <f>+IF(AND(W231="Preventivo",BB229="Fuerte"),2,IF(AND(W231="Preventivo",BB229="Moderado"),1,0))</f>
        <v>0</v>
      </c>
      <c r="BD231" s="64">
        <f>+IF(AND(W231="Detectivo/Correctivo",$BB229="Fuerte"),2,IF(AND(W231="Detectivo/Correctivo",$BB231="Moderado"),1,IF(AND(W231="Preventivo",$BB229="Fuerte"),1,0)))</f>
        <v>0</v>
      </c>
      <c r="BE231" s="173" t="e">
        <f>+N229-BC231</f>
        <v>#N/A</v>
      </c>
      <c r="BF231" s="173" t="e">
        <f>+P229-BD231</f>
        <v>#N/A</v>
      </c>
      <c r="BG231" s="346"/>
      <c r="BH231" s="346"/>
      <c r="BI231" s="346"/>
      <c r="BJ231" s="538"/>
      <c r="BK231" s="538"/>
      <c r="BL231" s="538"/>
      <c r="BM231" s="538"/>
    </row>
    <row r="232" spans="1:65" ht="65.099999999999994" customHeight="1" thickBot="1">
      <c r="A232" s="329"/>
      <c r="B232" s="514"/>
      <c r="C232" s="364"/>
      <c r="D232" s="233"/>
      <c r="E232" s="233"/>
      <c r="F232" s="433"/>
      <c r="G232" s="367"/>
      <c r="H232" s="100"/>
      <c r="I232" s="237"/>
      <c r="J232" s="100"/>
      <c r="K232" s="236"/>
      <c r="L232" s="222"/>
      <c r="M232" s="370"/>
      <c r="N232" s="349"/>
      <c r="O232" s="352"/>
      <c r="P232" s="349"/>
      <c r="Q232" s="353"/>
      <c r="R232" s="346"/>
      <c r="S232" s="208"/>
      <c r="T232" s="97"/>
      <c r="U232" s="47" t="s">
        <v>627</v>
      </c>
      <c r="V232" s="215"/>
      <c r="W232" s="215"/>
      <c r="X232" s="215"/>
      <c r="Y232" s="95" t="str">
        <f t="shared" si="37"/>
        <v/>
      </c>
      <c r="Z232" s="215"/>
      <c r="AA232" s="95" t="str">
        <f t="shared" si="38"/>
        <v/>
      </c>
      <c r="AB232" s="208"/>
      <c r="AC232" s="95" t="str">
        <f t="shared" si="39"/>
        <v/>
      </c>
      <c r="AD232" s="208"/>
      <c r="AE232" s="95" t="str">
        <f t="shared" si="40"/>
        <v/>
      </c>
      <c r="AF232" s="208"/>
      <c r="AG232" s="95" t="str">
        <f t="shared" si="41"/>
        <v/>
      </c>
      <c r="AH232" s="208"/>
      <c r="AI232" s="95" t="str">
        <f t="shared" si="42"/>
        <v/>
      </c>
      <c r="AJ232" s="208"/>
      <c r="AK232" s="27" t="str">
        <f t="shared" si="43"/>
        <v/>
      </c>
      <c r="AL232" s="48" t="str">
        <f t="shared" si="44"/>
        <v/>
      </c>
      <c r="AM232" s="48" t="str">
        <f t="shared" si="45"/>
        <v/>
      </c>
      <c r="AN232" s="293"/>
      <c r="AO232" s="293"/>
      <c r="AP232" s="293"/>
      <c r="AQ232" s="293"/>
      <c r="AR232" s="293"/>
      <c r="AS232" s="293"/>
      <c r="AT232" s="293"/>
      <c r="AU232" s="294" t="str">
        <f>IFERROR(VLOOKUP(AT232,'Seguridad Información'!$I$61:$J$65,2,0),"")</f>
        <v/>
      </c>
      <c r="AV232" s="79"/>
      <c r="AW232" s="78" t="str">
        <f t="shared" si="36"/>
        <v/>
      </c>
      <c r="AX232" s="77" t="str">
        <f t="shared" si="46"/>
        <v/>
      </c>
      <c r="AY232" s="21" t="str">
        <f>IFERROR(VLOOKUP((CONCATENATE(AM232,AX232)),Listados!$U$3:$V$11,2,FALSE),"")</f>
        <v/>
      </c>
      <c r="AZ232" s="48">
        <f t="shared" si="47"/>
        <v>100</v>
      </c>
      <c r="BA232" s="355"/>
      <c r="BB232" s="357"/>
      <c r="BC232" s="173">
        <f>+IF(AND(W232="Preventivo",BB229="Fuerte"),2,IF(AND(W232="Preventivo",BB229="Moderado"),1,0))</f>
        <v>0</v>
      </c>
      <c r="BD232" s="64">
        <f>+IF(AND(W232="Detectivo/Correctivo",$BB229="Fuerte"),2,IF(AND(W232="Detectivo/Correctivo",$BB232="Moderado"),1,IF(AND(W232="Preventivo",$BB229="Fuerte"),1,0)))</f>
        <v>0</v>
      </c>
      <c r="BE232" s="173" t="e">
        <f>+N229-BC232</f>
        <v>#N/A</v>
      </c>
      <c r="BF232" s="173" t="e">
        <f>+P229-BD232</f>
        <v>#N/A</v>
      </c>
      <c r="BG232" s="346"/>
      <c r="BH232" s="346"/>
      <c r="BI232" s="346"/>
      <c r="BJ232" s="538"/>
      <c r="BK232" s="538"/>
      <c r="BL232" s="538"/>
      <c r="BM232" s="538"/>
    </row>
    <row r="233" spans="1:65" ht="65.099999999999994" customHeight="1" thickBot="1">
      <c r="A233" s="329"/>
      <c r="B233" s="514"/>
      <c r="C233" s="364"/>
      <c r="D233" s="109"/>
      <c r="E233" s="109"/>
      <c r="F233" s="433"/>
      <c r="G233" s="367"/>
      <c r="H233" s="100"/>
      <c r="I233" s="237"/>
      <c r="J233" s="100"/>
      <c r="K233" s="29"/>
      <c r="L233" s="222"/>
      <c r="M233" s="370"/>
      <c r="N233" s="349"/>
      <c r="O233" s="352"/>
      <c r="P233" s="349"/>
      <c r="Q233" s="353"/>
      <c r="R233" s="346"/>
      <c r="S233" s="208"/>
      <c r="T233" s="195"/>
      <c r="U233" s="47" t="s">
        <v>627</v>
      </c>
      <c r="V233" s="215"/>
      <c r="W233" s="215"/>
      <c r="X233" s="215"/>
      <c r="Y233" s="95" t="str">
        <f t="shared" si="37"/>
        <v/>
      </c>
      <c r="Z233" s="215"/>
      <c r="AA233" s="95" t="str">
        <f t="shared" si="38"/>
        <v/>
      </c>
      <c r="AB233" s="208"/>
      <c r="AC233" s="95" t="str">
        <f t="shared" si="39"/>
        <v/>
      </c>
      <c r="AD233" s="208"/>
      <c r="AE233" s="95" t="str">
        <f t="shared" si="40"/>
        <v/>
      </c>
      <c r="AF233" s="208"/>
      <c r="AG233" s="95" t="str">
        <f t="shared" si="41"/>
        <v/>
      </c>
      <c r="AH233" s="208"/>
      <c r="AI233" s="95" t="str">
        <f t="shared" si="42"/>
        <v/>
      </c>
      <c r="AJ233" s="208"/>
      <c r="AK233" s="27" t="str">
        <f t="shared" si="43"/>
        <v/>
      </c>
      <c r="AL233" s="48" t="str">
        <f t="shared" si="44"/>
        <v/>
      </c>
      <c r="AM233" s="48" t="str">
        <f t="shared" si="45"/>
        <v/>
      </c>
      <c r="AN233" s="293"/>
      <c r="AO233" s="293"/>
      <c r="AP233" s="293"/>
      <c r="AQ233" s="293"/>
      <c r="AR233" s="293"/>
      <c r="AS233" s="293"/>
      <c r="AT233" s="293"/>
      <c r="AU233" s="294" t="str">
        <f>IFERROR(VLOOKUP(AT233,'Seguridad Información'!$I$61:$J$65,2,0),"")</f>
        <v/>
      </c>
      <c r="AV233" s="79"/>
      <c r="AW233" s="78" t="str">
        <f t="shared" si="36"/>
        <v/>
      </c>
      <c r="AX233" s="77" t="str">
        <f t="shared" si="46"/>
        <v/>
      </c>
      <c r="AY233" s="21" t="str">
        <f>IFERROR(VLOOKUP((CONCATENATE(AM233,AX233)),Listados!$U$3:$V$11,2,FALSE),"")</f>
        <v/>
      </c>
      <c r="AZ233" s="48">
        <f t="shared" si="47"/>
        <v>100</v>
      </c>
      <c r="BA233" s="355"/>
      <c r="BB233" s="357"/>
      <c r="BC233" s="173">
        <f>+IF(AND(W233="Preventivo",BB229="Fuerte"),2,IF(AND(W233="Preventivo",BB229="Moderado"),1,0))</f>
        <v>0</v>
      </c>
      <c r="BD233" s="64">
        <f>+IF(AND(W233="Detectivo/Correctivo",$BB229="Fuerte"),2,IF(AND(W233="Detectivo/Correctivo",$BB233="Moderado"),1,IF(AND(W233="Preventivo",$BB229="Fuerte"),1,0)))</f>
        <v>0</v>
      </c>
      <c r="BE233" s="173" t="e">
        <f>+N229-BC233</f>
        <v>#N/A</v>
      </c>
      <c r="BF233" s="173" t="e">
        <f>+P229-BD233</f>
        <v>#N/A</v>
      </c>
      <c r="BG233" s="346"/>
      <c r="BH233" s="346"/>
      <c r="BI233" s="346"/>
      <c r="BJ233" s="538"/>
      <c r="BK233" s="538"/>
      <c r="BL233" s="538"/>
      <c r="BM233" s="538"/>
    </row>
    <row r="234" spans="1:65" ht="65.099999999999994" customHeight="1" thickBot="1">
      <c r="A234" s="330"/>
      <c r="B234" s="514"/>
      <c r="C234" s="365"/>
      <c r="D234" s="106"/>
      <c r="E234" s="106"/>
      <c r="F234" s="434"/>
      <c r="G234" s="368"/>
      <c r="H234" s="100"/>
      <c r="I234" s="237"/>
      <c r="J234" s="100"/>
      <c r="K234" s="31"/>
      <c r="L234" s="222"/>
      <c r="M234" s="370"/>
      <c r="N234" s="350"/>
      <c r="O234" s="352"/>
      <c r="P234" s="350"/>
      <c r="Q234" s="353"/>
      <c r="R234" s="347"/>
      <c r="S234" s="208"/>
      <c r="T234" s="98"/>
      <c r="U234" s="47" t="s">
        <v>627</v>
      </c>
      <c r="V234" s="215"/>
      <c r="W234" s="215"/>
      <c r="X234" s="215"/>
      <c r="Y234" s="95" t="str">
        <f t="shared" si="37"/>
        <v/>
      </c>
      <c r="Z234" s="215"/>
      <c r="AA234" s="95" t="str">
        <f t="shared" si="38"/>
        <v/>
      </c>
      <c r="AB234" s="208"/>
      <c r="AC234" s="95" t="str">
        <f t="shared" si="39"/>
        <v/>
      </c>
      <c r="AD234" s="208"/>
      <c r="AE234" s="95" t="str">
        <f t="shared" si="40"/>
        <v/>
      </c>
      <c r="AF234" s="208"/>
      <c r="AG234" s="95" t="str">
        <f t="shared" si="41"/>
        <v/>
      </c>
      <c r="AH234" s="208"/>
      <c r="AI234" s="95" t="str">
        <f t="shared" si="42"/>
        <v/>
      </c>
      <c r="AJ234" s="208"/>
      <c r="AK234" s="27" t="str">
        <f t="shared" si="43"/>
        <v/>
      </c>
      <c r="AL234" s="48" t="str">
        <f t="shared" si="44"/>
        <v/>
      </c>
      <c r="AM234" s="48" t="str">
        <f t="shared" si="45"/>
        <v/>
      </c>
      <c r="AN234" s="293"/>
      <c r="AO234" s="293"/>
      <c r="AP234" s="293"/>
      <c r="AQ234" s="293"/>
      <c r="AR234" s="293"/>
      <c r="AS234" s="293"/>
      <c r="AT234" s="293"/>
      <c r="AU234" s="294" t="str">
        <f>IFERROR(VLOOKUP(AT234,'Seguridad Información'!$I$61:$J$65,2,0),"")</f>
        <v/>
      </c>
      <c r="AV234" s="79"/>
      <c r="AW234" s="78" t="str">
        <f t="shared" si="36"/>
        <v/>
      </c>
      <c r="AX234" s="77" t="str">
        <f t="shared" si="46"/>
        <v/>
      </c>
      <c r="AY234" s="21" t="str">
        <f>IFERROR(VLOOKUP((CONCATENATE(AM234,AX234)),Listados!$U$3:$V$11,2,FALSE),"")</f>
        <v/>
      </c>
      <c r="AZ234" s="48">
        <f t="shared" si="47"/>
        <v>100</v>
      </c>
      <c r="BA234" s="356"/>
      <c r="BB234" s="357"/>
      <c r="BC234" s="173">
        <f>+IF(AND(W234="Preventivo",BB229="Fuerte"),2,IF(AND(W234="Preventivo",BB229="Moderado"),1,0))</f>
        <v>0</v>
      </c>
      <c r="BD234" s="64">
        <f>+IF(AND(W234="Detectivo/Correctivo",$BB229="Fuerte"),2,IF(AND(W234="Detectivo/Correctivo",$BB234="Moderado"),1,IF(AND(W234="Preventivo",$BB229="Fuerte"),1,0)))</f>
        <v>0</v>
      </c>
      <c r="BE234" s="173" t="e">
        <f>+N229-BC234</f>
        <v>#N/A</v>
      </c>
      <c r="BF234" s="173" t="e">
        <f>+P229-BD234</f>
        <v>#N/A</v>
      </c>
      <c r="BG234" s="347"/>
      <c r="BH234" s="347"/>
      <c r="BI234" s="347"/>
      <c r="BJ234" s="539"/>
      <c r="BK234" s="539"/>
      <c r="BL234" s="539"/>
      <c r="BM234" s="539"/>
    </row>
    <row r="235" spans="1:65" ht="65.099999999999994" customHeight="1" thickBot="1">
      <c r="A235" s="328">
        <v>39</v>
      </c>
      <c r="B235" s="519"/>
      <c r="C235" s="371" t="str">
        <f>IFERROR(VLOOKUP(B235,Listados!B$3:C$20,2,FALSE),"")</f>
        <v/>
      </c>
      <c r="D235" s="107"/>
      <c r="E235" s="107"/>
      <c r="F235" s="432"/>
      <c r="G235" s="372"/>
      <c r="H235" s="100"/>
      <c r="I235" s="237"/>
      <c r="J235" s="100"/>
      <c r="K235" s="103"/>
      <c r="L235" s="17"/>
      <c r="M235" s="369"/>
      <c r="N235" s="348" t="e">
        <f>+VLOOKUP(M235,Listados!$K$8:$L$12,2,0)</f>
        <v>#N/A</v>
      </c>
      <c r="O235" s="351"/>
      <c r="P235" s="348" t="e">
        <f>+VLOOKUP(O235,Listados!$K$13:$L$17,2,0)</f>
        <v>#N/A</v>
      </c>
      <c r="Q235" s="347" t="str">
        <f>IF(AND(M235&lt;&gt;"",O235&lt;&gt;""),VLOOKUP(M235&amp;O235,Listados!$M$3:$N$27,2,FALSE),"")</f>
        <v/>
      </c>
      <c r="R235" s="345" t="e">
        <f>+VLOOKUP(Q235,Listados!$P$3:$Q$6,2,FALSE)</f>
        <v>#N/A</v>
      </c>
      <c r="S235" s="208"/>
      <c r="T235" s="94"/>
      <c r="U235" s="47" t="s">
        <v>627</v>
      </c>
      <c r="V235" s="215"/>
      <c r="W235" s="215"/>
      <c r="X235" s="215"/>
      <c r="Y235" s="95" t="str">
        <f t="shared" si="37"/>
        <v/>
      </c>
      <c r="Z235" s="215"/>
      <c r="AA235" s="95" t="str">
        <f t="shared" si="38"/>
        <v/>
      </c>
      <c r="AB235" s="208"/>
      <c r="AC235" s="95" t="str">
        <f t="shared" si="39"/>
        <v/>
      </c>
      <c r="AD235" s="208"/>
      <c r="AE235" s="95" t="str">
        <f t="shared" si="40"/>
        <v/>
      </c>
      <c r="AF235" s="208"/>
      <c r="AG235" s="95" t="str">
        <f t="shared" si="41"/>
        <v/>
      </c>
      <c r="AH235" s="208"/>
      <c r="AI235" s="95" t="str">
        <f t="shared" si="42"/>
        <v/>
      </c>
      <c r="AJ235" s="208"/>
      <c r="AK235" s="27" t="str">
        <f t="shared" si="43"/>
        <v/>
      </c>
      <c r="AL235" s="48" t="str">
        <f t="shared" si="44"/>
        <v/>
      </c>
      <c r="AM235" s="48" t="str">
        <f t="shared" si="45"/>
        <v/>
      </c>
      <c r="AN235" s="293"/>
      <c r="AO235" s="293"/>
      <c r="AP235" s="293"/>
      <c r="AQ235" s="293"/>
      <c r="AR235" s="293"/>
      <c r="AS235" s="293"/>
      <c r="AT235" s="293"/>
      <c r="AU235" s="294" t="str">
        <f>IFERROR(VLOOKUP(AT235,'Seguridad Información'!$I$61:$J$65,2,0),"")</f>
        <v/>
      </c>
      <c r="AV235" s="79"/>
      <c r="AW235" s="78" t="str">
        <f t="shared" si="36"/>
        <v/>
      </c>
      <c r="AX235" s="77" t="str">
        <f t="shared" si="46"/>
        <v/>
      </c>
      <c r="AY235" s="21" t="str">
        <f>IFERROR(VLOOKUP((CONCATENATE(AM235,AX235)),Listados!$U$3:$V$11,2,FALSE),"")</f>
        <v/>
      </c>
      <c r="AZ235" s="48">
        <f t="shared" si="47"/>
        <v>100</v>
      </c>
      <c r="BA235" s="354">
        <f>AVERAGE(AZ235:AZ240)</f>
        <v>100</v>
      </c>
      <c r="BB235" s="356" t="str">
        <f>IF(BA235&lt;=50, "Débil", IF(BA235&lt;=99,"Moderado","Fuerte"))</f>
        <v>Fuerte</v>
      </c>
      <c r="BC235" s="173">
        <f>+IF(AND(W235="Preventivo",BB235="Fuerte"),2,IF(AND(W235="Preventivo",BB235="Moderado"),1,0))</f>
        <v>0</v>
      </c>
      <c r="BD235" s="64">
        <f>+IF(AND(W235="Detectivo/Correctivo",$BB235="Fuerte"),2,IF(AND(W235="Detectivo/Correctivo",$BB235="Moderado"),1,IF(AND(W235="Preventivo",$BB235="Fuerte"),1,0)))</f>
        <v>0</v>
      </c>
      <c r="BE235" s="173" t="e">
        <f>+N235-BC235</f>
        <v>#N/A</v>
      </c>
      <c r="BF235" s="173" t="e">
        <f>+P235-BD235</f>
        <v>#N/A</v>
      </c>
      <c r="BG235" s="345" t="e">
        <f>+VLOOKUP(MIN(BE235,BE236,BE237,BE238,BE239,BE240),Listados!$J$18:$K$24,2,TRUE)</f>
        <v>#N/A</v>
      </c>
      <c r="BH235" s="345" t="e">
        <f>+VLOOKUP(MIN(BF235,BF236,BF237,BF238,BF239,BF240),Listados!$J$27:$K$32,2,TRUE)</f>
        <v>#N/A</v>
      </c>
      <c r="BI235" s="345" t="e">
        <f>IF(AND(BG235&lt;&gt;"",BH235&lt;&gt;""),VLOOKUP(BG235&amp;BH235,Listados!$M$3:$N$27,2,FALSE),"")</f>
        <v>#N/A</v>
      </c>
      <c r="BJ235" s="537" t="e">
        <f>+IF($R235="Asumir el riesgo","NA","")</f>
        <v>#N/A</v>
      </c>
      <c r="BK235" s="537" t="e">
        <f>+IF($R235="Asumir el riesgo","NA","")</f>
        <v>#N/A</v>
      </c>
      <c r="BL235" s="537" t="e">
        <f>+IF($R235="Asumir el riesgo","NA","")</f>
        <v>#N/A</v>
      </c>
      <c r="BM235" s="537" t="e">
        <f>+IF($R235="Asumir el riesgo","NA","")</f>
        <v>#N/A</v>
      </c>
    </row>
    <row r="236" spans="1:65" ht="65.099999999999994" customHeight="1" thickBot="1">
      <c r="A236" s="329"/>
      <c r="B236" s="514"/>
      <c r="C236" s="364"/>
      <c r="D236" s="233"/>
      <c r="E236" s="233"/>
      <c r="F236" s="433"/>
      <c r="G236" s="367"/>
      <c r="H236" s="100"/>
      <c r="I236" s="237"/>
      <c r="J236" s="100"/>
      <c r="K236" s="236"/>
      <c r="L236" s="222"/>
      <c r="M236" s="370"/>
      <c r="N236" s="349"/>
      <c r="O236" s="352"/>
      <c r="P236" s="349"/>
      <c r="Q236" s="353"/>
      <c r="R236" s="346"/>
      <c r="S236" s="208"/>
      <c r="T236" s="195"/>
      <c r="U236" s="47" t="s">
        <v>627</v>
      </c>
      <c r="V236" s="215"/>
      <c r="W236" s="215"/>
      <c r="X236" s="215"/>
      <c r="Y236" s="95" t="str">
        <f t="shared" si="37"/>
        <v/>
      </c>
      <c r="Z236" s="215"/>
      <c r="AA236" s="95" t="str">
        <f t="shared" si="38"/>
        <v/>
      </c>
      <c r="AB236" s="208"/>
      <c r="AC236" s="95" t="str">
        <f t="shared" si="39"/>
        <v/>
      </c>
      <c r="AD236" s="208"/>
      <c r="AE236" s="95" t="str">
        <f t="shared" si="40"/>
        <v/>
      </c>
      <c r="AF236" s="208"/>
      <c r="AG236" s="95" t="str">
        <f t="shared" si="41"/>
        <v/>
      </c>
      <c r="AH236" s="208"/>
      <c r="AI236" s="95" t="str">
        <f t="shared" si="42"/>
        <v/>
      </c>
      <c r="AJ236" s="208"/>
      <c r="AK236" s="27" t="str">
        <f t="shared" si="43"/>
        <v/>
      </c>
      <c r="AL236" s="48" t="str">
        <f t="shared" si="44"/>
        <v/>
      </c>
      <c r="AM236" s="48" t="str">
        <f t="shared" si="45"/>
        <v/>
      </c>
      <c r="AN236" s="293"/>
      <c r="AO236" s="293"/>
      <c r="AP236" s="293"/>
      <c r="AQ236" s="293"/>
      <c r="AR236" s="293"/>
      <c r="AS236" s="293"/>
      <c r="AT236" s="293"/>
      <c r="AU236" s="294" t="str">
        <f>IFERROR(VLOOKUP(AT236,'Seguridad Información'!$I$61:$J$65,2,0),"")</f>
        <v/>
      </c>
      <c r="AV236" s="79"/>
      <c r="AW236" s="78" t="str">
        <f t="shared" si="36"/>
        <v/>
      </c>
      <c r="AX236" s="77" t="str">
        <f t="shared" si="46"/>
        <v/>
      </c>
      <c r="AY236" s="21" t="str">
        <f>IFERROR(VLOOKUP((CONCATENATE(AM236,AX236)),Listados!$U$3:$V$11,2,FALSE),"")</f>
        <v/>
      </c>
      <c r="AZ236" s="48">
        <f t="shared" si="47"/>
        <v>100</v>
      </c>
      <c r="BA236" s="355"/>
      <c r="BB236" s="357"/>
      <c r="BC236" s="173">
        <f>+IF(AND(W236="Preventivo",BB235="Fuerte"),2,IF(AND(W236="Preventivo",BB235="Moderado"),1,0))</f>
        <v>0</v>
      </c>
      <c r="BD236" s="64">
        <f>+IF(AND(W236="Detectivo/Correctivo",$BB235="Fuerte"),2,IF(AND(W236="Detectivo/Correctivo",$BB236="Moderado"),1,IF(AND(W236="Preventivo",$BB235="Fuerte"),1,0)))</f>
        <v>0</v>
      </c>
      <c r="BE236" s="173" t="e">
        <f>+N235-BC236</f>
        <v>#N/A</v>
      </c>
      <c r="BF236" s="173" t="e">
        <f>+P235-BD236</f>
        <v>#N/A</v>
      </c>
      <c r="BG236" s="346"/>
      <c r="BH236" s="346"/>
      <c r="BI236" s="346"/>
      <c r="BJ236" s="538"/>
      <c r="BK236" s="538"/>
      <c r="BL236" s="538"/>
      <c r="BM236" s="538"/>
    </row>
    <row r="237" spans="1:65" ht="65.099999999999994" customHeight="1" thickBot="1">
      <c r="A237" s="329"/>
      <c r="B237" s="514"/>
      <c r="C237" s="364"/>
      <c r="D237" s="233"/>
      <c r="E237" s="233"/>
      <c r="F237" s="433"/>
      <c r="G237" s="367"/>
      <c r="H237" s="100"/>
      <c r="I237" s="237"/>
      <c r="J237" s="100"/>
      <c r="K237" s="236"/>
      <c r="L237" s="222"/>
      <c r="M237" s="370"/>
      <c r="N237" s="349"/>
      <c r="O237" s="352"/>
      <c r="P237" s="349"/>
      <c r="Q237" s="353"/>
      <c r="R237" s="346"/>
      <c r="S237" s="208"/>
      <c r="T237" s="96"/>
      <c r="U237" s="47" t="s">
        <v>627</v>
      </c>
      <c r="V237" s="215"/>
      <c r="W237" s="215"/>
      <c r="X237" s="215"/>
      <c r="Y237" s="95" t="str">
        <f t="shared" si="37"/>
        <v/>
      </c>
      <c r="Z237" s="215"/>
      <c r="AA237" s="95" t="str">
        <f t="shared" si="38"/>
        <v/>
      </c>
      <c r="AB237" s="208"/>
      <c r="AC237" s="95" t="str">
        <f t="shared" si="39"/>
        <v/>
      </c>
      <c r="AD237" s="208"/>
      <c r="AE237" s="95" t="str">
        <f t="shared" si="40"/>
        <v/>
      </c>
      <c r="AF237" s="208"/>
      <c r="AG237" s="95" t="str">
        <f t="shared" si="41"/>
        <v/>
      </c>
      <c r="AH237" s="208"/>
      <c r="AI237" s="95" t="str">
        <f t="shared" si="42"/>
        <v/>
      </c>
      <c r="AJ237" s="208"/>
      <c r="AK237" s="27" t="str">
        <f t="shared" si="43"/>
        <v/>
      </c>
      <c r="AL237" s="48" t="str">
        <f t="shared" si="44"/>
        <v/>
      </c>
      <c r="AM237" s="48" t="str">
        <f t="shared" si="45"/>
        <v/>
      </c>
      <c r="AN237" s="293"/>
      <c r="AO237" s="293"/>
      <c r="AP237" s="293"/>
      <c r="AQ237" s="293"/>
      <c r="AR237" s="293"/>
      <c r="AS237" s="293"/>
      <c r="AT237" s="293"/>
      <c r="AU237" s="294" t="str">
        <f>IFERROR(VLOOKUP(AT237,'Seguridad Información'!$I$61:$J$65,2,0),"")</f>
        <v/>
      </c>
      <c r="AV237" s="79"/>
      <c r="AW237" s="78" t="str">
        <f t="shared" si="36"/>
        <v/>
      </c>
      <c r="AX237" s="77" t="str">
        <f t="shared" si="46"/>
        <v/>
      </c>
      <c r="AY237" s="21" t="str">
        <f>IFERROR(VLOOKUP((CONCATENATE(AM237,AX237)),Listados!$U$3:$V$11,2,FALSE),"")</f>
        <v/>
      </c>
      <c r="AZ237" s="48">
        <f t="shared" si="47"/>
        <v>100</v>
      </c>
      <c r="BA237" s="355"/>
      <c r="BB237" s="357"/>
      <c r="BC237" s="173">
        <f>+IF(AND(W237="Preventivo",BB235="Fuerte"),2,IF(AND(W237="Preventivo",BB235="Moderado"),1,0))</f>
        <v>0</v>
      </c>
      <c r="BD237" s="64">
        <f>+IF(AND(W237="Detectivo/Correctivo",$BB235="Fuerte"),2,IF(AND(W237="Detectivo/Correctivo",$BB237="Moderado"),1,IF(AND(W237="Preventivo",$BB235="Fuerte"),1,0)))</f>
        <v>0</v>
      </c>
      <c r="BE237" s="173" t="e">
        <f>+N235-BC237</f>
        <v>#N/A</v>
      </c>
      <c r="BF237" s="173" t="e">
        <f>+P235-BD237</f>
        <v>#N/A</v>
      </c>
      <c r="BG237" s="346"/>
      <c r="BH237" s="346"/>
      <c r="BI237" s="346"/>
      <c r="BJ237" s="538"/>
      <c r="BK237" s="538"/>
      <c r="BL237" s="538"/>
      <c r="BM237" s="538"/>
    </row>
    <row r="238" spans="1:65" ht="65.099999999999994" customHeight="1" thickBot="1">
      <c r="A238" s="329"/>
      <c r="B238" s="514"/>
      <c r="C238" s="364"/>
      <c r="D238" s="233"/>
      <c r="E238" s="233"/>
      <c r="F238" s="433"/>
      <c r="G238" s="367"/>
      <c r="H238" s="100"/>
      <c r="I238" s="237"/>
      <c r="J238" s="100"/>
      <c r="K238" s="236"/>
      <c r="L238" s="222"/>
      <c r="M238" s="370"/>
      <c r="N238" s="349"/>
      <c r="O238" s="352"/>
      <c r="P238" s="349"/>
      <c r="Q238" s="353"/>
      <c r="R238" s="346"/>
      <c r="S238" s="208"/>
      <c r="T238" s="97"/>
      <c r="U238" s="47" t="s">
        <v>627</v>
      </c>
      <c r="V238" s="215"/>
      <c r="W238" s="215"/>
      <c r="X238" s="215"/>
      <c r="Y238" s="95" t="str">
        <f t="shared" si="37"/>
        <v/>
      </c>
      <c r="Z238" s="215"/>
      <c r="AA238" s="95" t="str">
        <f t="shared" si="38"/>
        <v/>
      </c>
      <c r="AB238" s="208"/>
      <c r="AC238" s="95" t="str">
        <f t="shared" si="39"/>
        <v/>
      </c>
      <c r="AD238" s="208"/>
      <c r="AE238" s="95" t="str">
        <f t="shared" si="40"/>
        <v/>
      </c>
      <c r="AF238" s="208"/>
      <c r="AG238" s="95" t="str">
        <f t="shared" si="41"/>
        <v/>
      </c>
      <c r="AH238" s="208"/>
      <c r="AI238" s="95" t="str">
        <f t="shared" si="42"/>
        <v/>
      </c>
      <c r="AJ238" s="208"/>
      <c r="AK238" s="27" t="str">
        <f t="shared" si="43"/>
        <v/>
      </c>
      <c r="AL238" s="48" t="str">
        <f t="shared" si="44"/>
        <v/>
      </c>
      <c r="AM238" s="48" t="str">
        <f t="shared" si="45"/>
        <v/>
      </c>
      <c r="AN238" s="293"/>
      <c r="AO238" s="293"/>
      <c r="AP238" s="293"/>
      <c r="AQ238" s="293"/>
      <c r="AR238" s="293"/>
      <c r="AS238" s="293"/>
      <c r="AT238" s="293"/>
      <c r="AU238" s="294" t="str">
        <f>IFERROR(VLOOKUP(AT238,'Seguridad Información'!$I$61:$J$65,2,0),"")</f>
        <v/>
      </c>
      <c r="AV238" s="79"/>
      <c r="AW238" s="78" t="str">
        <f t="shared" si="36"/>
        <v/>
      </c>
      <c r="AX238" s="77" t="str">
        <f t="shared" si="46"/>
        <v/>
      </c>
      <c r="AY238" s="21" t="str">
        <f>IFERROR(VLOOKUP((CONCATENATE(AM238,AX238)),Listados!$U$3:$V$11,2,FALSE),"")</f>
        <v/>
      </c>
      <c r="AZ238" s="48">
        <f t="shared" si="47"/>
        <v>100</v>
      </c>
      <c r="BA238" s="355"/>
      <c r="BB238" s="357"/>
      <c r="BC238" s="173">
        <f>+IF(AND(W238="Preventivo",BB235="Fuerte"),2,IF(AND(W238="Preventivo",BB235="Moderado"),1,0))</f>
        <v>0</v>
      </c>
      <c r="BD238" s="64">
        <f>+IF(AND(W238="Detectivo/Correctivo",$BB235="Fuerte"),2,IF(AND(W238="Detectivo/Correctivo",$BB238="Moderado"),1,IF(AND(W238="Preventivo",$BB235="Fuerte"),1,0)))</f>
        <v>0</v>
      </c>
      <c r="BE238" s="173" t="e">
        <f>+N235-BC238</f>
        <v>#N/A</v>
      </c>
      <c r="BF238" s="173" t="e">
        <f>+P235-BD238</f>
        <v>#N/A</v>
      </c>
      <c r="BG238" s="346"/>
      <c r="BH238" s="346"/>
      <c r="BI238" s="346"/>
      <c r="BJ238" s="538"/>
      <c r="BK238" s="538"/>
      <c r="BL238" s="538"/>
      <c r="BM238" s="538"/>
    </row>
    <row r="239" spans="1:65" ht="65.099999999999994" customHeight="1" thickBot="1">
      <c r="A239" s="329"/>
      <c r="B239" s="514"/>
      <c r="C239" s="364"/>
      <c r="D239" s="109"/>
      <c r="E239" s="109"/>
      <c r="F239" s="433"/>
      <c r="G239" s="367"/>
      <c r="H239" s="100"/>
      <c r="I239" s="237"/>
      <c r="J239" s="100"/>
      <c r="K239" s="29"/>
      <c r="L239" s="222"/>
      <c r="M239" s="370"/>
      <c r="N239" s="349"/>
      <c r="O239" s="352"/>
      <c r="P239" s="349"/>
      <c r="Q239" s="353"/>
      <c r="R239" s="346"/>
      <c r="S239" s="208"/>
      <c r="T239" s="195"/>
      <c r="U239" s="47" t="s">
        <v>627</v>
      </c>
      <c r="V239" s="215"/>
      <c r="W239" s="215"/>
      <c r="X239" s="215"/>
      <c r="Y239" s="95" t="str">
        <f t="shared" si="37"/>
        <v/>
      </c>
      <c r="Z239" s="215"/>
      <c r="AA239" s="95" t="str">
        <f t="shared" si="38"/>
        <v/>
      </c>
      <c r="AB239" s="208"/>
      <c r="AC239" s="95" t="str">
        <f t="shared" si="39"/>
        <v/>
      </c>
      <c r="AD239" s="208"/>
      <c r="AE239" s="95" t="str">
        <f t="shared" si="40"/>
        <v/>
      </c>
      <c r="AF239" s="208"/>
      <c r="AG239" s="95" t="str">
        <f t="shared" si="41"/>
        <v/>
      </c>
      <c r="AH239" s="208"/>
      <c r="AI239" s="95" t="str">
        <f t="shared" si="42"/>
        <v/>
      </c>
      <c r="AJ239" s="208"/>
      <c r="AK239" s="27" t="str">
        <f t="shared" si="43"/>
        <v/>
      </c>
      <c r="AL239" s="48" t="str">
        <f t="shared" si="44"/>
        <v/>
      </c>
      <c r="AM239" s="48" t="str">
        <f t="shared" si="45"/>
        <v/>
      </c>
      <c r="AN239" s="293"/>
      <c r="AO239" s="293"/>
      <c r="AP239" s="293"/>
      <c r="AQ239" s="293"/>
      <c r="AR239" s="293"/>
      <c r="AS239" s="293"/>
      <c r="AT239" s="293"/>
      <c r="AU239" s="294" t="str">
        <f>IFERROR(VLOOKUP(AT239,'Seguridad Información'!$I$61:$J$65,2,0),"")</f>
        <v/>
      </c>
      <c r="AV239" s="79"/>
      <c r="AW239" s="78" t="str">
        <f t="shared" si="36"/>
        <v/>
      </c>
      <c r="AX239" s="77" t="str">
        <f t="shared" si="46"/>
        <v/>
      </c>
      <c r="AY239" s="21" t="str">
        <f>IFERROR(VLOOKUP((CONCATENATE(AM239,AX239)),Listados!$U$3:$V$11,2,FALSE),"")</f>
        <v/>
      </c>
      <c r="AZ239" s="48">
        <f t="shared" si="47"/>
        <v>100</v>
      </c>
      <c r="BA239" s="355"/>
      <c r="BB239" s="357"/>
      <c r="BC239" s="173">
        <f>+IF(AND(W239="Preventivo",BB235="Fuerte"),2,IF(AND(W239="Preventivo",BB235="Moderado"),1,0))</f>
        <v>0</v>
      </c>
      <c r="BD239" s="64">
        <f>+IF(AND(W239="Detectivo/Correctivo",$BB235="Fuerte"),2,IF(AND(W239="Detectivo/Correctivo",$BB239="Moderado"),1,IF(AND(W239="Preventivo",$BB235="Fuerte"),1,0)))</f>
        <v>0</v>
      </c>
      <c r="BE239" s="173" t="e">
        <f>+N235-BC239</f>
        <v>#N/A</v>
      </c>
      <c r="BF239" s="173" t="e">
        <f>+P235-BD239</f>
        <v>#N/A</v>
      </c>
      <c r="BG239" s="346"/>
      <c r="BH239" s="346"/>
      <c r="BI239" s="346"/>
      <c r="BJ239" s="538"/>
      <c r="BK239" s="538"/>
      <c r="BL239" s="538"/>
      <c r="BM239" s="538"/>
    </row>
    <row r="240" spans="1:65" ht="65.099999999999994" customHeight="1" thickBot="1">
      <c r="A240" s="330"/>
      <c r="B240" s="514"/>
      <c r="C240" s="365"/>
      <c r="D240" s="106"/>
      <c r="E240" s="106"/>
      <c r="F240" s="434"/>
      <c r="G240" s="368"/>
      <c r="H240" s="100"/>
      <c r="I240" s="237"/>
      <c r="J240" s="100"/>
      <c r="K240" s="31"/>
      <c r="L240" s="222"/>
      <c r="M240" s="370"/>
      <c r="N240" s="350"/>
      <c r="O240" s="352"/>
      <c r="P240" s="350"/>
      <c r="Q240" s="353"/>
      <c r="R240" s="347"/>
      <c r="S240" s="208"/>
      <c r="T240" s="98"/>
      <c r="U240" s="47" t="s">
        <v>627</v>
      </c>
      <c r="V240" s="215"/>
      <c r="W240" s="215"/>
      <c r="X240" s="215"/>
      <c r="Y240" s="95" t="str">
        <f t="shared" si="37"/>
        <v/>
      </c>
      <c r="Z240" s="215"/>
      <c r="AA240" s="95" t="str">
        <f t="shared" si="38"/>
        <v/>
      </c>
      <c r="AB240" s="208"/>
      <c r="AC240" s="95" t="str">
        <f t="shared" si="39"/>
        <v/>
      </c>
      <c r="AD240" s="208"/>
      <c r="AE240" s="95" t="str">
        <f t="shared" si="40"/>
        <v/>
      </c>
      <c r="AF240" s="208"/>
      <c r="AG240" s="95" t="str">
        <f t="shared" si="41"/>
        <v/>
      </c>
      <c r="AH240" s="208"/>
      <c r="AI240" s="95" t="str">
        <f t="shared" si="42"/>
        <v/>
      </c>
      <c r="AJ240" s="208"/>
      <c r="AK240" s="27" t="str">
        <f t="shared" si="43"/>
        <v/>
      </c>
      <c r="AL240" s="48" t="str">
        <f t="shared" si="44"/>
        <v/>
      </c>
      <c r="AM240" s="48" t="str">
        <f t="shared" si="45"/>
        <v/>
      </c>
      <c r="AN240" s="293"/>
      <c r="AO240" s="293"/>
      <c r="AP240" s="293"/>
      <c r="AQ240" s="293"/>
      <c r="AR240" s="293"/>
      <c r="AS240" s="293"/>
      <c r="AT240" s="293"/>
      <c r="AU240" s="294" t="str">
        <f>IFERROR(VLOOKUP(AT240,'Seguridad Información'!$I$61:$J$65,2,0),"")</f>
        <v/>
      </c>
      <c r="AV240" s="79"/>
      <c r="AW240" s="78" t="str">
        <f t="shared" si="36"/>
        <v/>
      </c>
      <c r="AX240" s="77" t="str">
        <f t="shared" si="46"/>
        <v/>
      </c>
      <c r="AY240" s="21" t="str">
        <f>IFERROR(VLOOKUP((CONCATENATE(AM240,AX240)),Listados!$U$3:$V$11,2,FALSE),"")</f>
        <v/>
      </c>
      <c r="AZ240" s="48">
        <f t="shared" si="47"/>
        <v>100</v>
      </c>
      <c r="BA240" s="356"/>
      <c r="BB240" s="357"/>
      <c r="BC240" s="173">
        <f>+IF(AND(W240="Preventivo",BB235="Fuerte"),2,IF(AND(W240="Preventivo",BB235="Moderado"),1,0))</f>
        <v>0</v>
      </c>
      <c r="BD240" s="64">
        <f>+IF(AND(W240="Detectivo/Correctivo",$BB235="Fuerte"),2,IF(AND(W240="Detectivo/Correctivo",$BB240="Moderado"),1,IF(AND(W240="Preventivo",$BB235="Fuerte"),1,0)))</f>
        <v>0</v>
      </c>
      <c r="BE240" s="173" t="e">
        <f>+N235-BC240</f>
        <v>#N/A</v>
      </c>
      <c r="BF240" s="173" t="e">
        <f>+P235-BD240</f>
        <v>#N/A</v>
      </c>
      <c r="BG240" s="347"/>
      <c r="BH240" s="347"/>
      <c r="BI240" s="347"/>
      <c r="BJ240" s="539"/>
      <c r="BK240" s="539"/>
      <c r="BL240" s="539"/>
      <c r="BM240" s="539"/>
    </row>
    <row r="241" spans="1:65" ht="65.099999999999994" customHeight="1" thickBot="1">
      <c r="A241" s="328">
        <v>40</v>
      </c>
      <c r="B241" s="519"/>
      <c r="C241" s="371" t="str">
        <f>IFERROR(VLOOKUP(B241,Listados!B$3:C$20,2,FALSE),"")</f>
        <v/>
      </c>
      <c r="D241" s="107"/>
      <c r="E241" s="107"/>
      <c r="F241" s="432"/>
      <c r="G241" s="372"/>
      <c r="H241" s="100"/>
      <c r="I241" s="237"/>
      <c r="J241" s="100"/>
      <c r="K241" s="103"/>
      <c r="L241" s="17"/>
      <c r="M241" s="369"/>
      <c r="N241" s="348" t="e">
        <f>+VLOOKUP(M241,Listados!$K$8:$L$12,2,0)</f>
        <v>#N/A</v>
      </c>
      <c r="O241" s="351"/>
      <c r="P241" s="348" t="e">
        <f>+VLOOKUP(O241,Listados!$K$13:$L$17,2,0)</f>
        <v>#N/A</v>
      </c>
      <c r="Q241" s="347" t="str">
        <f>IF(AND(M241&lt;&gt;"",O241&lt;&gt;""),VLOOKUP(M241&amp;O241,Listados!$M$3:$N$27,2,FALSE),"")</f>
        <v/>
      </c>
      <c r="R241" s="345" t="e">
        <f>+VLOOKUP(Q241,Listados!$P$3:$Q$6,2,FALSE)</f>
        <v>#N/A</v>
      </c>
      <c r="S241" s="208"/>
      <c r="T241" s="94"/>
      <c r="U241" s="47" t="s">
        <v>627</v>
      </c>
      <c r="V241" s="215"/>
      <c r="W241" s="215"/>
      <c r="X241" s="215"/>
      <c r="Y241" s="95" t="str">
        <f t="shared" si="37"/>
        <v/>
      </c>
      <c r="Z241" s="215"/>
      <c r="AA241" s="95" t="str">
        <f t="shared" si="38"/>
        <v/>
      </c>
      <c r="AB241" s="208"/>
      <c r="AC241" s="95" t="str">
        <f t="shared" si="39"/>
        <v/>
      </c>
      <c r="AD241" s="208"/>
      <c r="AE241" s="95" t="str">
        <f t="shared" si="40"/>
        <v/>
      </c>
      <c r="AF241" s="208"/>
      <c r="AG241" s="95" t="str">
        <f t="shared" si="41"/>
        <v/>
      </c>
      <c r="AH241" s="208"/>
      <c r="AI241" s="95" t="str">
        <f t="shared" si="42"/>
        <v/>
      </c>
      <c r="AJ241" s="208"/>
      <c r="AK241" s="27" t="str">
        <f t="shared" si="43"/>
        <v/>
      </c>
      <c r="AL241" s="48" t="str">
        <f t="shared" si="44"/>
        <v/>
      </c>
      <c r="AM241" s="48" t="str">
        <f t="shared" si="45"/>
        <v/>
      </c>
      <c r="AN241" s="293"/>
      <c r="AO241" s="293"/>
      <c r="AP241" s="293"/>
      <c r="AQ241" s="293"/>
      <c r="AR241" s="293"/>
      <c r="AS241" s="293"/>
      <c r="AT241" s="293"/>
      <c r="AU241" s="294" t="str">
        <f>IFERROR(VLOOKUP(AT241,'Seguridad Información'!$I$61:$J$65,2,0),"")</f>
        <v/>
      </c>
      <c r="AV241" s="79"/>
      <c r="AW241" s="78" t="str">
        <f t="shared" si="36"/>
        <v/>
      </c>
      <c r="AX241" s="77" t="str">
        <f t="shared" si="46"/>
        <v/>
      </c>
      <c r="AY241" s="21" t="str">
        <f>IFERROR(VLOOKUP((CONCATENATE(AM241,AX241)),Listados!$U$3:$V$11,2,FALSE),"")</f>
        <v/>
      </c>
      <c r="AZ241" s="48">
        <f t="shared" si="47"/>
        <v>100</v>
      </c>
      <c r="BA241" s="354">
        <f>AVERAGE(AZ241:AZ246)</f>
        <v>100</v>
      </c>
      <c r="BB241" s="356" t="str">
        <f>IF(BA241&lt;=50, "Débil", IF(BA241&lt;=99,"Moderado","Fuerte"))</f>
        <v>Fuerte</v>
      </c>
      <c r="BC241" s="173">
        <f>+IF(AND(W241="Preventivo",BB241="Fuerte"),2,IF(AND(W241="Preventivo",BB241="Moderado"),1,0))</f>
        <v>0</v>
      </c>
      <c r="BD241" s="64">
        <f>+IF(AND(W241="Detectivo/Correctivo",$BB241="Fuerte"),2,IF(AND(W241="Detectivo/Correctivo",$BB241="Moderado"),1,IF(AND(W241="Preventivo",$BB241="Fuerte"),1,0)))</f>
        <v>0</v>
      </c>
      <c r="BE241" s="173" t="e">
        <f>+N241-BC241</f>
        <v>#N/A</v>
      </c>
      <c r="BF241" s="173" t="e">
        <f>+P241-BD241</f>
        <v>#N/A</v>
      </c>
      <c r="BG241" s="345" t="e">
        <f>+VLOOKUP(MIN(BE241,BE242,BE243,BE244,BE245,BE246),Listados!$J$18:$K$24,2,TRUE)</f>
        <v>#N/A</v>
      </c>
      <c r="BH241" s="345" t="e">
        <f>+VLOOKUP(MIN(BF241,BF242,BF243,BF244,BF245,BF246),Listados!$J$27:$K$32,2,TRUE)</f>
        <v>#N/A</v>
      </c>
      <c r="BI241" s="345" t="e">
        <f>IF(AND(BG241&lt;&gt;"",BH241&lt;&gt;""),VLOOKUP(BG241&amp;BH241,Listados!$M$3:$N$27,2,FALSE),"")</f>
        <v>#N/A</v>
      </c>
      <c r="BJ241" s="537" t="e">
        <f>+IF($R241="Asumir el riesgo","NA","")</f>
        <v>#N/A</v>
      </c>
      <c r="BK241" s="537" t="e">
        <f>+IF($R241="Asumir el riesgo","NA","")</f>
        <v>#N/A</v>
      </c>
      <c r="BL241" s="537" t="e">
        <f>+IF($R241="Asumir el riesgo","NA","")</f>
        <v>#N/A</v>
      </c>
      <c r="BM241" s="537" t="e">
        <f>+IF($R241="Asumir el riesgo","NA","")</f>
        <v>#N/A</v>
      </c>
    </row>
    <row r="242" spans="1:65" ht="65.099999999999994" customHeight="1" thickBot="1">
      <c r="A242" s="329"/>
      <c r="B242" s="514"/>
      <c r="C242" s="364"/>
      <c r="D242" s="233"/>
      <c r="E242" s="233"/>
      <c r="F242" s="433"/>
      <c r="G242" s="367"/>
      <c r="H242" s="100"/>
      <c r="I242" s="237"/>
      <c r="J242" s="100"/>
      <c r="K242" s="236"/>
      <c r="L242" s="222"/>
      <c r="M242" s="370"/>
      <c r="N242" s="349"/>
      <c r="O242" s="352"/>
      <c r="P242" s="349"/>
      <c r="Q242" s="353"/>
      <c r="R242" s="346"/>
      <c r="S242" s="208"/>
      <c r="T242" s="195"/>
      <c r="U242" s="47" t="s">
        <v>627</v>
      </c>
      <c r="V242" s="215"/>
      <c r="W242" s="215"/>
      <c r="X242" s="215"/>
      <c r="Y242" s="95" t="str">
        <f t="shared" si="37"/>
        <v/>
      </c>
      <c r="Z242" s="215"/>
      <c r="AA242" s="95" t="str">
        <f t="shared" si="38"/>
        <v/>
      </c>
      <c r="AB242" s="208"/>
      <c r="AC242" s="95" t="str">
        <f t="shared" si="39"/>
        <v/>
      </c>
      <c r="AD242" s="208"/>
      <c r="AE242" s="95" t="str">
        <f t="shared" si="40"/>
        <v/>
      </c>
      <c r="AF242" s="208"/>
      <c r="AG242" s="95" t="str">
        <f t="shared" si="41"/>
        <v/>
      </c>
      <c r="AH242" s="208"/>
      <c r="AI242" s="95" t="str">
        <f t="shared" si="42"/>
        <v/>
      </c>
      <c r="AJ242" s="208"/>
      <c r="AK242" s="27" t="str">
        <f t="shared" si="43"/>
        <v/>
      </c>
      <c r="AL242" s="48" t="str">
        <f t="shared" si="44"/>
        <v/>
      </c>
      <c r="AM242" s="48" t="str">
        <f t="shared" si="45"/>
        <v/>
      </c>
      <c r="AN242" s="293"/>
      <c r="AO242" s="293"/>
      <c r="AP242" s="293"/>
      <c r="AQ242" s="293"/>
      <c r="AR242" s="293"/>
      <c r="AS242" s="293"/>
      <c r="AT242" s="293"/>
      <c r="AU242" s="294" t="str">
        <f>IFERROR(VLOOKUP(AT242,'Seguridad Información'!$I$61:$J$65,2,0),"")</f>
        <v/>
      </c>
      <c r="AV242" s="79"/>
      <c r="AW242" s="78" t="str">
        <f t="shared" si="36"/>
        <v/>
      </c>
      <c r="AX242" s="77" t="str">
        <f t="shared" si="46"/>
        <v/>
      </c>
      <c r="AY242" s="21" t="str">
        <f>IFERROR(VLOOKUP((CONCATENATE(AM242,AX242)),Listados!$U$3:$V$11,2,FALSE),"")</f>
        <v/>
      </c>
      <c r="AZ242" s="48">
        <f t="shared" si="47"/>
        <v>100</v>
      </c>
      <c r="BA242" s="355"/>
      <c r="BB242" s="357"/>
      <c r="BC242" s="173">
        <f>+IF(AND(W242="Preventivo",BB241="Fuerte"),2,IF(AND(W242="Preventivo",BB241="Moderado"),1,0))</f>
        <v>0</v>
      </c>
      <c r="BD242" s="64">
        <f>+IF(AND(W242="Detectivo/Correctivo",$BB241="Fuerte"),2,IF(AND(W242="Detectivo/Correctivo",$BB242="Moderado"),1,IF(AND(W242="Preventivo",$BB241="Fuerte"),1,0)))</f>
        <v>0</v>
      </c>
      <c r="BE242" s="173" t="e">
        <f>+N241-BC242</f>
        <v>#N/A</v>
      </c>
      <c r="BF242" s="173" t="e">
        <f>+P241-BD242</f>
        <v>#N/A</v>
      </c>
      <c r="BG242" s="346"/>
      <c r="BH242" s="346"/>
      <c r="BI242" s="346"/>
      <c r="BJ242" s="538"/>
      <c r="BK242" s="538"/>
      <c r="BL242" s="538"/>
      <c r="BM242" s="538"/>
    </row>
    <row r="243" spans="1:65" ht="65.099999999999994" customHeight="1" thickBot="1">
      <c r="A243" s="329"/>
      <c r="B243" s="514"/>
      <c r="C243" s="364"/>
      <c r="D243" s="233"/>
      <c r="E243" s="233"/>
      <c r="F243" s="433"/>
      <c r="G243" s="367"/>
      <c r="H243" s="100"/>
      <c r="I243" s="237"/>
      <c r="J243" s="100"/>
      <c r="K243" s="236"/>
      <c r="L243" s="222"/>
      <c r="M243" s="370"/>
      <c r="N243" s="349"/>
      <c r="O243" s="352"/>
      <c r="P243" s="349"/>
      <c r="Q243" s="353"/>
      <c r="R243" s="346"/>
      <c r="S243" s="208"/>
      <c r="T243" s="96"/>
      <c r="U243" s="47" t="s">
        <v>627</v>
      </c>
      <c r="V243" s="215"/>
      <c r="W243" s="215"/>
      <c r="X243" s="215"/>
      <c r="Y243" s="95" t="str">
        <f t="shared" si="37"/>
        <v/>
      </c>
      <c r="Z243" s="215"/>
      <c r="AA243" s="95" t="str">
        <f t="shared" si="38"/>
        <v/>
      </c>
      <c r="AB243" s="208"/>
      <c r="AC243" s="95" t="str">
        <f t="shared" si="39"/>
        <v/>
      </c>
      <c r="AD243" s="208"/>
      <c r="AE243" s="95" t="str">
        <f t="shared" si="40"/>
        <v/>
      </c>
      <c r="AF243" s="208"/>
      <c r="AG243" s="95" t="str">
        <f t="shared" si="41"/>
        <v/>
      </c>
      <c r="AH243" s="208"/>
      <c r="AI243" s="95" t="str">
        <f t="shared" si="42"/>
        <v/>
      </c>
      <c r="AJ243" s="208"/>
      <c r="AK243" s="27" t="str">
        <f t="shared" si="43"/>
        <v/>
      </c>
      <c r="AL243" s="48" t="str">
        <f t="shared" si="44"/>
        <v/>
      </c>
      <c r="AM243" s="48" t="str">
        <f t="shared" si="45"/>
        <v/>
      </c>
      <c r="AN243" s="293"/>
      <c r="AO243" s="293"/>
      <c r="AP243" s="293"/>
      <c r="AQ243" s="293"/>
      <c r="AR243" s="293"/>
      <c r="AS243" s="293"/>
      <c r="AT243" s="293"/>
      <c r="AU243" s="294" t="str">
        <f>IFERROR(VLOOKUP(AT243,'Seguridad Información'!$I$61:$J$65,2,0),"")</f>
        <v/>
      </c>
      <c r="AV243" s="79"/>
      <c r="AW243" s="78" t="str">
        <f t="shared" si="36"/>
        <v/>
      </c>
      <c r="AX243" s="77" t="str">
        <f t="shared" si="46"/>
        <v/>
      </c>
      <c r="AY243" s="21" t="str">
        <f>IFERROR(VLOOKUP((CONCATENATE(AM243,AX243)),Listados!$U$3:$V$11,2,FALSE),"")</f>
        <v/>
      </c>
      <c r="AZ243" s="48">
        <f t="shared" si="47"/>
        <v>100</v>
      </c>
      <c r="BA243" s="355"/>
      <c r="BB243" s="357"/>
      <c r="BC243" s="173">
        <f>+IF(AND(W243="Preventivo",BB241="Fuerte"),2,IF(AND(W243="Preventivo",BB241="Moderado"),1,0))</f>
        <v>0</v>
      </c>
      <c r="BD243" s="64">
        <f>+IF(AND(W243="Detectivo/Correctivo",$BB241="Fuerte"),2,IF(AND(W243="Detectivo/Correctivo",$BB243="Moderado"),1,IF(AND(W243="Preventivo",$BB241="Fuerte"),1,0)))</f>
        <v>0</v>
      </c>
      <c r="BE243" s="173" t="e">
        <f>+N241-BC243</f>
        <v>#N/A</v>
      </c>
      <c r="BF243" s="173" t="e">
        <f>+P241-BD243</f>
        <v>#N/A</v>
      </c>
      <c r="BG243" s="346"/>
      <c r="BH243" s="346"/>
      <c r="BI243" s="346"/>
      <c r="BJ243" s="538"/>
      <c r="BK243" s="538"/>
      <c r="BL243" s="538"/>
      <c r="BM243" s="538"/>
    </row>
    <row r="244" spans="1:65" ht="65.099999999999994" customHeight="1" thickBot="1">
      <c r="A244" s="329"/>
      <c r="B244" s="514"/>
      <c r="C244" s="364"/>
      <c r="D244" s="233"/>
      <c r="E244" s="233"/>
      <c r="F244" s="433"/>
      <c r="G244" s="367"/>
      <c r="H244" s="100"/>
      <c r="I244" s="237"/>
      <c r="J244" s="100"/>
      <c r="K244" s="236"/>
      <c r="L244" s="222"/>
      <c r="M244" s="370"/>
      <c r="N244" s="349"/>
      <c r="O244" s="352"/>
      <c r="P244" s="349"/>
      <c r="Q244" s="353"/>
      <c r="R244" s="346"/>
      <c r="S244" s="208"/>
      <c r="T244" s="97"/>
      <c r="U244" s="47" t="s">
        <v>627</v>
      </c>
      <c r="V244" s="215"/>
      <c r="W244" s="215"/>
      <c r="X244" s="215"/>
      <c r="Y244" s="95" t="str">
        <f t="shared" si="37"/>
        <v/>
      </c>
      <c r="Z244" s="215"/>
      <c r="AA244" s="95" t="str">
        <f t="shared" si="38"/>
        <v/>
      </c>
      <c r="AB244" s="208"/>
      <c r="AC244" s="95" t="str">
        <f t="shared" si="39"/>
        <v/>
      </c>
      <c r="AD244" s="208"/>
      <c r="AE244" s="95" t="str">
        <f t="shared" si="40"/>
        <v/>
      </c>
      <c r="AF244" s="208"/>
      <c r="AG244" s="95" t="str">
        <f t="shared" si="41"/>
        <v/>
      </c>
      <c r="AH244" s="208"/>
      <c r="AI244" s="95" t="str">
        <f t="shared" si="42"/>
        <v/>
      </c>
      <c r="AJ244" s="208"/>
      <c r="AK244" s="27" t="str">
        <f t="shared" si="43"/>
        <v/>
      </c>
      <c r="AL244" s="48" t="str">
        <f t="shared" si="44"/>
        <v/>
      </c>
      <c r="AM244" s="48" t="str">
        <f t="shared" si="45"/>
        <v/>
      </c>
      <c r="AN244" s="293"/>
      <c r="AO244" s="293"/>
      <c r="AP244" s="293"/>
      <c r="AQ244" s="293"/>
      <c r="AR244" s="293"/>
      <c r="AS244" s="293"/>
      <c r="AT244" s="293"/>
      <c r="AU244" s="294" t="str">
        <f>IFERROR(VLOOKUP(AT244,'Seguridad Información'!$I$61:$J$65,2,0),"")</f>
        <v/>
      </c>
      <c r="AV244" s="79"/>
      <c r="AW244" s="78" t="str">
        <f t="shared" si="36"/>
        <v/>
      </c>
      <c r="AX244" s="77" t="str">
        <f t="shared" si="46"/>
        <v/>
      </c>
      <c r="AY244" s="21" t="str">
        <f>IFERROR(VLOOKUP((CONCATENATE(AM244,AX244)),Listados!$U$3:$V$11,2,FALSE),"")</f>
        <v/>
      </c>
      <c r="AZ244" s="48">
        <f t="shared" si="47"/>
        <v>100</v>
      </c>
      <c r="BA244" s="355"/>
      <c r="BB244" s="357"/>
      <c r="BC244" s="173">
        <f>+IF(AND(W244="Preventivo",BB241="Fuerte"),2,IF(AND(W244="Preventivo",BB241="Moderado"),1,0))</f>
        <v>0</v>
      </c>
      <c r="BD244" s="64">
        <f>+IF(AND(W244="Detectivo/Correctivo",$BB241="Fuerte"),2,IF(AND(W244="Detectivo/Correctivo",$BB244="Moderado"),1,IF(AND(W244="Preventivo",$BB241="Fuerte"),1,0)))</f>
        <v>0</v>
      </c>
      <c r="BE244" s="173" t="e">
        <f>+N241-BC244</f>
        <v>#N/A</v>
      </c>
      <c r="BF244" s="173" t="e">
        <f>+P241-BD244</f>
        <v>#N/A</v>
      </c>
      <c r="BG244" s="346"/>
      <c r="BH244" s="346"/>
      <c r="BI244" s="346"/>
      <c r="BJ244" s="538"/>
      <c r="BK244" s="538"/>
      <c r="BL244" s="538"/>
      <c r="BM244" s="538"/>
    </row>
    <row r="245" spans="1:65" ht="65.099999999999994" customHeight="1" thickBot="1">
      <c r="A245" s="329"/>
      <c r="B245" s="514"/>
      <c r="C245" s="364"/>
      <c r="D245" s="109"/>
      <c r="E245" s="109"/>
      <c r="F245" s="433"/>
      <c r="G245" s="367"/>
      <c r="H245" s="100"/>
      <c r="I245" s="237"/>
      <c r="J245" s="100"/>
      <c r="K245" s="29"/>
      <c r="L245" s="222"/>
      <c r="M245" s="370"/>
      <c r="N245" s="349"/>
      <c r="O245" s="352"/>
      <c r="P245" s="349"/>
      <c r="Q245" s="353"/>
      <c r="R245" s="346"/>
      <c r="S245" s="208"/>
      <c r="T245" s="195"/>
      <c r="U245" s="47" t="s">
        <v>627</v>
      </c>
      <c r="V245" s="215"/>
      <c r="W245" s="215"/>
      <c r="X245" s="215"/>
      <c r="Y245" s="95" t="str">
        <f t="shared" si="37"/>
        <v/>
      </c>
      <c r="Z245" s="215"/>
      <c r="AA245" s="95" t="str">
        <f t="shared" si="38"/>
        <v/>
      </c>
      <c r="AB245" s="208"/>
      <c r="AC245" s="95" t="str">
        <f t="shared" si="39"/>
        <v/>
      </c>
      <c r="AD245" s="208"/>
      <c r="AE245" s="95" t="str">
        <f t="shared" si="40"/>
        <v/>
      </c>
      <c r="AF245" s="208"/>
      <c r="AG245" s="95" t="str">
        <f t="shared" si="41"/>
        <v/>
      </c>
      <c r="AH245" s="208"/>
      <c r="AI245" s="95" t="str">
        <f t="shared" si="42"/>
        <v/>
      </c>
      <c r="AJ245" s="208"/>
      <c r="AK245" s="27" t="str">
        <f t="shared" si="43"/>
        <v/>
      </c>
      <c r="AL245" s="48" t="str">
        <f t="shared" si="44"/>
        <v/>
      </c>
      <c r="AM245" s="48" t="str">
        <f t="shared" si="45"/>
        <v/>
      </c>
      <c r="AN245" s="293"/>
      <c r="AO245" s="293"/>
      <c r="AP245" s="293"/>
      <c r="AQ245" s="293"/>
      <c r="AR245" s="293"/>
      <c r="AS245" s="293"/>
      <c r="AT245" s="293"/>
      <c r="AU245" s="294" t="str">
        <f>IFERROR(VLOOKUP(AT245,'Seguridad Información'!$I$61:$J$65,2,0),"")</f>
        <v/>
      </c>
      <c r="AV245" s="79"/>
      <c r="AW245" s="78" t="str">
        <f t="shared" si="36"/>
        <v/>
      </c>
      <c r="AX245" s="77" t="str">
        <f t="shared" si="46"/>
        <v/>
      </c>
      <c r="AY245" s="21" t="str">
        <f>IFERROR(VLOOKUP((CONCATENATE(AM245,AX245)),Listados!$U$3:$V$11,2,FALSE),"")</f>
        <v/>
      </c>
      <c r="AZ245" s="48">
        <f t="shared" si="47"/>
        <v>100</v>
      </c>
      <c r="BA245" s="355"/>
      <c r="BB245" s="357"/>
      <c r="BC245" s="173">
        <f>+IF(AND(W245="Preventivo",BB241="Fuerte"),2,IF(AND(W245="Preventivo",BB241="Moderado"),1,0))</f>
        <v>0</v>
      </c>
      <c r="BD245" s="64">
        <f>+IF(AND(W245="Detectivo/Correctivo",$BB241="Fuerte"),2,IF(AND(W245="Detectivo/Correctivo",$BB245="Moderado"),1,IF(AND(W245="Preventivo",$BB241="Fuerte"),1,0)))</f>
        <v>0</v>
      </c>
      <c r="BE245" s="173" t="e">
        <f>+N241-BC245</f>
        <v>#N/A</v>
      </c>
      <c r="BF245" s="173" t="e">
        <f>+P241-BD245</f>
        <v>#N/A</v>
      </c>
      <c r="BG245" s="346"/>
      <c r="BH245" s="346"/>
      <c r="BI245" s="346"/>
      <c r="BJ245" s="538"/>
      <c r="BK245" s="538"/>
      <c r="BL245" s="538"/>
      <c r="BM245" s="538"/>
    </row>
    <row r="246" spans="1:65" ht="65.099999999999994" customHeight="1" thickBot="1">
      <c r="A246" s="330"/>
      <c r="B246" s="514"/>
      <c r="C246" s="365"/>
      <c r="D246" s="106"/>
      <c r="E246" s="106"/>
      <c r="F246" s="434"/>
      <c r="G246" s="368"/>
      <c r="H246" s="100"/>
      <c r="I246" s="237"/>
      <c r="J246" s="100"/>
      <c r="K246" s="31"/>
      <c r="L246" s="222"/>
      <c r="M246" s="370"/>
      <c r="N246" s="350"/>
      <c r="O246" s="352"/>
      <c r="P246" s="350"/>
      <c r="Q246" s="353"/>
      <c r="R246" s="347"/>
      <c r="S246" s="208"/>
      <c r="T246" s="98"/>
      <c r="U246" s="47" t="s">
        <v>627</v>
      </c>
      <c r="V246" s="215"/>
      <c r="W246" s="215"/>
      <c r="X246" s="215"/>
      <c r="Y246" s="95" t="str">
        <f t="shared" si="37"/>
        <v/>
      </c>
      <c r="Z246" s="215"/>
      <c r="AA246" s="95" t="str">
        <f t="shared" si="38"/>
        <v/>
      </c>
      <c r="AB246" s="208"/>
      <c r="AC246" s="95" t="str">
        <f t="shared" si="39"/>
        <v/>
      </c>
      <c r="AD246" s="208"/>
      <c r="AE246" s="95" t="str">
        <f t="shared" si="40"/>
        <v/>
      </c>
      <c r="AF246" s="208"/>
      <c r="AG246" s="95" t="str">
        <f t="shared" si="41"/>
        <v/>
      </c>
      <c r="AH246" s="208"/>
      <c r="AI246" s="95" t="str">
        <f t="shared" si="42"/>
        <v/>
      </c>
      <c r="AJ246" s="208"/>
      <c r="AK246" s="27" t="str">
        <f t="shared" si="43"/>
        <v/>
      </c>
      <c r="AL246" s="48" t="str">
        <f t="shared" si="44"/>
        <v/>
      </c>
      <c r="AM246" s="48" t="str">
        <f t="shared" si="45"/>
        <v/>
      </c>
      <c r="AN246" s="293"/>
      <c r="AO246" s="293"/>
      <c r="AP246" s="293"/>
      <c r="AQ246" s="293"/>
      <c r="AR246" s="293"/>
      <c r="AS246" s="293"/>
      <c r="AT246" s="293"/>
      <c r="AU246" s="294" t="str">
        <f>IFERROR(VLOOKUP(AT246,'Seguridad Información'!$I$61:$J$65,2,0),"")</f>
        <v/>
      </c>
      <c r="AV246" s="79"/>
      <c r="AW246" s="78" t="str">
        <f t="shared" si="36"/>
        <v/>
      </c>
      <c r="AX246" s="77" t="str">
        <f t="shared" si="46"/>
        <v/>
      </c>
      <c r="AY246" s="21" t="str">
        <f>IFERROR(VLOOKUP((CONCATENATE(AM246,AX246)),Listados!$U$3:$V$11,2,FALSE),"")</f>
        <v/>
      </c>
      <c r="AZ246" s="48">
        <f t="shared" si="47"/>
        <v>100</v>
      </c>
      <c r="BA246" s="356"/>
      <c r="BB246" s="357"/>
      <c r="BC246" s="173">
        <f>+IF(AND(W246="Preventivo",BB241="Fuerte"),2,IF(AND(W246="Preventivo",BB241="Moderado"),1,0))</f>
        <v>0</v>
      </c>
      <c r="BD246" s="64">
        <f>+IF(AND(W246="Detectivo/Correctivo",$BB241="Fuerte"),2,IF(AND(W246="Detectivo/Correctivo",$BB246="Moderado"),1,IF(AND(W246="Preventivo",$BB241="Fuerte"),1,0)))</f>
        <v>0</v>
      </c>
      <c r="BE246" s="173" t="e">
        <f>+N241-BC246</f>
        <v>#N/A</v>
      </c>
      <c r="BF246" s="173" t="e">
        <f>+P241-BD246</f>
        <v>#N/A</v>
      </c>
      <c r="BG246" s="347"/>
      <c r="BH246" s="347"/>
      <c r="BI246" s="347"/>
      <c r="BJ246" s="539"/>
      <c r="BK246" s="539"/>
      <c r="BL246" s="539"/>
      <c r="BM246" s="539"/>
    </row>
    <row r="247" spans="1:65" ht="65.099999999999994" customHeight="1" thickBot="1">
      <c r="A247" s="328">
        <v>41</v>
      </c>
      <c r="B247" s="519"/>
      <c r="C247" s="371" t="str">
        <f>IFERROR(VLOOKUP(B247,Listados!B$3:C$20,2,FALSE),"")</f>
        <v/>
      </c>
      <c r="D247" s="107"/>
      <c r="E247" s="107"/>
      <c r="F247" s="432"/>
      <c r="G247" s="372"/>
      <c r="H247" s="100"/>
      <c r="I247" s="237"/>
      <c r="J247" s="100"/>
      <c r="K247" s="103"/>
      <c r="L247" s="17"/>
      <c r="M247" s="369"/>
      <c r="N247" s="348" t="e">
        <f>+VLOOKUP(M247,Listados!$K$8:$L$12,2,0)</f>
        <v>#N/A</v>
      </c>
      <c r="O247" s="351"/>
      <c r="P247" s="348" t="e">
        <f>+VLOOKUP(O247,Listados!$K$13:$L$17,2,0)</f>
        <v>#N/A</v>
      </c>
      <c r="Q247" s="347" t="str">
        <f>IF(AND(M247&lt;&gt;"",O247&lt;&gt;""),VLOOKUP(M247&amp;O247,Listados!$M$3:$N$27,2,FALSE),"")</f>
        <v/>
      </c>
      <c r="R247" s="345" t="e">
        <f>+VLOOKUP(Q247,Listados!$P$3:$Q$6,2,FALSE)</f>
        <v>#N/A</v>
      </c>
      <c r="S247" s="208"/>
      <c r="T247" s="94"/>
      <c r="U247" s="47" t="s">
        <v>627</v>
      </c>
      <c r="V247" s="215"/>
      <c r="W247" s="215"/>
      <c r="X247" s="215"/>
      <c r="Y247" s="95" t="str">
        <f t="shared" si="37"/>
        <v/>
      </c>
      <c r="Z247" s="215"/>
      <c r="AA247" s="95" t="str">
        <f t="shared" si="38"/>
        <v/>
      </c>
      <c r="AB247" s="208"/>
      <c r="AC247" s="95" t="str">
        <f t="shared" si="39"/>
        <v/>
      </c>
      <c r="AD247" s="208"/>
      <c r="AE247" s="95" t="str">
        <f t="shared" si="40"/>
        <v/>
      </c>
      <c r="AF247" s="208"/>
      <c r="AG247" s="95" t="str">
        <f t="shared" si="41"/>
        <v/>
      </c>
      <c r="AH247" s="208"/>
      <c r="AI247" s="95" t="str">
        <f t="shared" si="42"/>
        <v/>
      </c>
      <c r="AJ247" s="208"/>
      <c r="AK247" s="27" t="str">
        <f t="shared" si="43"/>
        <v/>
      </c>
      <c r="AL247" s="48" t="str">
        <f t="shared" si="44"/>
        <v/>
      </c>
      <c r="AM247" s="48" t="str">
        <f t="shared" si="45"/>
        <v/>
      </c>
      <c r="AN247" s="293"/>
      <c r="AO247" s="293"/>
      <c r="AP247" s="293"/>
      <c r="AQ247" s="293"/>
      <c r="AR247" s="293"/>
      <c r="AS247" s="293"/>
      <c r="AT247" s="293"/>
      <c r="AU247" s="294" t="str">
        <f>IFERROR(VLOOKUP(AT247,'Seguridad Información'!$I$61:$J$65,2,0),"")</f>
        <v/>
      </c>
      <c r="AV247" s="79"/>
      <c r="AW247" s="78" t="str">
        <f t="shared" si="36"/>
        <v/>
      </c>
      <c r="AX247" s="77" t="str">
        <f t="shared" si="46"/>
        <v/>
      </c>
      <c r="AY247" s="21" t="str">
        <f>IFERROR(VLOOKUP((CONCATENATE(AM247,AX247)),Listados!$U$3:$V$11,2,FALSE),"")</f>
        <v/>
      </c>
      <c r="AZ247" s="48">
        <f t="shared" si="47"/>
        <v>100</v>
      </c>
      <c r="BA247" s="354">
        <f>AVERAGE(AZ247:AZ252)</f>
        <v>100</v>
      </c>
      <c r="BB247" s="356" t="str">
        <f>IF(BA247&lt;=50, "Débil", IF(BA247&lt;=99,"Moderado","Fuerte"))</f>
        <v>Fuerte</v>
      </c>
      <c r="BC247" s="173">
        <f>+IF(AND(W247="Preventivo",BB247="Fuerte"),2,IF(AND(W247="Preventivo",BB247="Moderado"),1,0))</f>
        <v>0</v>
      </c>
      <c r="BD247" s="64">
        <f>+IF(AND(W247="Detectivo/Correctivo",$BB247="Fuerte"),2,IF(AND(W247="Detectivo/Correctivo",$BB247="Moderado"),1,IF(AND(W247="Preventivo",$BB247="Fuerte"),1,0)))</f>
        <v>0</v>
      </c>
      <c r="BE247" s="173" t="e">
        <f>+N247-BC247</f>
        <v>#N/A</v>
      </c>
      <c r="BF247" s="173" t="e">
        <f>+P247-BD247</f>
        <v>#N/A</v>
      </c>
      <c r="BG247" s="345" t="e">
        <f>+VLOOKUP(MIN(BE247,BE248,BE249,BE250,BE251,BE252),Listados!$J$18:$K$24,2,TRUE)</f>
        <v>#N/A</v>
      </c>
      <c r="BH247" s="345" t="e">
        <f>+VLOOKUP(MIN(BF247,BF248,BF249,BF250,BF251,BF252),Listados!$J$27:$K$32,2,TRUE)</f>
        <v>#N/A</v>
      </c>
      <c r="BI247" s="345" t="e">
        <f>IF(AND(BG247&lt;&gt;"",BH247&lt;&gt;""),VLOOKUP(BG247&amp;BH247,Listados!$M$3:$N$27,2,FALSE),"")</f>
        <v>#N/A</v>
      </c>
      <c r="BJ247" s="537" t="e">
        <f>+IF($R247="Asumir el riesgo","NA","")</f>
        <v>#N/A</v>
      </c>
      <c r="BK247" s="537" t="e">
        <f>+IF($R247="Asumir el riesgo","NA","")</f>
        <v>#N/A</v>
      </c>
      <c r="BL247" s="537" t="e">
        <f>+IF($R247="Asumir el riesgo","NA","")</f>
        <v>#N/A</v>
      </c>
      <c r="BM247" s="537" t="e">
        <f>+IF($R247="Asumir el riesgo","NA","")</f>
        <v>#N/A</v>
      </c>
    </row>
    <row r="248" spans="1:65" ht="65.099999999999994" customHeight="1" thickBot="1">
      <c r="A248" s="329"/>
      <c r="B248" s="514"/>
      <c r="C248" s="364"/>
      <c r="D248" s="233"/>
      <c r="E248" s="233"/>
      <c r="F248" s="433"/>
      <c r="G248" s="367"/>
      <c r="H248" s="100"/>
      <c r="I248" s="237"/>
      <c r="J248" s="100"/>
      <c r="K248" s="236"/>
      <c r="L248" s="222"/>
      <c r="M248" s="370"/>
      <c r="N248" s="349"/>
      <c r="O248" s="352"/>
      <c r="P248" s="349"/>
      <c r="Q248" s="353"/>
      <c r="R248" s="346"/>
      <c r="S248" s="208"/>
      <c r="T248" s="195"/>
      <c r="U248" s="47" t="s">
        <v>627</v>
      </c>
      <c r="V248" s="215"/>
      <c r="W248" s="215"/>
      <c r="X248" s="215"/>
      <c r="Y248" s="95" t="str">
        <f t="shared" si="37"/>
        <v/>
      </c>
      <c r="Z248" s="215"/>
      <c r="AA248" s="95" t="str">
        <f t="shared" si="38"/>
        <v/>
      </c>
      <c r="AB248" s="208"/>
      <c r="AC248" s="95" t="str">
        <f t="shared" si="39"/>
        <v/>
      </c>
      <c r="AD248" s="208"/>
      <c r="AE248" s="95" t="str">
        <f t="shared" si="40"/>
        <v/>
      </c>
      <c r="AF248" s="208"/>
      <c r="AG248" s="95" t="str">
        <f t="shared" si="41"/>
        <v/>
      </c>
      <c r="AH248" s="208"/>
      <c r="AI248" s="95" t="str">
        <f t="shared" si="42"/>
        <v/>
      </c>
      <c r="AJ248" s="208"/>
      <c r="AK248" s="27" t="str">
        <f t="shared" si="43"/>
        <v/>
      </c>
      <c r="AL248" s="48" t="str">
        <f t="shared" si="44"/>
        <v/>
      </c>
      <c r="AM248" s="48" t="str">
        <f t="shared" si="45"/>
        <v/>
      </c>
      <c r="AN248" s="293"/>
      <c r="AO248" s="293"/>
      <c r="AP248" s="293"/>
      <c r="AQ248" s="293"/>
      <c r="AR248" s="293"/>
      <c r="AS248" s="293"/>
      <c r="AT248" s="293"/>
      <c r="AU248" s="294" t="str">
        <f>IFERROR(VLOOKUP(AT248,'Seguridad Información'!$I$61:$J$65,2,0),"")</f>
        <v/>
      </c>
      <c r="AV248" s="79"/>
      <c r="AW248" s="78" t="str">
        <f t="shared" si="36"/>
        <v/>
      </c>
      <c r="AX248" s="77" t="str">
        <f t="shared" si="46"/>
        <v/>
      </c>
      <c r="AY248" s="21" t="str">
        <f>IFERROR(VLOOKUP((CONCATENATE(AM248,AX248)),Listados!$U$3:$V$11,2,FALSE),"")</f>
        <v/>
      </c>
      <c r="AZ248" s="48">
        <f t="shared" si="47"/>
        <v>100</v>
      </c>
      <c r="BA248" s="355"/>
      <c r="BB248" s="357"/>
      <c r="BC248" s="173">
        <f>+IF(AND(W248="Preventivo",BB247="Fuerte"),2,IF(AND(W248="Preventivo",BB247="Moderado"),1,0))</f>
        <v>0</v>
      </c>
      <c r="BD248" s="64">
        <f>+IF(AND(W248="Detectivo/Correctivo",$BB247="Fuerte"),2,IF(AND(W248="Detectivo/Correctivo",$BB248="Moderado"),1,IF(AND(W248="Preventivo",$BB247="Fuerte"),1,0)))</f>
        <v>0</v>
      </c>
      <c r="BE248" s="173" t="e">
        <f>+N247-BC248</f>
        <v>#N/A</v>
      </c>
      <c r="BF248" s="173" t="e">
        <f>+P247-BD248</f>
        <v>#N/A</v>
      </c>
      <c r="BG248" s="346"/>
      <c r="BH248" s="346"/>
      <c r="BI248" s="346"/>
      <c r="BJ248" s="538"/>
      <c r="BK248" s="538"/>
      <c r="BL248" s="538"/>
      <c r="BM248" s="538"/>
    </row>
    <row r="249" spans="1:65" ht="65.099999999999994" customHeight="1" thickBot="1">
      <c r="A249" s="329"/>
      <c r="B249" s="514"/>
      <c r="C249" s="364"/>
      <c r="D249" s="233"/>
      <c r="E249" s="233"/>
      <c r="F249" s="433"/>
      <c r="G249" s="367"/>
      <c r="H249" s="100"/>
      <c r="I249" s="237"/>
      <c r="J249" s="100"/>
      <c r="K249" s="236"/>
      <c r="L249" s="222"/>
      <c r="M249" s="370"/>
      <c r="N249" s="349"/>
      <c r="O249" s="352"/>
      <c r="P249" s="349"/>
      <c r="Q249" s="353"/>
      <c r="R249" s="346"/>
      <c r="S249" s="208"/>
      <c r="T249" s="96"/>
      <c r="U249" s="47" t="s">
        <v>627</v>
      </c>
      <c r="V249" s="215"/>
      <c r="W249" s="215"/>
      <c r="X249" s="215"/>
      <c r="Y249" s="95" t="str">
        <f t="shared" si="37"/>
        <v/>
      </c>
      <c r="Z249" s="215"/>
      <c r="AA249" s="95" t="str">
        <f t="shared" si="38"/>
        <v/>
      </c>
      <c r="AB249" s="208"/>
      <c r="AC249" s="95" t="str">
        <f t="shared" si="39"/>
        <v/>
      </c>
      <c r="AD249" s="208"/>
      <c r="AE249" s="95" t="str">
        <f t="shared" si="40"/>
        <v/>
      </c>
      <c r="AF249" s="208"/>
      <c r="AG249" s="95" t="str">
        <f t="shared" si="41"/>
        <v/>
      </c>
      <c r="AH249" s="208"/>
      <c r="AI249" s="95" t="str">
        <f t="shared" si="42"/>
        <v/>
      </c>
      <c r="AJ249" s="208"/>
      <c r="AK249" s="27" t="str">
        <f t="shared" si="43"/>
        <v/>
      </c>
      <c r="AL249" s="48" t="str">
        <f t="shared" si="44"/>
        <v/>
      </c>
      <c r="AM249" s="48" t="str">
        <f t="shared" si="45"/>
        <v/>
      </c>
      <c r="AN249" s="293"/>
      <c r="AO249" s="293"/>
      <c r="AP249" s="293"/>
      <c r="AQ249" s="293"/>
      <c r="AR249" s="293"/>
      <c r="AS249" s="293"/>
      <c r="AT249" s="293"/>
      <c r="AU249" s="294" t="str">
        <f>IFERROR(VLOOKUP(AT249,'Seguridad Información'!$I$61:$J$65,2,0),"")</f>
        <v/>
      </c>
      <c r="AV249" s="79"/>
      <c r="AW249" s="78" t="str">
        <f t="shared" si="36"/>
        <v/>
      </c>
      <c r="AX249" s="77" t="str">
        <f t="shared" si="46"/>
        <v/>
      </c>
      <c r="AY249" s="21" t="str">
        <f>IFERROR(VLOOKUP((CONCATENATE(AM249,AX249)),Listados!$U$3:$V$11,2,FALSE),"")</f>
        <v/>
      </c>
      <c r="AZ249" s="48">
        <f t="shared" si="47"/>
        <v>100</v>
      </c>
      <c r="BA249" s="355"/>
      <c r="BB249" s="357"/>
      <c r="BC249" s="173">
        <f>+IF(AND(W249="Preventivo",BB247="Fuerte"),2,IF(AND(W249="Preventivo",BB247="Moderado"),1,0))</f>
        <v>0</v>
      </c>
      <c r="BD249" s="64">
        <f>+IF(AND(W249="Detectivo/Correctivo",$BB247="Fuerte"),2,IF(AND(W249="Detectivo/Correctivo",$BB249="Moderado"),1,IF(AND(W249="Preventivo",$BB247="Fuerte"),1,0)))</f>
        <v>0</v>
      </c>
      <c r="BE249" s="173" t="e">
        <f>+N247-BC249</f>
        <v>#N/A</v>
      </c>
      <c r="BF249" s="173" t="e">
        <f>+P247-BD249</f>
        <v>#N/A</v>
      </c>
      <c r="BG249" s="346"/>
      <c r="BH249" s="346"/>
      <c r="BI249" s="346"/>
      <c r="BJ249" s="538"/>
      <c r="BK249" s="538"/>
      <c r="BL249" s="538"/>
      <c r="BM249" s="538"/>
    </row>
    <row r="250" spans="1:65" ht="65.099999999999994" customHeight="1" thickBot="1">
      <c r="A250" s="329"/>
      <c r="B250" s="514"/>
      <c r="C250" s="364"/>
      <c r="D250" s="233"/>
      <c r="E250" s="233"/>
      <c r="F250" s="433"/>
      <c r="G250" s="367"/>
      <c r="H250" s="100"/>
      <c r="I250" s="237"/>
      <c r="J250" s="100"/>
      <c r="K250" s="236"/>
      <c r="L250" s="222"/>
      <c r="M250" s="370"/>
      <c r="N250" s="349"/>
      <c r="O250" s="352"/>
      <c r="P250" s="349"/>
      <c r="Q250" s="353"/>
      <c r="R250" s="346"/>
      <c r="S250" s="208"/>
      <c r="T250" s="97"/>
      <c r="U250" s="47" t="s">
        <v>627</v>
      </c>
      <c r="V250" s="215"/>
      <c r="W250" s="215"/>
      <c r="X250" s="215"/>
      <c r="Y250" s="95" t="str">
        <f t="shared" si="37"/>
        <v/>
      </c>
      <c r="Z250" s="215"/>
      <c r="AA250" s="95" t="str">
        <f t="shared" si="38"/>
        <v/>
      </c>
      <c r="AB250" s="208"/>
      <c r="AC250" s="95" t="str">
        <f t="shared" si="39"/>
        <v/>
      </c>
      <c r="AD250" s="208"/>
      <c r="AE250" s="95" t="str">
        <f t="shared" si="40"/>
        <v/>
      </c>
      <c r="AF250" s="208"/>
      <c r="AG250" s="95" t="str">
        <f t="shared" si="41"/>
        <v/>
      </c>
      <c r="AH250" s="208"/>
      <c r="AI250" s="95" t="str">
        <f t="shared" si="42"/>
        <v/>
      </c>
      <c r="AJ250" s="208"/>
      <c r="AK250" s="27" t="str">
        <f t="shared" si="43"/>
        <v/>
      </c>
      <c r="AL250" s="48" t="str">
        <f t="shared" si="44"/>
        <v/>
      </c>
      <c r="AM250" s="48" t="str">
        <f t="shared" si="45"/>
        <v/>
      </c>
      <c r="AN250" s="293"/>
      <c r="AO250" s="293"/>
      <c r="AP250" s="293"/>
      <c r="AQ250" s="293"/>
      <c r="AR250" s="293"/>
      <c r="AS250" s="293"/>
      <c r="AT250" s="293"/>
      <c r="AU250" s="294" t="str">
        <f>IFERROR(VLOOKUP(AT250,'Seguridad Información'!$I$61:$J$65,2,0),"")</f>
        <v/>
      </c>
      <c r="AV250" s="79"/>
      <c r="AW250" s="78" t="str">
        <f t="shared" si="36"/>
        <v/>
      </c>
      <c r="AX250" s="77" t="str">
        <f t="shared" si="46"/>
        <v/>
      </c>
      <c r="AY250" s="21" t="str">
        <f>IFERROR(VLOOKUP((CONCATENATE(AM250,AX250)),Listados!$U$3:$V$11,2,FALSE),"")</f>
        <v/>
      </c>
      <c r="AZ250" s="48">
        <f t="shared" si="47"/>
        <v>100</v>
      </c>
      <c r="BA250" s="355"/>
      <c r="BB250" s="357"/>
      <c r="BC250" s="173">
        <f>+IF(AND(W250="Preventivo",BB247="Fuerte"),2,IF(AND(W250="Preventivo",BB247="Moderado"),1,0))</f>
        <v>0</v>
      </c>
      <c r="BD250" s="64">
        <f>+IF(AND(W250="Detectivo/Correctivo",$BB247="Fuerte"),2,IF(AND(W250="Detectivo/Correctivo",$BB250="Moderado"),1,IF(AND(W250="Preventivo",$BB247="Fuerte"),1,0)))</f>
        <v>0</v>
      </c>
      <c r="BE250" s="173" t="e">
        <f>+N247-BC250</f>
        <v>#N/A</v>
      </c>
      <c r="BF250" s="173" t="e">
        <f>+P247-BD250</f>
        <v>#N/A</v>
      </c>
      <c r="BG250" s="346"/>
      <c r="BH250" s="346"/>
      <c r="BI250" s="346"/>
      <c r="BJ250" s="538"/>
      <c r="BK250" s="538"/>
      <c r="BL250" s="538"/>
      <c r="BM250" s="538"/>
    </row>
    <row r="251" spans="1:65" ht="65.099999999999994" customHeight="1" thickBot="1">
      <c r="A251" s="329"/>
      <c r="B251" s="514"/>
      <c r="C251" s="364"/>
      <c r="D251" s="109"/>
      <c r="E251" s="109"/>
      <c r="F251" s="433"/>
      <c r="G251" s="367"/>
      <c r="H251" s="100"/>
      <c r="I251" s="237"/>
      <c r="J251" s="100"/>
      <c r="K251" s="29"/>
      <c r="L251" s="222"/>
      <c r="M251" s="370"/>
      <c r="N251" s="349"/>
      <c r="O251" s="352"/>
      <c r="P251" s="349"/>
      <c r="Q251" s="353"/>
      <c r="R251" s="346"/>
      <c r="S251" s="208"/>
      <c r="T251" s="195"/>
      <c r="U251" s="47" t="s">
        <v>627</v>
      </c>
      <c r="V251" s="215"/>
      <c r="W251" s="215"/>
      <c r="X251" s="215"/>
      <c r="Y251" s="95" t="str">
        <f t="shared" si="37"/>
        <v/>
      </c>
      <c r="Z251" s="215"/>
      <c r="AA251" s="95" t="str">
        <f t="shared" si="38"/>
        <v/>
      </c>
      <c r="AB251" s="208"/>
      <c r="AC251" s="95" t="str">
        <f t="shared" si="39"/>
        <v/>
      </c>
      <c r="AD251" s="208"/>
      <c r="AE251" s="95" t="str">
        <f t="shared" si="40"/>
        <v/>
      </c>
      <c r="AF251" s="208"/>
      <c r="AG251" s="95" t="str">
        <f t="shared" si="41"/>
        <v/>
      </c>
      <c r="AH251" s="208"/>
      <c r="AI251" s="95" t="str">
        <f t="shared" si="42"/>
        <v/>
      </c>
      <c r="AJ251" s="208"/>
      <c r="AK251" s="27" t="str">
        <f t="shared" si="43"/>
        <v/>
      </c>
      <c r="AL251" s="48" t="str">
        <f t="shared" si="44"/>
        <v/>
      </c>
      <c r="AM251" s="48" t="str">
        <f t="shared" si="45"/>
        <v/>
      </c>
      <c r="AN251" s="293"/>
      <c r="AO251" s="293"/>
      <c r="AP251" s="293"/>
      <c r="AQ251" s="293"/>
      <c r="AR251" s="293"/>
      <c r="AS251" s="293"/>
      <c r="AT251" s="293"/>
      <c r="AU251" s="294" t="str">
        <f>IFERROR(VLOOKUP(AT251,'Seguridad Información'!$I$61:$J$65,2,0),"")</f>
        <v/>
      </c>
      <c r="AV251" s="79"/>
      <c r="AW251" s="78" t="str">
        <f t="shared" si="36"/>
        <v/>
      </c>
      <c r="AX251" s="77" t="str">
        <f t="shared" si="46"/>
        <v/>
      </c>
      <c r="AY251" s="21" t="str">
        <f>IFERROR(VLOOKUP((CONCATENATE(AM251,AX251)),Listados!$U$3:$V$11,2,FALSE),"")</f>
        <v/>
      </c>
      <c r="AZ251" s="48">
        <f t="shared" si="47"/>
        <v>100</v>
      </c>
      <c r="BA251" s="355"/>
      <c r="BB251" s="357"/>
      <c r="BC251" s="173">
        <f>+IF(AND(W251="Preventivo",BB247="Fuerte"),2,IF(AND(W251="Preventivo",BB247="Moderado"),1,0))</f>
        <v>0</v>
      </c>
      <c r="BD251" s="64">
        <f>+IF(AND(W251="Detectivo/Correctivo",$BB247="Fuerte"),2,IF(AND(W251="Detectivo/Correctivo",$BB251="Moderado"),1,IF(AND(W251="Preventivo",$BB247="Fuerte"),1,0)))</f>
        <v>0</v>
      </c>
      <c r="BE251" s="173" t="e">
        <f>+N247-BC251</f>
        <v>#N/A</v>
      </c>
      <c r="BF251" s="173" t="e">
        <f>+P247-BD251</f>
        <v>#N/A</v>
      </c>
      <c r="BG251" s="346"/>
      <c r="BH251" s="346"/>
      <c r="BI251" s="346"/>
      <c r="BJ251" s="538"/>
      <c r="BK251" s="538"/>
      <c r="BL251" s="538"/>
      <c r="BM251" s="538"/>
    </row>
    <row r="252" spans="1:65" ht="65.099999999999994" customHeight="1" thickBot="1">
      <c r="A252" s="330"/>
      <c r="B252" s="514"/>
      <c r="C252" s="365"/>
      <c r="D252" s="106"/>
      <c r="E252" s="106"/>
      <c r="F252" s="434"/>
      <c r="G252" s="368"/>
      <c r="H252" s="100"/>
      <c r="I252" s="237"/>
      <c r="J252" s="100"/>
      <c r="K252" s="31"/>
      <c r="L252" s="222"/>
      <c r="M252" s="370"/>
      <c r="N252" s="350"/>
      <c r="O252" s="352"/>
      <c r="P252" s="350"/>
      <c r="Q252" s="353"/>
      <c r="R252" s="347"/>
      <c r="S252" s="208"/>
      <c r="T252" s="98"/>
      <c r="U252" s="47" t="s">
        <v>627</v>
      </c>
      <c r="V252" s="215"/>
      <c r="W252" s="215"/>
      <c r="X252" s="215"/>
      <c r="Y252" s="95" t="str">
        <f t="shared" si="37"/>
        <v/>
      </c>
      <c r="Z252" s="215"/>
      <c r="AA252" s="95" t="str">
        <f t="shared" si="38"/>
        <v/>
      </c>
      <c r="AB252" s="208"/>
      <c r="AC252" s="95" t="str">
        <f t="shared" si="39"/>
        <v/>
      </c>
      <c r="AD252" s="208"/>
      <c r="AE252" s="95" t="str">
        <f t="shared" si="40"/>
        <v/>
      </c>
      <c r="AF252" s="208"/>
      <c r="AG252" s="95" t="str">
        <f t="shared" si="41"/>
        <v/>
      </c>
      <c r="AH252" s="208"/>
      <c r="AI252" s="95" t="str">
        <f t="shared" si="42"/>
        <v/>
      </c>
      <c r="AJ252" s="208"/>
      <c r="AK252" s="27" t="str">
        <f t="shared" si="43"/>
        <v/>
      </c>
      <c r="AL252" s="48" t="str">
        <f t="shared" si="44"/>
        <v/>
      </c>
      <c r="AM252" s="48" t="str">
        <f t="shared" si="45"/>
        <v/>
      </c>
      <c r="AN252" s="293"/>
      <c r="AO252" s="293"/>
      <c r="AP252" s="293"/>
      <c r="AQ252" s="293"/>
      <c r="AR252" s="293"/>
      <c r="AS252" s="293"/>
      <c r="AT252" s="293"/>
      <c r="AU252" s="294" t="str">
        <f>IFERROR(VLOOKUP(AT252,'Seguridad Información'!$I$61:$J$65,2,0),"")</f>
        <v/>
      </c>
      <c r="AV252" s="79"/>
      <c r="AW252" s="78" t="str">
        <f t="shared" si="36"/>
        <v/>
      </c>
      <c r="AX252" s="77" t="str">
        <f t="shared" si="46"/>
        <v/>
      </c>
      <c r="AY252" s="21" t="str">
        <f>IFERROR(VLOOKUP((CONCATENATE(AM252,AX252)),Listados!$U$3:$V$11,2,FALSE),"")</f>
        <v/>
      </c>
      <c r="AZ252" s="48">
        <f t="shared" si="47"/>
        <v>100</v>
      </c>
      <c r="BA252" s="356"/>
      <c r="BB252" s="357"/>
      <c r="BC252" s="173">
        <f>+IF(AND(W252="Preventivo",BB247="Fuerte"),2,IF(AND(W252="Preventivo",BB247="Moderado"),1,0))</f>
        <v>0</v>
      </c>
      <c r="BD252" s="64">
        <f>+IF(AND(W252="Detectivo/Correctivo",$BB247="Fuerte"),2,IF(AND(W252="Detectivo/Correctivo",$BB252="Moderado"),1,IF(AND(W252="Preventivo",$BB247="Fuerte"),1,0)))</f>
        <v>0</v>
      </c>
      <c r="BE252" s="173" t="e">
        <f>+N247-BC252</f>
        <v>#N/A</v>
      </c>
      <c r="BF252" s="173" t="e">
        <f>+P247-BD252</f>
        <v>#N/A</v>
      </c>
      <c r="BG252" s="347"/>
      <c r="BH252" s="347"/>
      <c r="BI252" s="347"/>
      <c r="BJ252" s="539"/>
      <c r="BK252" s="539"/>
      <c r="BL252" s="539"/>
      <c r="BM252" s="539"/>
    </row>
    <row r="253" spans="1:65" ht="65.099999999999994" customHeight="1" thickBot="1">
      <c r="A253" s="328">
        <v>42</v>
      </c>
      <c r="B253" s="519"/>
      <c r="C253" s="371" t="str">
        <f>IFERROR(VLOOKUP(B253,Listados!B$3:C$20,2,FALSE),"")</f>
        <v/>
      </c>
      <c r="D253" s="107"/>
      <c r="E253" s="107"/>
      <c r="F253" s="432"/>
      <c r="G253" s="372"/>
      <c r="H253" s="100"/>
      <c r="I253" s="237"/>
      <c r="J253" s="100"/>
      <c r="K253" s="103"/>
      <c r="L253" s="17"/>
      <c r="M253" s="369"/>
      <c r="N253" s="348" t="e">
        <f>+VLOOKUP(M253,Listados!$K$8:$L$12,2,0)</f>
        <v>#N/A</v>
      </c>
      <c r="O253" s="351"/>
      <c r="P253" s="348" t="e">
        <f>+VLOOKUP(O253,Listados!$K$13:$L$17,2,0)</f>
        <v>#N/A</v>
      </c>
      <c r="Q253" s="347" t="str">
        <f>IF(AND(M253&lt;&gt;"",O253&lt;&gt;""),VLOOKUP(M253&amp;O253,Listados!$M$3:$N$27,2,FALSE),"")</f>
        <v/>
      </c>
      <c r="R253" s="345" t="e">
        <f>+VLOOKUP(Q253,Listados!$P$3:$Q$6,2,FALSE)</f>
        <v>#N/A</v>
      </c>
      <c r="S253" s="208"/>
      <c r="T253" s="94"/>
      <c r="U253" s="47" t="s">
        <v>627</v>
      </c>
      <c r="V253" s="215"/>
      <c r="W253" s="215"/>
      <c r="X253" s="215"/>
      <c r="Y253" s="95" t="str">
        <f t="shared" si="37"/>
        <v/>
      </c>
      <c r="Z253" s="215"/>
      <c r="AA253" s="95" t="str">
        <f t="shared" si="38"/>
        <v/>
      </c>
      <c r="AB253" s="208"/>
      <c r="AC253" s="95" t="str">
        <f t="shared" si="39"/>
        <v/>
      </c>
      <c r="AD253" s="208"/>
      <c r="AE253" s="95" t="str">
        <f t="shared" si="40"/>
        <v/>
      </c>
      <c r="AF253" s="208"/>
      <c r="AG253" s="95" t="str">
        <f t="shared" si="41"/>
        <v/>
      </c>
      <c r="AH253" s="208"/>
      <c r="AI253" s="95" t="str">
        <f t="shared" si="42"/>
        <v/>
      </c>
      <c r="AJ253" s="208"/>
      <c r="AK253" s="27" t="str">
        <f t="shared" si="43"/>
        <v/>
      </c>
      <c r="AL253" s="48" t="str">
        <f t="shared" si="44"/>
        <v/>
      </c>
      <c r="AM253" s="48" t="str">
        <f t="shared" si="45"/>
        <v/>
      </c>
      <c r="AN253" s="293"/>
      <c r="AO253" s="293"/>
      <c r="AP253" s="293"/>
      <c r="AQ253" s="293"/>
      <c r="AR253" s="293"/>
      <c r="AS253" s="293"/>
      <c r="AT253" s="293"/>
      <c r="AU253" s="294" t="str">
        <f>IFERROR(VLOOKUP(AT253,'Seguridad Información'!$I$61:$J$65,2,0),"")</f>
        <v/>
      </c>
      <c r="AV253" s="79"/>
      <c r="AW253" s="78" t="str">
        <f t="shared" si="36"/>
        <v/>
      </c>
      <c r="AX253" s="77" t="str">
        <f t="shared" si="46"/>
        <v/>
      </c>
      <c r="AY253" s="21" t="str">
        <f>IFERROR(VLOOKUP((CONCATENATE(AM253,AX253)),Listados!$U$3:$V$11,2,FALSE),"")</f>
        <v/>
      </c>
      <c r="AZ253" s="48">
        <f t="shared" si="47"/>
        <v>100</v>
      </c>
      <c r="BA253" s="354">
        <f>AVERAGE(AZ253:AZ258)</f>
        <v>100</v>
      </c>
      <c r="BB253" s="356" t="str">
        <f>IF(BA253&lt;=50, "Débil", IF(BA253&lt;=99,"Moderado","Fuerte"))</f>
        <v>Fuerte</v>
      </c>
      <c r="BC253" s="173">
        <f>+IF(AND(W253="Preventivo",BB253="Fuerte"),2,IF(AND(W253="Preventivo",BB253="Moderado"),1,0))</f>
        <v>0</v>
      </c>
      <c r="BD253" s="64">
        <f>+IF(AND(W253="Detectivo/Correctivo",$BB253="Fuerte"),2,IF(AND(W253="Detectivo/Correctivo",$BB253="Moderado"),1,IF(AND(W253="Preventivo",$BB253="Fuerte"),1,0)))</f>
        <v>0</v>
      </c>
      <c r="BE253" s="173" t="e">
        <f>+N253-BC253</f>
        <v>#N/A</v>
      </c>
      <c r="BF253" s="173" t="e">
        <f>+P253-BD253</f>
        <v>#N/A</v>
      </c>
      <c r="BG253" s="345" t="e">
        <f>+VLOOKUP(MIN(BE253,BE254,BE255,BE256,BE257,BE258),Listados!$J$18:$K$24,2,TRUE)</f>
        <v>#N/A</v>
      </c>
      <c r="BH253" s="345" t="e">
        <f>+VLOOKUP(MIN(BF253,BF254,BF255,BF256,BF257,BF258),Listados!$J$27:$K$32,2,TRUE)</f>
        <v>#N/A</v>
      </c>
      <c r="BI253" s="345" t="e">
        <f>IF(AND(BG253&lt;&gt;"",BH253&lt;&gt;""),VLOOKUP(BG253&amp;BH253,Listados!$M$3:$N$27,2,FALSE),"")</f>
        <v>#N/A</v>
      </c>
      <c r="BJ253" s="537" t="e">
        <f>+IF($R253="Asumir el riesgo","NA","")</f>
        <v>#N/A</v>
      </c>
      <c r="BK253" s="537" t="e">
        <f>+IF($R253="Asumir el riesgo","NA","")</f>
        <v>#N/A</v>
      </c>
      <c r="BL253" s="537" t="e">
        <f>+IF($R253="Asumir el riesgo","NA","")</f>
        <v>#N/A</v>
      </c>
      <c r="BM253" s="537" t="e">
        <f>+IF($R253="Asumir el riesgo","NA","")</f>
        <v>#N/A</v>
      </c>
    </row>
    <row r="254" spans="1:65" ht="65.099999999999994" customHeight="1" thickBot="1">
      <c r="A254" s="329"/>
      <c r="B254" s="514"/>
      <c r="C254" s="364"/>
      <c r="D254" s="233"/>
      <c r="E254" s="233"/>
      <c r="F254" s="433"/>
      <c r="G254" s="367"/>
      <c r="H254" s="100"/>
      <c r="I254" s="237"/>
      <c r="J254" s="100"/>
      <c r="K254" s="236"/>
      <c r="L254" s="222"/>
      <c r="M254" s="370"/>
      <c r="N254" s="349"/>
      <c r="O254" s="352"/>
      <c r="P254" s="349"/>
      <c r="Q254" s="353"/>
      <c r="R254" s="346"/>
      <c r="S254" s="208"/>
      <c r="T254" s="195"/>
      <c r="U254" s="47" t="s">
        <v>627</v>
      </c>
      <c r="V254" s="215"/>
      <c r="W254" s="215"/>
      <c r="X254" s="215"/>
      <c r="Y254" s="95" t="str">
        <f t="shared" si="37"/>
        <v/>
      </c>
      <c r="Z254" s="215"/>
      <c r="AA254" s="95" t="str">
        <f t="shared" si="38"/>
        <v/>
      </c>
      <c r="AB254" s="208"/>
      <c r="AC254" s="95" t="str">
        <f t="shared" si="39"/>
        <v/>
      </c>
      <c r="AD254" s="208"/>
      <c r="AE254" s="95" t="str">
        <f t="shared" si="40"/>
        <v/>
      </c>
      <c r="AF254" s="208"/>
      <c r="AG254" s="95" t="str">
        <f t="shared" si="41"/>
        <v/>
      </c>
      <c r="AH254" s="208"/>
      <c r="AI254" s="95" t="str">
        <f t="shared" si="42"/>
        <v/>
      </c>
      <c r="AJ254" s="208"/>
      <c r="AK254" s="27" t="str">
        <f t="shared" si="43"/>
        <v/>
      </c>
      <c r="AL254" s="48" t="str">
        <f t="shared" si="44"/>
        <v/>
      </c>
      <c r="AM254" s="48" t="str">
        <f t="shared" si="45"/>
        <v/>
      </c>
      <c r="AN254" s="293"/>
      <c r="AO254" s="293"/>
      <c r="AP254" s="293"/>
      <c r="AQ254" s="293"/>
      <c r="AR254" s="293"/>
      <c r="AS254" s="293"/>
      <c r="AT254" s="293"/>
      <c r="AU254" s="294" t="str">
        <f>IFERROR(VLOOKUP(AT254,'Seguridad Información'!$I$61:$J$65,2,0),"")</f>
        <v/>
      </c>
      <c r="AV254" s="79"/>
      <c r="AW254" s="78" t="str">
        <f t="shared" si="36"/>
        <v/>
      </c>
      <c r="AX254" s="77" t="str">
        <f t="shared" si="46"/>
        <v/>
      </c>
      <c r="AY254" s="21" t="str">
        <f>IFERROR(VLOOKUP((CONCATENATE(AM254,AX254)),Listados!$U$3:$V$11,2,FALSE),"")</f>
        <v/>
      </c>
      <c r="AZ254" s="48">
        <f t="shared" si="47"/>
        <v>100</v>
      </c>
      <c r="BA254" s="355"/>
      <c r="BB254" s="357"/>
      <c r="BC254" s="173">
        <f>+IF(AND(W254="Preventivo",BB253="Fuerte"),2,IF(AND(W254="Preventivo",BB253="Moderado"),1,0))</f>
        <v>0</v>
      </c>
      <c r="BD254" s="64">
        <f>+IF(AND(W254="Detectivo/Correctivo",$BB253="Fuerte"),2,IF(AND(W254="Detectivo/Correctivo",$BB254="Moderado"),1,IF(AND(W254="Preventivo",$BB253="Fuerte"),1,0)))</f>
        <v>0</v>
      </c>
      <c r="BE254" s="173" t="e">
        <f>+N253-BC254</f>
        <v>#N/A</v>
      </c>
      <c r="BF254" s="173" t="e">
        <f>+P253-BD254</f>
        <v>#N/A</v>
      </c>
      <c r="BG254" s="346"/>
      <c r="BH254" s="346"/>
      <c r="BI254" s="346"/>
      <c r="BJ254" s="538"/>
      <c r="BK254" s="538"/>
      <c r="BL254" s="538"/>
      <c r="BM254" s="538"/>
    </row>
    <row r="255" spans="1:65" ht="65.099999999999994" customHeight="1" thickBot="1">
      <c r="A255" s="329"/>
      <c r="B255" s="514"/>
      <c r="C255" s="364"/>
      <c r="D255" s="233"/>
      <c r="E255" s="233"/>
      <c r="F255" s="433"/>
      <c r="G255" s="367"/>
      <c r="H255" s="100"/>
      <c r="I255" s="237"/>
      <c r="J255" s="100"/>
      <c r="K255" s="236"/>
      <c r="L255" s="222"/>
      <c r="M255" s="370"/>
      <c r="N255" s="349"/>
      <c r="O255" s="352"/>
      <c r="P255" s="349"/>
      <c r="Q255" s="353"/>
      <c r="R255" s="346"/>
      <c r="S255" s="208"/>
      <c r="T255" s="96"/>
      <c r="U255" s="47" t="s">
        <v>627</v>
      </c>
      <c r="V255" s="215"/>
      <c r="W255" s="215"/>
      <c r="X255" s="215"/>
      <c r="Y255" s="95" t="str">
        <f t="shared" si="37"/>
        <v/>
      </c>
      <c r="Z255" s="215"/>
      <c r="AA255" s="95" t="str">
        <f t="shared" si="38"/>
        <v/>
      </c>
      <c r="AB255" s="208"/>
      <c r="AC255" s="95" t="str">
        <f t="shared" si="39"/>
        <v/>
      </c>
      <c r="AD255" s="208"/>
      <c r="AE255" s="95" t="str">
        <f t="shared" si="40"/>
        <v/>
      </c>
      <c r="AF255" s="208"/>
      <c r="AG255" s="95" t="str">
        <f t="shared" si="41"/>
        <v/>
      </c>
      <c r="AH255" s="208"/>
      <c r="AI255" s="95" t="str">
        <f t="shared" si="42"/>
        <v/>
      </c>
      <c r="AJ255" s="208"/>
      <c r="AK255" s="27" t="str">
        <f t="shared" si="43"/>
        <v/>
      </c>
      <c r="AL255" s="48" t="str">
        <f t="shared" si="44"/>
        <v/>
      </c>
      <c r="AM255" s="48" t="str">
        <f t="shared" si="45"/>
        <v/>
      </c>
      <c r="AN255" s="293"/>
      <c r="AO255" s="293"/>
      <c r="AP255" s="293"/>
      <c r="AQ255" s="293"/>
      <c r="AR255" s="293"/>
      <c r="AS255" s="293"/>
      <c r="AT255" s="293"/>
      <c r="AU255" s="294" t="str">
        <f>IFERROR(VLOOKUP(AT255,'Seguridad Información'!$I$61:$J$65,2,0),"")</f>
        <v/>
      </c>
      <c r="AV255" s="79"/>
      <c r="AW255" s="78" t="str">
        <f t="shared" si="36"/>
        <v/>
      </c>
      <c r="AX255" s="77" t="str">
        <f t="shared" si="46"/>
        <v/>
      </c>
      <c r="AY255" s="21" t="str">
        <f>IFERROR(VLOOKUP((CONCATENATE(AM255,AX255)),Listados!$U$3:$V$11,2,FALSE),"")</f>
        <v/>
      </c>
      <c r="AZ255" s="48">
        <f t="shared" si="47"/>
        <v>100</v>
      </c>
      <c r="BA255" s="355"/>
      <c r="BB255" s="357"/>
      <c r="BC255" s="173">
        <f>+IF(AND(W255="Preventivo",BB253="Fuerte"),2,IF(AND(W255="Preventivo",BB253="Moderado"),1,0))</f>
        <v>0</v>
      </c>
      <c r="BD255" s="64">
        <f>+IF(AND(W255="Detectivo/Correctivo",$BB253="Fuerte"),2,IF(AND(W255="Detectivo/Correctivo",$BB255="Moderado"),1,IF(AND(W255="Preventivo",$BB253="Fuerte"),1,0)))</f>
        <v>0</v>
      </c>
      <c r="BE255" s="173" t="e">
        <f>+N253-BC255</f>
        <v>#N/A</v>
      </c>
      <c r="BF255" s="173" t="e">
        <f>+P253-BD255</f>
        <v>#N/A</v>
      </c>
      <c r="BG255" s="346"/>
      <c r="BH255" s="346"/>
      <c r="BI255" s="346"/>
      <c r="BJ255" s="538"/>
      <c r="BK255" s="538"/>
      <c r="BL255" s="538"/>
      <c r="BM255" s="538"/>
    </row>
    <row r="256" spans="1:65" ht="65.099999999999994" customHeight="1" thickBot="1">
      <c r="A256" s="329"/>
      <c r="B256" s="514"/>
      <c r="C256" s="364"/>
      <c r="D256" s="233"/>
      <c r="E256" s="233"/>
      <c r="F256" s="433"/>
      <c r="G256" s="367"/>
      <c r="H256" s="100"/>
      <c r="I256" s="237"/>
      <c r="J256" s="100"/>
      <c r="K256" s="236"/>
      <c r="L256" s="222"/>
      <c r="M256" s="370"/>
      <c r="N256" s="349"/>
      <c r="O256" s="352"/>
      <c r="P256" s="349"/>
      <c r="Q256" s="353"/>
      <c r="R256" s="346"/>
      <c r="S256" s="208"/>
      <c r="T256" s="97"/>
      <c r="U256" s="47" t="s">
        <v>627</v>
      </c>
      <c r="V256" s="215"/>
      <c r="W256" s="215"/>
      <c r="X256" s="215"/>
      <c r="Y256" s="95" t="str">
        <f t="shared" si="37"/>
        <v/>
      </c>
      <c r="Z256" s="215"/>
      <c r="AA256" s="95" t="str">
        <f t="shared" si="38"/>
        <v/>
      </c>
      <c r="AB256" s="208"/>
      <c r="AC256" s="95" t="str">
        <f t="shared" si="39"/>
        <v/>
      </c>
      <c r="AD256" s="208"/>
      <c r="AE256" s="95" t="str">
        <f t="shared" si="40"/>
        <v/>
      </c>
      <c r="AF256" s="208"/>
      <c r="AG256" s="95" t="str">
        <f t="shared" si="41"/>
        <v/>
      </c>
      <c r="AH256" s="208"/>
      <c r="AI256" s="95" t="str">
        <f t="shared" si="42"/>
        <v/>
      </c>
      <c r="AJ256" s="208"/>
      <c r="AK256" s="27" t="str">
        <f t="shared" si="43"/>
        <v/>
      </c>
      <c r="AL256" s="48" t="str">
        <f t="shared" si="44"/>
        <v/>
      </c>
      <c r="AM256" s="48" t="str">
        <f t="shared" si="45"/>
        <v/>
      </c>
      <c r="AN256" s="293"/>
      <c r="AO256" s="293"/>
      <c r="AP256" s="293"/>
      <c r="AQ256" s="293"/>
      <c r="AR256" s="293"/>
      <c r="AS256" s="293"/>
      <c r="AT256" s="293"/>
      <c r="AU256" s="294" t="str">
        <f>IFERROR(VLOOKUP(AT256,'Seguridad Información'!$I$61:$J$65,2,0),"")</f>
        <v/>
      </c>
      <c r="AV256" s="79"/>
      <c r="AW256" s="78" t="str">
        <f t="shared" si="36"/>
        <v/>
      </c>
      <c r="AX256" s="77" t="str">
        <f t="shared" si="46"/>
        <v/>
      </c>
      <c r="AY256" s="21" t="str">
        <f>IFERROR(VLOOKUP((CONCATENATE(AM256,AX256)),Listados!$U$3:$V$11,2,FALSE),"")</f>
        <v/>
      </c>
      <c r="AZ256" s="48">
        <f t="shared" si="47"/>
        <v>100</v>
      </c>
      <c r="BA256" s="355"/>
      <c r="BB256" s="357"/>
      <c r="BC256" s="173">
        <f>+IF(AND(W256="Preventivo",BB253="Fuerte"),2,IF(AND(W256="Preventivo",BB253="Moderado"),1,0))</f>
        <v>0</v>
      </c>
      <c r="BD256" s="64">
        <f>+IF(AND(W256="Detectivo/Correctivo",$BB253="Fuerte"),2,IF(AND(W256="Detectivo/Correctivo",$BB256="Moderado"),1,IF(AND(W256="Preventivo",$BB253="Fuerte"),1,0)))</f>
        <v>0</v>
      </c>
      <c r="BE256" s="173" t="e">
        <f>+N253-BC256</f>
        <v>#N/A</v>
      </c>
      <c r="BF256" s="173" t="e">
        <f>+P253-BD256</f>
        <v>#N/A</v>
      </c>
      <c r="BG256" s="346"/>
      <c r="BH256" s="346"/>
      <c r="BI256" s="346"/>
      <c r="BJ256" s="538"/>
      <c r="BK256" s="538"/>
      <c r="BL256" s="538"/>
      <c r="BM256" s="538"/>
    </row>
    <row r="257" spans="1:65" ht="65.099999999999994" customHeight="1" thickBot="1">
      <c r="A257" s="329"/>
      <c r="B257" s="514"/>
      <c r="C257" s="364"/>
      <c r="D257" s="109"/>
      <c r="E257" s="109"/>
      <c r="F257" s="433"/>
      <c r="G257" s="367"/>
      <c r="H257" s="100"/>
      <c r="I257" s="237"/>
      <c r="J257" s="100"/>
      <c r="K257" s="29"/>
      <c r="L257" s="222"/>
      <c r="M257" s="370"/>
      <c r="N257" s="349"/>
      <c r="O257" s="352"/>
      <c r="P257" s="349"/>
      <c r="Q257" s="353"/>
      <c r="R257" s="346"/>
      <c r="S257" s="208"/>
      <c r="T257" s="195"/>
      <c r="U257" s="47" t="s">
        <v>627</v>
      </c>
      <c r="V257" s="215"/>
      <c r="W257" s="215"/>
      <c r="X257" s="215"/>
      <c r="Y257" s="95" t="str">
        <f t="shared" si="37"/>
        <v/>
      </c>
      <c r="Z257" s="215"/>
      <c r="AA257" s="95" t="str">
        <f t="shared" si="38"/>
        <v/>
      </c>
      <c r="AB257" s="208"/>
      <c r="AC257" s="95" t="str">
        <f t="shared" si="39"/>
        <v/>
      </c>
      <c r="AD257" s="208"/>
      <c r="AE257" s="95" t="str">
        <f t="shared" si="40"/>
        <v/>
      </c>
      <c r="AF257" s="208"/>
      <c r="AG257" s="95" t="str">
        <f t="shared" si="41"/>
        <v/>
      </c>
      <c r="AH257" s="208"/>
      <c r="AI257" s="95" t="str">
        <f t="shared" si="42"/>
        <v/>
      </c>
      <c r="AJ257" s="208"/>
      <c r="AK257" s="27" t="str">
        <f t="shared" si="43"/>
        <v/>
      </c>
      <c r="AL257" s="48" t="str">
        <f t="shared" si="44"/>
        <v/>
      </c>
      <c r="AM257" s="48" t="str">
        <f t="shared" si="45"/>
        <v/>
      </c>
      <c r="AN257" s="293"/>
      <c r="AO257" s="293"/>
      <c r="AP257" s="293"/>
      <c r="AQ257" s="293"/>
      <c r="AR257" s="293"/>
      <c r="AS257" s="293"/>
      <c r="AT257" s="293"/>
      <c r="AU257" s="294" t="str">
        <f>IFERROR(VLOOKUP(AT257,'Seguridad Información'!$I$61:$J$65,2,0),"")</f>
        <v/>
      </c>
      <c r="AV257" s="79"/>
      <c r="AW257" s="78" t="str">
        <f t="shared" si="36"/>
        <v/>
      </c>
      <c r="AX257" s="77" t="str">
        <f t="shared" si="46"/>
        <v/>
      </c>
      <c r="AY257" s="21" t="str">
        <f>IFERROR(VLOOKUP((CONCATENATE(AM257,AX257)),Listados!$U$3:$V$11,2,FALSE),"")</f>
        <v/>
      </c>
      <c r="AZ257" s="48">
        <f t="shared" si="47"/>
        <v>100</v>
      </c>
      <c r="BA257" s="355"/>
      <c r="BB257" s="357"/>
      <c r="BC257" s="173">
        <f>+IF(AND(W257="Preventivo",BB253="Fuerte"),2,IF(AND(W257="Preventivo",BB253="Moderado"),1,0))</f>
        <v>0</v>
      </c>
      <c r="BD257" s="64">
        <f>+IF(AND(W257="Detectivo/Correctivo",$BB253="Fuerte"),2,IF(AND(W257="Detectivo/Correctivo",$BB257="Moderado"),1,IF(AND(W257="Preventivo",$BB253="Fuerte"),1,0)))</f>
        <v>0</v>
      </c>
      <c r="BE257" s="173" t="e">
        <f>+N253-BC257</f>
        <v>#N/A</v>
      </c>
      <c r="BF257" s="173" t="e">
        <f>+P253-BD257</f>
        <v>#N/A</v>
      </c>
      <c r="BG257" s="346"/>
      <c r="BH257" s="346"/>
      <c r="BI257" s="346"/>
      <c r="BJ257" s="538"/>
      <c r="BK257" s="538"/>
      <c r="BL257" s="538"/>
      <c r="BM257" s="538"/>
    </row>
    <row r="258" spans="1:65" ht="65.099999999999994" customHeight="1" thickBot="1">
      <c r="A258" s="330"/>
      <c r="B258" s="514"/>
      <c r="C258" s="365"/>
      <c r="D258" s="106"/>
      <c r="E258" s="106"/>
      <c r="F258" s="434"/>
      <c r="G258" s="368"/>
      <c r="H258" s="100"/>
      <c r="I258" s="237"/>
      <c r="J258" s="100"/>
      <c r="K258" s="31"/>
      <c r="L258" s="222"/>
      <c r="M258" s="370"/>
      <c r="N258" s="350"/>
      <c r="O258" s="352"/>
      <c r="P258" s="350"/>
      <c r="Q258" s="353"/>
      <c r="R258" s="347"/>
      <c r="S258" s="208"/>
      <c r="T258" s="98"/>
      <c r="U258" s="47" t="s">
        <v>627</v>
      </c>
      <c r="V258" s="215"/>
      <c r="W258" s="215"/>
      <c r="X258" s="215"/>
      <c r="Y258" s="95" t="str">
        <f t="shared" si="37"/>
        <v/>
      </c>
      <c r="Z258" s="215"/>
      <c r="AA258" s="95" t="str">
        <f t="shared" si="38"/>
        <v/>
      </c>
      <c r="AB258" s="208"/>
      <c r="AC258" s="95" t="str">
        <f t="shared" si="39"/>
        <v/>
      </c>
      <c r="AD258" s="208"/>
      <c r="AE258" s="95" t="str">
        <f t="shared" si="40"/>
        <v/>
      </c>
      <c r="AF258" s="208"/>
      <c r="AG258" s="95" t="str">
        <f t="shared" si="41"/>
        <v/>
      </c>
      <c r="AH258" s="208"/>
      <c r="AI258" s="95" t="str">
        <f t="shared" si="42"/>
        <v/>
      </c>
      <c r="AJ258" s="208"/>
      <c r="AK258" s="27" t="str">
        <f t="shared" si="43"/>
        <v/>
      </c>
      <c r="AL258" s="48" t="str">
        <f t="shared" si="44"/>
        <v/>
      </c>
      <c r="AM258" s="48" t="str">
        <f t="shared" si="45"/>
        <v/>
      </c>
      <c r="AN258" s="293"/>
      <c r="AO258" s="293"/>
      <c r="AP258" s="293"/>
      <c r="AQ258" s="293"/>
      <c r="AR258" s="293"/>
      <c r="AS258" s="293"/>
      <c r="AT258" s="293"/>
      <c r="AU258" s="294" t="str">
        <f>IFERROR(VLOOKUP(AT258,'Seguridad Información'!$I$61:$J$65,2,0),"")</f>
        <v/>
      </c>
      <c r="AV258" s="79"/>
      <c r="AW258" s="78" t="str">
        <f t="shared" si="36"/>
        <v/>
      </c>
      <c r="AX258" s="77" t="str">
        <f t="shared" si="46"/>
        <v/>
      </c>
      <c r="AY258" s="21" t="str">
        <f>IFERROR(VLOOKUP((CONCATENATE(AM258,AX258)),Listados!$U$3:$V$11,2,FALSE),"")</f>
        <v/>
      </c>
      <c r="AZ258" s="48">
        <f t="shared" si="47"/>
        <v>100</v>
      </c>
      <c r="BA258" s="356"/>
      <c r="BB258" s="357"/>
      <c r="BC258" s="173">
        <f>+IF(AND(W258="Preventivo",BB253="Fuerte"),2,IF(AND(W258="Preventivo",BB253="Moderado"),1,0))</f>
        <v>0</v>
      </c>
      <c r="BD258" s="64">
        <f>+IF(AND(W258="Detectivo/Correctivo",$BB253="Fuerte"),2,IF(AND(W258="Detectivo/Correctivo",$BB258="Moderado"),1,IF(AND(W258="Preventivo",$BB253="Fuerte"),1,0)))</f>
        <v>0</v>
      </c>
      <c r="BE258" s="173" t="e">
        <f>+N253-BC258</f>
        <v>#N/A</v>
      </c>
      <c r="BF258" s="173" t="e">
        <f>+P253-BD258</f>
        <v>#N/A</v>
      </c>
      <c r="BG258" s="347"/>
      <c r="BH258" s="347"/>
      <c r="BI258" s="347"/>
      <c r="BJ258" s="539"/>
      <c r="BK258" s="539"/>
      <c r="BL258" s="539"/>
      <c r="BM258" s="539"/>
    </row>
    <row r="259" spans="1:65" ht="65.099999999999994" customHeight="1" thickBot="1">
      <c r="A259" s="328">
        <v>43</v>
      </c>
      <c r="B259" s="519"/>
      <c r="C259" s="371" t="str">
        <f>IFERROR(VLOOKUP(B259,Listados!B$3:C$20,2,FALSE),"")</f>
        <v/>
      </c>
      <c r="D259" s="107"/>
      <c r="E259" s="107"/>
      <c r="F259" s="432"/>
      <c r="G259" s="372"/>
      <c r="H259" s="100"/>
      <c r="I259" s="237"/>
      <c r="J259" s="100"/>
      <c r="K259" s="103"/>
      <c r="L259" s="17"/>
      <c r="M259" s="369"/>
      <c r="N259" s="348" t="e">
        <f>+VLOOKUP(M259,Listados!$K$8:$L$12,2,0)</f>
        <v>#N/A</v>
      </c>
      <c r="O259" s="351"/>
      <c r="P259" s="348" t="e">
        <f>+VLOOKUP(O259,Listados!$K$13:$L$17,2,0)</f>
        <v>#N/A</v>
      </c>
      <c r="Q259" s="347" t="str">
        <f>IF(AND(M259&lt;&gt;"",O259&lt;&gt;""),VLOOKUP(M259&amp;O259,Listados!$M$3:$N$27,2,FALSE),"")</f>
        <v/>
      </c>
      <c r="R259" s="345" t="e">
        <f>+VLOOKUP(Q259,Listados!$P$3:$Q$6,2,FALSE)</f>
        <v>#N/A</v>
      </c>
      <c r="S259" s="208"/>
      <c r="T259" s="94"/>
      <c r="U259" s="47" t="s">
        <v>627</v>
      </c>
      <c r="V259" s="215"/>
      <c r="W259" s="215"/>
      <c r="X259" s="215"/>
      <c r="Y259" s="95" t="str">
        <f t="shared" si="37"/>
        <v/>
      </c>
      <c r="Z259" s="215"/>
      <c r="AA259" s="95" t="str">
        <f t="shared" si="38"/>
        <v/>
      </c>
      <c r="AB259" s="208"/>
      <c r="AC259" s="95" t="str">
        <f t="shared" si="39"/>
        <v/>
      </c>
      <c r="AD259" s="208"/>
      <c r="AE259" s="95" t="str">
        <f t="shared" si="40"/>
        <v/>
      </c>
      <c r="AF259" s="208"/>
      <c r="AG259" s="95" t="str">
        <f t="shared" si="41"/>
        <v/>
      </c>
      <c r="AH259" s="208"/>
      <c r="AI259" s="95" t="str">
        <f t="shared" si="42"/>
        <v/>
      </c>
      <c r="AJ259" s="208"/>
      <c r="AK259" s="27" t="str">
        <f t="shared" si="43"/>
        <v/>
      </c>
      <c r="AL259" s="48" t="str">
        <f t="shared" si="44"/>
        <v/>
      </c>
      <c r="AM259" s="48" t="str">
        <f t="shared" si="45"/>
        <v/>
      </c>
      <c r="AN259" s="293"/>
      <c r="AO259" s="293"/>
      <c r="AP259" s="293"/>
      <c r="AQ259" s="293"/>
      <c r="AR259" s="293"/>
      <c r="AS259" s="293"/>
      <c r="AT259" s="293"/>
      <c r="AU259" s="294" t="str">
        <f>IFERROR(VLOOKUP(AT259,'Seguridad Información'!$I$61:$J$65,2,0),"")</f>
        <v/>
      </c>
      <c r="AV259" s="79"/>
      <c r="AW259" s="78" t="str">
        <f t="shared" si="36"/>
        <v/>
      </c>
      <c r="AX259" s="77" t="str">
        <f t="shared" si="46"/>
        <v/>
      </c>
      <c r="AY259" s="21" t="str">
        <f>IFERROR(VLOOKUP((CONCATENATE(AM259,AX259)),Listados!$U$3:$V$11,2,FALSE),"")</f>
        <v/>
      </c>
      <c r="AZ259" s="48">
        <f t="shared" si="47"/>
        <v>100</v>
      </c>
      <c r="BA259" s="354">
        <f>AVERAGE(AZ259:AZ264)</f>
        <v>100</v>
      </c>
      <c r="BB259" s="356" t="str">
        <f>IF(BA259&lt;=50, "Débil", IF(BA259&lt;=99,"Moderado","Fuerte"))</f>
        <v>Fuerte</v>
      </c>
      <c r="BC259" s="173">
        <f>+IF(AND(W259="Preventivo",BB259="Fuerte"),2,IF(AND(W259="Preventivo",BB259="Moderado"),1,0))</f>
        <v>0</v>
      </c>
      <c r="BD259" s="64">
        <f>+IF(AND(W259="Detectivo/Correctivo",$BB259="Fuerte"),2,IF(AND(W259="Detectivo/Correctivo",$BB259="Moderado"),1,IF(AND(W259="Preventivo",$BB259="Fuerte"),1,0)))</f>
        <v>0</v>
      </c>
      <c r="BE259" s="173" t="e">
        <f>+N259-BC259</f>
        <v>#N/A</v>
      </c>
      <c r="BF259" s="173" t="e">
        <f>+P259-BD259</f>
        <v>#N/A</v>
      </c>
      <c r="BG259" s="345" t="e">
        <f>+VLOOKUP(MIN(BE259,BE260,BE261,BE262,BE263,BE264),Listados!$J$18:$K$24,2,TRUE)</f>
        <v>#N/A</v>
      </c>
      <c r="BH259" s="345" t="e">
        <f>+VLOOKUP(MIN(BF259,BF260,BF261,BF262,BF263,BF264),Listados!$J$27:$K$32,2,TRUE)</f>
        <v>#N/A</v>
      </c>
      <c r="BI259" s="345" t="e">
        <f>IF(AND(BG259&lt;&gt;"",BH259&lt;&gt;""),VLOOKUP(BG259&amp;BH259,Listados!$M$3:$N$27,2,FALSE),"")</f>
        <v>#N/A</v>
      </c>
      <c r="BJ259" s="537" t="e">
        <f>+IF($R259="Asumir el riesgo","NA","")</f>
        <v>#N/A</v>
      </c>
      <c r="BK259" s="537" t="e">
        <f>+IF($R259="Asumir el riesgo","NA","")</f>
        <v>#N/A</v>
      </c>
      <c r="BL259" s="537" t="e">
        <f>+IF($R259="Asumir el riesgo","NA","")</f>
        <v>#N/A</v>
      </c>
      <c r="BM259" s="537" t="e">
        <f>+IF($R259="Asumir el riesgo","NA","")</f>
        <v>#N/A</v>
      </c>
    </row>
    <row r="260" spans="1:65" ht="65.099999999999994" customHeight="1" thickBot="1">
      <c r="A260" s="329"/>
      <c r="B260" s="514"/>
      <c r="C260" s="364"/>
      <c r="D260" s="233"/>
      <c r="E260" s="233"/>
      <c r="F260" s="433"/>
      <c r="G260" s="367"/>
      <c r="H260" s="100"/>
      <c r="I260" s="237"/>
      <c r="J260" s="100"/>
      <c r="K260" s="236"/>
      <c r="L260" s="222"/>
      <c r="M260" s="370"/>
      <c r="N260" s="349"/>
      <c r="O260" s="352"/>
      <c r="P260" s="349"/>
      <c r="Q260" s="353"/>
      <c r="R260" s="346"/>
      <c r="S260" s="208"/>
      <c r="T260" s="195"/>
      <c r="U260" s="47" t="s">
        <v>627</v>
      </c>
      <c r="V260" s="215"/>
      <c r="W260" s="215"/>
      <c r="X260" s="215"/>
      <c r="Y260" s="95" t="str">
        <f t="shared" si="37"/>
        <v/>
      </c>
      <c r="Z260" s="215"/>
      <c r="AA260" s="95" t="str">
        <f t="shared" si="38"/>
        <v/>
      </c>
      <c r="AB260" s="208"/>
      <c r="AC260" s="95" t="str">
        <f t="shared" si="39"/>
        <v/>
      </c>
      <c r="AD260" s="208"/>
      <c r="AE260" s="95" t="str">
        <f t="shared" si="40"/>
        <v/>
      </c>
      <c r="AF260" s="208"/>
      <c r="AG260" s="95" t="str">
        <f t="shared" si="41"/>
        <v/>
      </c>
      <c r="AH260" s="208"/>
      <c r="AI260" s="95" t="str">
        <f t="shared" si="42"/>
        <v/>
      </c>
      <c r="AJ260" s="208"/>
      <c r="AK260" s="27" t="str">
        <f t="shared" si="43"/>
        <v/>
      </c>
      <c r="AL260" s="48" t="str">
        <f t="shared" si="44"/>
        <v/>
      </c>
      <c r="AM260" s="48" t="str">
        <f t="shared" si="45"/>
        <v/>
      </c>
      <c r="AN260" s="293"/>
      <c r="AO260" s="293"/>
      <c r="AP260" s="293"/>
      <c r="AQ260" s="293"/>
      <c r="AR260" s="293"/>
      <c r="AS260" s="293"/>
      <c r="AT260" s="293"/>
      <c r="AU260" s="294" t="str">
        <f>IFERROR(VLOOKUP(AT260,'Seguridad Información'!$I$61:$J$65,2,0),"")</f>
        <v/>
      </c>
      <c r="AV260" s="79"/>
      <c r="AW260" s="78" t="str">
        <f t="shared" si="36"/>
        <v/>
      </c>
      <c r="AX260" s="77" t="str">
        <f t="shared" si="46"/>
        <v/>
      </c>
      <c r="AY260" s="21" t="str">
        <f>IFERROR(VLOOKUP((CONCATENATE(AM260,AX260)),Listados!$U$3:$V$11,2,FALSE),"")</f>
        <v/>
      </c>
      <c r="AZ260" s="48">
        <f t="shared" si="47"/>
        <v>100</v>
      </c>
      <c r="BA260" s="355"/>
      <c r="BB260" s="357"/>
      <c r="BC260" s="173">
        <f>+IF(AND(W260="Preventivo",BB259="Fuerte"),2,IF(AND(W260="Preventivo",BB259="Moderado"),1,0))</f>
        <v>0</v>
      </c>
      <c r="BD260" s="64">
        <f>+IF(AND(W260="Detectivo/Correctivo",$BB259="Fuerte"),2,IF(AND(W260="Detectivo/Correctivo",$BB260="Moderado"),1,IF(AND(W260="Preventivo",$BB259="Fuerte"),1,0)))</f>
        <v>0</v>
      </c>
      <c r="BE260" s="173" t="e">
        <f>+N259-BC260</f>
        <v>#N/A</v>
      </c>
      <c r="BF260" s="173" t="e">
        <f>+P259-BD260</f>
        <v>#N/A</v>
      </c>
      <c r="BG260" s="346"/>
      <c r="BH260" s="346"/>
      <c r="BI260" s="346"/>
      <c r="BJ260" s="538"/>
      <c r="BK260" s="538"/>
      <c r="BL260" s="538"/>
      <c r="BM260" s="538"/>
    </row>
    <row r="261" spans="1:65" ht="65.099999999999994" customHeight="1" thickBot="1">
      <c r="A261" s="329"/>
      <c r="B261" s="514"/>
      <c r="C261" s="364"/>
      <c r="D261" s="233"/>
      <c r="E261" s="233"/>
      <c r="F261" s="433"/>
      <c r="G261" s="367"/>
      <c r="H261" s="100"/>
      <c r="I261" s="237"/>
      <c r="J261" s="100"/>
      <c r="K261" s="236"/>
      <c r="L261" s="222"/>
      <c r="M261" s="370"/>
      <c r="N261" s="349"/>
      <c r="O261" s="352"/>
      <c r="P261" s="349"/>
      <c r="Q261" s="353"/>
      <c r="R261" s="346"/>
      <c r="S261" s="208"/>
      <c r="T261" s="96"/>
      <c r="U261" s="47" t="s">
        <v>627</v>
      </c>
      <c r="V261" s="215"/>
      <c r="W261" s="215"/>
      <c r="X261" s="215"/>
      <c r="Y261" s="95" t="str">
        <f t="shared" si="37"/>
        <v/>
      </c>
      <c r="Z261" s="215"/>
      <c r="AA261" s="95" t="str">
        <f t="shared" si="38"/>
        <v/>
      </c>
      <c r="AB261" s="208"/>
      <c r="AC261" s="95" t="str">
        <f t="shared" si="39"/>
        <v/>
      </c>
      <c r="AD261" s="208"/>
      <c r="AE261" s="95" t="str">
        <f t="shared" si="40"/>
        <v/>
      </c>
      <c r="AF261" s="208"/>
      <c r="AG261" s="95" t="str">
        <f t="shared" si="41"/>
        <v/>
      </c>
      <c r="AH261" s="208"/>
      <c r="AI261" s="95" t="str">
        <f t="shared" si="42"/>
        <v/>
      </c>
      <c r="AJ261" s="208"/>
      <c r="AK261" s="27" t="str">
        <f t="shared" si="43"/>
        <v/>
      </c>
      <c r="AL261" s="48" t="str">
        <f t="shared" si="44"/>
        <v/>
      </c>
      <c r="AM261" s="48" t="str">
        <f t="shared" si="45"/>
        <v/>
      </c>
      <c r="AN261" s="293"/>
      <c r="AO261" s="293"/>
      <c r="AP261" s="293"/>
      <c r="AQ261" s="293"/>
      <c r="AR261" s="293"/>
      <c r="AS261" s="293"/>
      <c r="AT261" s="293"/>
      <c r="AU261" s="294" t="str">
        <f>IFERROR(VLOOKUP(AT261,'Seguridad Información'!$I$61:$J$65,2,0),"")</f>
        <v/>
      </c>
      <c r="AV261" s="79"/>
      <c r="AW261" s="78" t="str">
        <f t="shared" si="36"/>
        <v/>
      </c>
      <c r="AX261" s="77" t="str">
        <f t="shared" si="46"/>
        <v/>
      </c>
      <c r="AY261" s="21" t="str">
        <f>IFERROR(VLOOKUP((CONCATENATE(AM261,AX261)),Listados!$U$3:$V$11,2,FALSE),"")</f>
        <v/>
      </c>
      <c r="AZ261" s="48">
        <f t="shared" si="47"/>
        <v>100</v>
      </c>
      <c r="BA261" s="355"/>
      <c r="BB261" s="357"/>
      <c r="BC261" s="173">
        <f>+IF(AND(W261="Preventivo",BB259="Fuerte"),2,IF(AND(W261="Preventivo",BB259="Moderado"),1,0))</f>
        <v>0</v>
      </c>
      <c r="BD261" s="64">
        <f>+IF(AND(W261="Detectivo/Correctivo",$BB259="Fuerte"),2,IF(AND(W261="Detectivo/Correctivo",$BB261="Moderado"),1,IF(AND(W261="Preventivo",$BB259="Fuerte"),1,0)))</f>
        <v>0</v>
      </c>
      <c r="BE261" s="173" t="e">
        <f>+N259-BC261</f>
        <v>#N/A</v>
      </c>
      <c r="BF261" s="173" t="e">
        <f>+P259-BD261</f>
        <v>#N/A</v>
      </c>
      <c r="BG261" s="346"/>
      <c r="BH261" s="346"/>
      <c r="BI261" s="346"/>
      <c r="BJ261" s="538"/>
      <c r="BK261" s="538"/>
      <c r="BL261" s="538"/>
      <c r="BM261" s="538"/>
    </row>
    <row r="262" spans="1:65" ht="65.099999999999994" customHeight="1" thickBot="1">
      <c r="A262" s="329"/>
      <c r="B262" s="514"/>
      <c r="C262" s="364"/>
      <c r="D262" s="233"/>
      <c r="E262" s="233"/>
      <c r="F262" s="433"/>
      <c r="G262" s="367"/>
      <c r="H262" s="100"/>
      <c r="I262" s="237"/>
      <c r="J262" s="100"/>
      <c r="K262" s="236"/>
      <c r="L262" s="222"/>
      <c r="M262" s="370"/>
      <c r="N262" s="349"/>
      <c r="O262" s="352"/>
      <c r="P262" s="349"/>
      <c r="Q262" s="353"/>
      <c r="R262" s="346"/>
      <c r="S262" s="208"/>
      <c r="T262" s="97"/>
      <c r="U262" s="47" t="s">
        <v>627</v>
      </c>
      <c r="V262" s="215"/>
      <c r="W262" s="215"/>
      <c r="X262" s="215"/>
      <c r="Y262" s="95" t="str">
        <f t="shared" si="37"/>
        <v/>
      </c>
      <c r="Z262" s="215"/>
      <c r="AA262" s="95" t="str">
        <f t="shared" si="38"/>
        <v/>
      </c>
      <c r="AB262" s="208"/>
      <c r="AC262" s="95" t="str">
        <f t="shared" si="39"/>
        <v/>
      </c>
      <c r="AD262" s="208"/>
      <c r="AE262" s="95" t="str">
        <f t="shared" si="40"/>
        <v/>
      </c>
      <c r="AF262" s="208"/>
      <c r="AG262" s="95" t="str">
        <f t="shared" si="41"/>
        <v/>
      </c>
      <c r="AH262" s="208"/>
      <c r="AI262" s="95" t="str">
        <f t="shared" si="42"/>
        <v/>
      </c>
      <c r="AJ262" s="208"/>
      <c r="AK262" s="27" t="str">
        <f t="shared" si="43"/>
        <v/>
      </c>
      <c r="AL262" s="48" t="str">
        <f t="shared" si="44"/>
        <v/>
      </c>
      <c r="AM262" s="48" t="str">
        <f t="shared" si="45"/>
        <v/>
      </c>
      <c r="AN262" s="293"/>
      <c r="AO262" s="293"/>
      <c r="AP262" s="293"/>
      <c r="AQ262" s="293"/>
      <c r="AR262" s="293"/>
      <c r="AS262" s="293"/>
      <c r="AT262" s="293"/>
      <c r="AU262" s="294" t="str">
        <f>IFERROR(VLOOKUP(AT262,'Seguridad Información'!$I$61:$J$65,2,0),"")</f>
        <v/>
      </c>
      <c r="AV262" s="79"/>
      <c r="AW262" s="78" t="str">
        <f t="shared" si="36"/>
        <v/>
      </c>
      <c r="AX262" s="77" t="str">
        <f t="shared" si="46"/>
        <v/>
      </c>
      <c r="AY262" s="21" t="str">
        <f>IFERROR(VLOOKUP((CONCATENATE(AM262,AX262)),Listados!$U$3:$V$11,2,FALSE),"")</f>
        <v/>
      </c>
      <c r="AZ262" s="48">
        <f t="shared" si="47"/>
        <v>100</v>
      </c>
      <c r="BA262" s="355"/>
      <c r="BB262" s="357"/>
      <c r="BC262" s="173">
        <f>+IF(AND(W262="Preventivo",BB259="Fuerte"),2,IF(AND(W262="Preventivo",BB259="Moderado"),1,0))</f>
        <v>0</v>
      </c>
      <c r="BD262" s="64">
        <f>+IF(AND(W262="Detectivo/Correctivo",$BB259="Fuerte"),2,IF(AND(W262="Detectivo/Correctivo",$BB262="Moderado"),1,IF(AND(W262="Preventivo",$BB259="Fuerte"),1,0)))</f>
        <v>0</v>
      </c>
      <c r="BE262" s="173" t="e">
        <f>+N259-BC262</f>
        <v>#N/A</v>
      </c>
      <c r="BF262" s="173" t="e">
        <f>+P259-BD262</f>
        <v>#N/A</v>
      </c>
      <c r="BG262" s="346"/>
      <c r="BH262" s="346"/>
      <c r="BI262" s="346"/>
      <c r="BJ262" s="538"/>
      <c r="BK262" s="538"/>
      <c r="BL262" s="538"/>
      <c r="BM262" s="538"/>
    </row>
    <row r="263" spans="1:65" ht="65.099999999999994" customHeight="1" thickBot="1">
      <c r="A263" s="329"/>
      <c r="B263" s="514"/>
      <c r="C263" s="364"/>
      <c r="D263" s="109"/>
      <c r="E263" s="109"/>
      <c r="F263" s="433"/>
      <c r="G263" s="367"/>
      <c r="H263" s="100"/>
      <c r="I263" s="237"/>
      <c r="J263" s="100"/>
      <c r="K263" s="29"/>
      <c r="L263" s="222"/>
      <c r="M263" s="370"/>
      <c r="N263" s="349"/>
      <c r="O263" s="352"/>
      <c r="P263" s="349"/>
      <c r="Q263" s="353"/>
      <c r="R263" s="346"/>
      <c r="S263" s="208"/>
      <c r="T263" s="195"/>
      <c r="U263" s="47" t="s">
        <v>627</v>
      </c>
      <c r="V263" s="215"/>
      <c r="W263" s="215"/>
      <c r="X263" s="215"/>
      <c r="Y263" s="95" t="str">
        <f t="shared" si="37"/>
        <v/>
      </c>
      <c r="Z263" s="215"/>
      <c r="AA263" s="95" t="str">
        <f t="shared" si="38"/>
        <v/>
      </c>
      <c r="AB263" s="208"/>
      <c r="AC263" s="95" t="str">
        <f t="shared" si="39"/>
        <v/>
      </c>
      <c r="AD263" s="208"/>
      <c r="AE263" s="95" t="str">
        <f t="shared" si="40"/>
        <v/>
      </c>
      <c r="AF263" s="208"/>
      <c r="AG263" s="95" t="str">
        <f t="shared" si="41"/>
        <v/>
      </c>
      <c r="AH263" s="208"/>
      <c r="AI263" s="95" t="str">
        <f t="shared" si="42"/>
        <v/>
      </c>
      <c r="AJ263" s="208"/>
      <c r="AK263" s="27" t="str">
        <f t="shared" si="43"/>
        <v/>
      </c>
      <c r="AL263" s="48" t="str">
        <f t="shared" si="44"/>
        <v/>
      </c>
      <c r="AM263" s="48" t="str">
        <f t="shared" si="45"/>
        <v/>
      </c>
      <c r="AN263" s="293"/>
      <c r="AO263" s="293"/>
      <c r="AP263" s="293"/>
      <c r="AQ263" s="293"/>
      <c r="AR263" s="293"/>
      <c r="AS263" s="293"/>
      <c r="AT263" s="293"/>
      <c r="AU263" s="294" t="str">
        <f>IFERROR(VLOOKUP(AT263,'Seguridad Información'!$I$61:$J$65,2,0),"")</f>
        <v/>
      </c>
      <c r="AV263" s="79"/>
      <c r="AW263" s="78" t="str">
        <f t="shared" ref="AW263:AW326" si="48">IFERROR(AVERAGE(AO263,AQ263,AS263,AU263),"")</f>
        <v/>
      </c>
      <c r="AX263" s="77" t="str">
        <f t="shared" si="46"/>
        <v/>
      </c>
      <c r="AY263" s="21" t="str">
        <f>IFERROR(VLOOKUP((CONCATENATE(AM263,AX263)),Listados!$U$3:$V$11,2,FALSE),"")</f>
        <v/>
      </c>
      <c r="AZ263" s="48">
        <f t="shared" si="47"/>
        <v>100</v>
      </c>
      <c r="BA263" s="355"/>
      <c r="BB263" s="357"/>
      <c r="BC263" s="173">
        <f>+IF(AND(W263="Preventivo",BB259="Fuerte"),2,IF(AND(W263="Preventivo",BB259="Moderado"),1,0))</f>
        <v>0</v>
      </c>
      <c r="BD263" s="64">
        <f>+IF(AND(W263="Detectivo/Correctivo",$BB259="Fuerte"),2,IF(AND(W263="Detectivo/Correctivo",$BB263="Moderado"),1,IF(AND(W263="Preventivo",$BB259="Fuerte"),1,0)))</f>
        <v>0</v>
      </c>
      <c r="BE263" s="173" t="e">
        <f>+N259-BC263</f>
        <v>#N/A</v>
      </c>
      <c r="BF263" s="173" t="e">
        <f>+P259-BD263</f>
        <v>#N/A</v>
      </c>
      <c r="BG263" s="346"/>
      <c r="BH263" s="346"/>
      <c r="BI263" s="346"/>
      <c r="BJ263" s="538"/>
      <c r="BK263" s="538"/>
      <c r="BL263" s="538"/>
      <c r="BM263" s="538"/>
    </row>
    <row r="264" spans="1:65" ht="65.099999999999994" customHeight="1" thickBot="1">
      <c r="A264" s="330"/>
      <c r="B264" s="514"/>
      <c r="C264" s="365"/>
      <c r="D264" s="106"/>
      <c r="E264" s="106"/>
      <c r="F264" s="434"/>
      <c r="G264" s="368"/>
      <c r="H264" s="100"/>
      <c r="I264" s="237"/>
      <c r="J264" s="100"/>
      <c r="K264" s="31"/>
      <c r="L264" s="222"/>
      <c r="M264" s="370"/>
      <c r="N264" s="350"/>
      <c r="O264" s="352"/>
      <c r="P264" s="350"/>
      <c r="Q264" s="353"/>
      <c r="R264" s="347"/>
      <c r="S264" s="208"/>
      <c r="T264" s="98"/>
      <c r="U264" s="47" t="s">
        <v>627</v>
      </c>
      <c r="V264" s="215"/>
      <c r="W264" s="215"/>
      <c r="X264" s="215"/>
      <c r="Y264" s="95" t="str">
        <f t="shared" ref="Y264:Y327" si="49">+IF(X264="si",15,"")</f>
        <v/>
      </c>
      <c r="Z264" s="215"/>
      <c r="AA264" s="95" t="str">
        <f t="shared" ref="AA264:AA327" si="50">+IF(Z264="si",15,"")</f>
        <v/>
      </c>
      <c r="AB264" s="208"/>
      <c r="AC264" s="95" t="str">
        <f t="shared" ref="AC264:AC327" si="51">+IF(AB264="si",15,"")</f>
        <v/>
      </c>
      <c r="AD264" s="208"/>
      <c r="AE264" s="95" t="str">
        <f t="shared" ref="AE264:AE327" si="52">+IF(AD264="si",15,"")</f>
        <v/>
      </c>
      <c r="AF264" s="208"/>
      <c r="AG264" s="95" t="str">
        <f t="shared" ref="AG264:AG327" si="53">+IF(AF264="si",15,"")</f>
        <v/>
      </c>
      <c r="AH264" s="208"/>
      <c r="AI264" s="95" t="str">
        <f t="shared" ref="AI264:AI327" si="54">+IF(AH264="si",15,"")</f>
        <v/>
      </c>
      <c r="AJ264" s="208"/>
      <c r="AK264" s="27" t="str">
        <f t="shared" ref="AK264:AK327" si="55">+IF(AJ264="Completa",10,IF(AJ264="Incompleta",5,""))</f>
        <v/>
      </c>
      <c r="AL264" s="48" t="str">
        <f t="shared" ref="AL264:AL327" si="56">IF((SUM(Y264,AA264,AC264,AE264,AG264,AI264,AK264)=0),"",(SUM(Y264,AA264,AC264,AE264,AG264,AI264,AK264)))</f>
        <v/>
      </c>
      <c r="AM264" s="48" t="str">
        <f t="shared" ref="AM264:AM327" si="57">IF(AL264&lt;=85,"Débil",IF(AL264&lt;=95,"Moderado",IF(AL264=100,"Fuerte","")))</f>
        <v/>
      </c>
      <c r="AN264" s="293"/>
      <c r="AO264" s="293"/>
      <c r="AP264" s="293"/>
      <c r="AQ264" s="293"/>
      <c r="AR264" s="293"/>
      <c r="AS264" s="293"/>
      <c r="AT264" s="293"/>
      <c r="AU264" s="294" t="str">
        <f>IFERROR(VLOOKUP(AT264,'Seguridad Información'!$I$61:$J$65,2,0),"")</f>
        <v/>
      </c>
      <c r="AV264" s="79"/>
      <c r="AW264" s="78" t="str">
        <f t="shared" si="48"/>
        <v/>
      </c>
      <c r="AX264" s="77" t="str">
        <f t="shared" ref="AX264:AX327" si="58">IF(AW264&lt;=80,"Débil",IF(AW264&lt;=90,"Moderado",IF(AW264=100,"Fuerte","")))</f>
        <v/>
      </c>
      <c r="AY264" s="21" t="str">
        <f>IFERROR(VLOOKUP((CONCATENATE(AM264,AX264)),Listados!$U$3:$V$11,2,FALSE),"")</f>
        <v/>
      </c>
      <c r="AZ264" s="48">
        <f t="shared" si="47"/>
        <v>100</v>
      </c>
      <c r="BA264" s="356"/>
      <c r="BB264" s="357"/>
      <c r="BC264" s="173">
        <f>+IF(AND(W264="Preventivo",BB259="Fuerte"),2,IF(AND(W264="Preventivo",BB259="Moderado"),1,0))</f>
        <v>0</v>
      </c>
      <c r="BD264" s="64">
        <f>+IF(AND(W264="Detectivo/Correctivo",$BB259="Fuerte"),2,IF(AND(W264="Detectivo/Correctivo",$BB264="Moderado"),1,IF(AND(W264="Preventivo",$BB259="Fuerte"),1,0)))</f>
        <v>0</v>
      </c>
      <c r="BE264" s="173" t="e">
        <f>+N259-BC264</f>
        <v>#N/A</v>
      </c>
      <c r="BF264" s="173" t="e">
        <f>+P259-BD264</f>
        <v>#N/A</v>
      </c>
      <c r="BG264" s="347"/>
      <c r="BH264" s="347"/>
      <c r="BI264" s="347"/>
      <c r="BJ264" s="539"/>
      <c r="BK264" s="539"/>
      <c r="BL264" s="539"/>
      <c r="BM264" s="539"/>
    </row>
    <row r="265" spans="1:65" ht="65.099999999999994" customHeight="1" thickBot="1">
      <c r="A265" s="328">
        <v>44</v>
      </c>
      <c r="B265" s="519"/>
      <c r="C265" s="371" t="str">
        <f>IFERROR(VLOOKUP(B265,Listados!B$3:C$20,2,FALSE),"")</f>
        <v/>
      </c>
      <c r="D265" s="107"/>
      <c r="E265" s="107"/>
      <c r="F265" s="432"/>
      <c r="G265" s="372"/>
      <c r="H265" s="100"/>
      <c r="I265" s="237"/>
      <c r="J265" s="100"/>
      <c r="K265" s="103"/>
      <c r="L265" s="17"/>
      <c r="M265" s="369"/>
      <c r="N265" s="348" t="e">
        <f>+VLOOKUP(M265,Listados!$K$8:$L$12,2,0)</f>
        <v>#N/A</v>
      </c>
      <c r="O265" s="351"/>
      <c r="P265" s="348" t="e">
        <f>+VLOOKUP(O265,Listados!$K$13:$L$17,2,0)</f>
        <v>#N/A</v>
      </c>
      <c r="Q265" s="347" t="str">
        <f>IF(AND(M265&lt;&gt;"",O265&lt;&gt;""),VLOOKUP(M265&amp;O265,Listados!$M$3:$N$27,2,FALSE),"")</f>
        <v/>
      </c>
      <c r="R265" s="345" t="e">
        <f>+VLOOKUP(Q265,Listados!$P$3:$Q$6,2,FALSE)</f>
        <v>#N/A</v>
      </c>
      <c r="S265" s="208"/>
      <c r="T265" s="94"/>
      <c r="U265" s="47" t="s">
        <v>627</v>
      </c>
      <c r="V265" s="215"/>
      <c r="W265" s="215"/>
      <c r="X265" s="215"/>
      <c r="Y265" s="95" t="str">
        <f t="shared" si="49"/>
        <v/>
      </c>
      <c r="Z265" s="215"/>
      <c r="AA265" s="95" t="str">
        <f t="shared" si="50"/>
        <v/>
      </c>
      <c r="AB265" s="208"/>
      <c r="AC265" s="95" t="str">
        <f t="shared" si="51"/>
        <v/>
      </c>
      <c r="AD265" s="208"/>
      <c r="AE265" s="95" t="str">
        <f t="shared" si="52"/>
        <v/>
      </c>
      <c r="AF265" s="208"/>
      <c r="AG265" s="95" t="str">
        <f t="shared" si="53"/>
        <v/>
      </c>
      <c r="AH265" s="208"/>
      <c r="AI265" s="95" t="str">
        <f t="shared" si="54"/>
        <v/>
      </c>
      <c r="AJ265" s="208"/>
      <c r="AK265" s="27" t="str">
        <f t="shared" si="55"/>
        <v/>
      </c>
      <c r="AL265" s="48" t="str">
        <f t="shared" si="56"/>
        <v/>
      </c>
      <c r="AM265" s="48" t="str">
        <f t="shared" si="57"/>
        <v/>
      </c>
      <c r="AN265" s="293"/>
      <c r="AO265" s="293"/>
      <c r="AP265" s="293"/>
      <c r="AQ265" s="293"/>
      <c r="AR265" s="293"/>
      <c r="AS265" s="293"/>
      <c r="AT265" s="293"/>
      <c r="AU265" s="294" t="str">
        <f>IFERROR(VLOOKUP(AT265,'Seguridad Información'!$I$61:$J$65,2,0),"")</f>
        <v/>
      </c>
      <c r="AV265" s="79"/>
      <c r="AW265" s="78" t="str">
        <f t="shared" si="48"/>
        <v/>
      </c>
      <c r="AX265" s="77" t="str">
        <f t="shared" si="58"/>
        <v/>
      </c>
      <c r="AY265" s="21" t="str">
        <f>IFERROR(VLOOKUP((CONCATENATE(AM265,AX265)),Listados!$U$3:$V$11,2,FALSE),"")</f>
        <v/>
      </c>
      <c r="AZ265" s="48">
        <f t="shared" ref="AZ265:AZ328" si="59">IF(ISBLANK(AY265),"",IF(AY265="Débil", 0, IF(AY265="Moderado",50,100)))</f>
        <v>100</v>
      </c>
      <c r="BA265" s="354">
        <f>AVERAGE(AZ265:AZ270)</f>
        <v>100</v>
      </c>
      <c r="BB265" s="356" t="str">
        <f>IF(BA265&lt;=50, "Débil", IF(BA265&lt;=99,"Moderado","Fuerte"))</f>
        <v>Fuerte</v>
      </c>
      <c r="BC265" s="173">
        <f>+IF(AND(W265="Preventivo",BB265="Fuerte"),2,IF(AND(W265="Preventivo",BB265="Moderado"),1,0))</f>
        <v>0</v>
      </c>
      <c r="BD265" s="64">
        <f>+IF(AND(W265="Detectivo/Correctivo",$BB265="Fuerte"),2,IF(AND(W265="Detectivo/Correctivo",$BB265="Moderado"),1,IF(AND(W265="Preventivo",$BB265="Fuerte"),1,0)))</f>
        <v>0</v>
      </c>
      <c r="BE265" s="173" t="e">
        <f>+N265-BC265</f>
        <v>#N/A</v>
      </c>
      <c r="BF265" s="173" t="e">
        <f>+P265-BD265</f>
        <v>#N/A</v>
      </c>
      <c r="BG265" s="345" t="e">
        <f>+VLOOKUP(MIN(BE265,BE266,BE267,BE268,BE269,BE270),Listados!$J$18:$K$24,2,TRUE)</f>
        <v>#N/A</v>
      </c>
      <c r="BH265" s="345" t="e">
        <f>+VLOOKUP(MIN(BF265,BF266,BF267,BF268,BF269,BF270),Listados!$J$27:$K$32,2,TRUE)</f>
        <v>#N/A</v>
      </c>
      <c r="BI265" s="345" t="e">
        <f>IF(AND(BG265&lt;&gt;"",BH265&lt;&gt;""),VLOOKUP(BG265&amp;BH265,Listados!$M$3:$N$27,2,FALSE),"")</f>
        <v>#N/A</v>
      </c>
      <c r="BJ265" s="537" t="e">
        <f>+IF($R265="Asumir el riesgo","NA","")</f>
        <v>#N/A</v>
      </c>
      <c r="BK265" s="537" t="e">
        <f>+IF($R265="Asumir el riesgo","NA","")</f>
        <v>#N/A</v>
      </c>
      <c r="BL265" s="537" t="e">
        <f>+IF($R265="Asumir el riesgo","NA","")</f>
        <v>#N/A</v>
      </c>
      <c r="BM265" s="537" t="e">
        <f>+IF($R265="Asumir el riesgo","NA","")</f>
        <v>#N/A</v>
      </c>
    </row>
    <row r="266" spans="1:65" ht="65.099999999999994" customHeight="1" thickBot="1">
      <c r="A266" s="329"/>
      <c r="B266" s="514"/>
      <c r="C266" s="364"/>
      <c r="D266" s="233"/>
      <c r="E266" s="233"/>
      <c r="F266" s="433"/>
      <c r="G266" s="367"/>
      <c r="H266" s="100"/>
      <c r="I266" s="237"/>
      <c r="J266" s="100"/>
      <c r="K266" s="236"/>
      <c r="L266" s="222"/>
      <c r="M266" s="370"/>
      <c r="N266" s="349"/>
      <c r="O266" s="352"/>
      <c r="P266" s="349"/>
      <c r="Q266" s="353"/>
      <c r="R266" s="346"/>
      <c r="S266" s="208"/>
      <c r="T266" s="195"/>
      <c r="U266" s="47" t="s">
        <v>627</v>
      </c>
      <c r="V266" s="215"/>
      <c r="W266" s="215"/>
      <c r="X266" s="215"/>
      <c r="Y266" s="95" t="str">
        <f t="shared" si="49"/>
        <v/>
      </c>
      <c r="Z266" s="215"/>
      <c r="AA266" s="95" t="str">
        <f t="shared" si="50"/>
        <v/>
      </c>
      <c r="AB266" s="208"/>
      <c r="AC266" s="95" t="str">
        <f t="shared" si="51"/>
        <v/>
      </c>
      <c r="AD266" s="208"/>
      <c r="AE266" s="95" t="str">
        <f t="shared" si="52"/>
        <v/>
      </c>
      <c r="AF266" s="208"/>
      <c r="AG266" s="95" t="str">
        <f t="shared" si="53"/>
        <v/>
      </c>
      <c r="AH266" s="208"/>
      <c r="AI266" s="95" t="str">
        <f t="shared" si="54"/>
        <v/>
      </c>
      <c r="AJ266" s="208"/>
      <c r="AK266" s="27" t="str">
        <f t="shared" si="55"/>
        <v/>
      </c>
      <c r="AL266" s="48" t="str">
        <f t="shared" si="56"/>
        <v/>
      </c>
      <c r="AM266" s="48" t="str">
        <f t="shared" si="57"/>
        <v/>
      </c>
      <c r="AN266" s="293"/>
      <c r="AO266" s="293"/>
      <c r="AP266" s="293"/>
      <c r="AQ266" s="293"/>
      <c r="AR266" s="293"/>
      <c r="AS266" s="293"/>
      <c r="AT266" s="293"/>
      <c r="AU266" s="294" t="str">
        <f>IFERROR(VLOOKUP(AT266,'Seguridad Información'!$I$61:$J$65,2,0),"")</f>
        <v/>
      </c>
      <c r="AV266" s="79"/>
      <c r="AW266" s="78" t="str">
        <f t="shared" si="48"/>
        <v/>
      </c>
      <c r="AX266" s="77" t="str">
        <f t="shared" si="58"/>
        <v/>
      </c>
      <c r="AY266" s="21" t="str">
        <f>IFERROR(VLOOKUP((CONCATENATE(AM266,AX266)),Listados!$U$3:$V$11,2,FALSE),"")</f>
        <v/>
      </c>
      <c r="AZ266" s="48">
        <f t="shared" si="59"/>
        <v>100</v>
      </c>
      <c r="BA266" s="355"/>
      <c r="BB266" s="357"/>
      <c r="BC266" s="173">
        <f>+IF(AND(W266="Preventivo",BB265="Fuerte"),2,IF(AND(W266="Preventivo",BB265="Moderado"),1,0))</f>
        <v>0</v>
      </c>
      <c r="BD266" s="64">
        <f>+IF(AND(W266="Detectivo/Correctivo",$BB265="Fuerte"),2,IF(AND(W266="Detectivo/Correctivo",$BB266="Moderado"),1,IF(AND(W266="Preventivo",$BB265="Fuerte"),1,0)))</f>
        <v>0</v>
      </c>
      <c r="BE266" s="173" t="e">
        <f>+N265-BC266</f>
        <v>#N/A</v>
      </c>
      <c r="BF266" s="173" t="e">
        <f>+P265-BD266</f>
        <v>#N/A</v>
      </c>
      <c r="BG266" s="346"/>
      <c r="BH266" s="346"/>
      <c r="BI266" s="346"/>
      <c r="BJ266" s="538"/>
      <c r="BK266" s="538"/>
      <c r="BL266" s="538"/>
      <c r="BM266" s="538"/>
    </row>
    <row r="267" spans="1:65" ht="65.099999999999994" customHeight="1" thickBot="1">
      <c r="A267" s="329"/>
      <c r="B267" s="514"/>
      <c r="C267" s="364"/>
      <c r="D267" s="233"/>
      <c r="E267" s="233"/>
      <c r="F267" s="433"/>
      <c r="G267" s="367"/>
      <c r="H267" s="100"/>
      <c r="I267" s="237"/>
      <c r="J267" s="100"/>
      <c r="K267" s="236"/>
      <c r="L267" s="222"/>
      <c r="M267" s="370"/>
      <c r="N267" s="349"/>
      <c r="O267" s="352"/>
      <c r="P267" s="349"/>
      <c r="Q267" s="353"/>
      <c r="R267" s="346"/>
      <c r="S267" s="208"/>
      <c r="T267" s="96"/>
      <c r="U267" s="47" t="s">
        <v>627</v>
      </c>
      <c r="V267" s="215"/>
      <c r="W267" s="215"/>
      <c r="X267" s="215"/>
      <c r="Y267" s="95" t="str">
        <f t="shared" si="49"/>
        <v/>
      </c>
      <c r="Z267" s="215"/>
      <c r="AA267" s="95" t="str">
        <f t="shared" si="50"/>
        <v/>
      </c>
      <c r="AB267" s="208"/>
      <c r="AC267" s="95" t="str">
        <f t="shared" si="51"/>
        <v/>
      </c>
      <c r="AD267" s="208"/>
      <c r="AE267" s="95" t="str">
        <f t="shared" si="52"/>
        <v/>
      </c>
      <c r="AF267" s="208"/>
      <c r="AG267" s="95" t="str">
        <f t="shared" si="53"/>
        <v/>
      </c>
      <c r="AH267" s="208"/>
      <c r="AI267" s="95" t="str">
        <f t="shared" si="54"/>
        <v/>
      </c>
      <c r="AJ267" s="208"/>
      <c r="AK267" s="27" t="str">
        <f t="shared" si="55"/>
        <v/>
      </c>
      <c r="AL267" s="48" t="str">
        <f t="shared" si="56"/>
        <v/>
      </c>
      <c r="AM267" s="48" t="str">
        <f t="shared" si="57"/>
        <v/>
      </c>
      <c r="AN267" s="293"/>
      <c r="AO267" s="293"/>
      <c r="AP267" s="293"/>
      <c r="AQ267" s="293"/>
      <c r="AR267" s="293"/>
      <c r="AS267" s="293"/>
      <c r="AT267" s="293"/>
      <c r="AU267" s="294" t="str">
        <f>IFERROR(VLOOKUP(AT267,'Seguridad Información'!$I$61:$J$65,2,0),"")</f>
        <v/>
      </c>
      <c r="AV267" s="79"/>
      <c r="AW267" s="78" t="str">
        <f t="shared" si="48"/>
        <v/>
      </c>
      <c r="AX267" s="77" t="str">
        <f t="shared" si="58"/>
        <v/>
      </c>
      <c r="AY267" s="21" t="str">
        <f>IFERROR(VLOOKUP((CONCATENATE(AM267,AX267)),Listados!$U$3:$V$11,2,FALSE),"")</f>
        <v/>
      </c>
      <c r="AZ267" s="48">
        <f t="shared" si="59"/>
        <v>100</v>
      </c>
      <c r="BA267" s="355"/>
      <c r="BB267" s="357"/>
      <c r="BC267" s="173">
        <f>+IF(AND(W267="Preventivo",BB265="Fuerte"),2,IF(AND(W267="Preventivo",BB265="Moderado"),1,0))</f>
        <v>0</v>
      </c>
      <c r="BD267" s="64">
        <f>+IF(AND(W267="Detectivo/Correctivo",$BB265="Fuerte"),2,IF(AND(W267="Detectivo/Correctivo",$BB267="Moderado"),1,IF(AND(W267="Preventivo",$BB265="Fuerte"),1,0)))</f>
        <v>0</v>
      </c>
      <c r="BE267" s="173" t="e">
        <f>+N265-BC267</f>
        <v>#N/A</v>
      </c>
      <c r="BF267" s="173" t="e">
        <f>+P265-BD267</f>
        <v>#N/A</v>
      </c>
      <c r="BG267" s="346"/>
      <c r="BH267" s="346"/>
      <c r="BI267" s="346"/>
      <c r="BJ267" s="538"/>
      <c r="BK267" s="538"/>
      <c r="BL267" s="538"/>
      <c r="BM267" s="538"/>
    </row>
    <row r="268" spans="1:65" ht="65.099999999999994" customHeight="1" thickBot="1">
      <c r="A268" s="329"/>
      <c r="B268" s="514"/>
      <c r="C268" s="364"/>
      <c r="D268" s="233"/>
      <c r="E268" s="233"/>
      <c r="F268" s="433"/>
      <c r="G268" s="367"/>
      <c r="H268" s="100"/>
      <c r="I268" s="237"/>
      <c r="J268" s="100"/>
      <c r="K268" s="236"/>
      <c r="L268" s="222"/>
      <c r="M268" s="370"/>
      <c r="N268" s="349"/>
      <c r="O268" s="352"/>
      <c r="P268" s="349"/>
      <c r="Q268" s="353"/>
      <c r="R268" s="346"/>
      <c r="S268" s="208"/>
      <c r="T268" s="97"/>
      <c r="U268" s="47" t="s">
        <v>627</v>
      </c>
      <c r="V268" s="215"/>
      <c r="W268" s="215"/>
      <c r="X268" s="215"/>
      <c r="Y268" s="95" t="str">
        <f t="shared" si="49"/>
        <v/>
      </c>
      <c r="Z268" s="215"/>
      <c r="AA268" s="95" t="str">
        <f t="shared" si="50"/>
        <v/>
      </c>
      <c r="AB268" s="208"/>
      <c r="AC268" s="95" t="str">
        <f t="shared" si="51"/>
        <v/>
      </c>
      <c r="AD268" s="208"/>
      <c r="AE268" s="95" t="str">
        <f t="shared" si="52"/>
        <v/>
      </c>
      <c r="AF268" s="208"/>
      <c r="AG268" s="95" t="str">
        <f t="shared" si="53"/>
        <v/>
      </c>
      <c r="AH268" s="208"/>
      <c r="AI268" s="95" t="str">
        <f t="shared" si="54"/>
        <v/>
      </c>
      <c r="AJ268" s="208"/>
      <c r="AK268" s="27" t="str">
        <f t="shared" si="55"/>
        <v/>
      </c>
      <c r="AL268" s="48" t="str">
        <f t="shared" si="56"/>
        <v/>
      </c>
      <c r="AM268" s="48" t="str">
        <f t="shared" si="57"/>
        <v/>
      </c>
      <c r="AN268" s="293"/>
      <c r="AO268" s="293"/>
      <c r="AP268" s="293"/>
      <c r="AQ268" s="293"/>
      <c r="AR268" s="293"/>
      <c r="AS268" s="293"/>
      <c r="AT268" s="293"/>
      <c r="AU268" s="294" t="str">
        <f>IFERROR(VLOOKUP(AT268,'Seguridad Información'!$I$61:$J$65,2,0),"")</f>
        <v/>
      </c>
      <c r="AV268" s="79"/>
      <c r="AW268" s="78" t="str">
        <f t="shared" si="48"/>
        <v/>
      </c>
      <c r="AX268" s="77" t="str">
        <f t="shared" si="58"/>
        <v/>
      </c>
      <c r="AY268" s="21" t="str">
        <f>IFERROR(VLOOKUP((CONCATENATE(AM268,AX268)),Listados!$U$3:$V$11,2,FALSE),"")</f>
        <v/>
      </c>
      <c r="AZ268" s="48">
        <f t="shared" si="59"/>
        <v>100</v>
      </c>
      <c r="BA268" s="355"/>
      <c r="BB268" s="357"/>
      <c r="BC268" s="173">
        <f>+IF(AND(W268="Preventivo",BB265="Fuerte"),2,IF(AND(W268="Preventivo",BB265="Moderado"),1,0))</f>
        <v>0</v>
      </c>
      <c r="BD268" s="64">
        <f>+IF(AND(W268="Detectivo/Correctivo",$BB265="Fuerte"),2,IF(AND(W268="Detectivo/Correctivo",$BB268="Moderado"),1,IF(AND(W268="Preventivo",$BB265="Fuerte"),1,0)))</f>
        <v>0</v>
      </c>
      <c r="BE268" s="173" t="e">
        <f>+N265-BC268</f>
        <v>#N/A</v>
      </c>
      <c r="BF268" s="173" t="e">
        <f>+P265-BD268</f>
        <v>#N/A</v>
      </c>
      <c r="BG268" s="346"/>
      <c r="BH268" s="346"/>
      <c r="BI268" s="346"/>
      <c r="BJ268" s="538"/>
      <c r="BK268" s="538"/>
      <c r="BL268" s="538"/>
      <c r="BM268" s="538"/>
    </row>
    <row r="269" spans="1:65" ht="65.099999999999994" customHeight="1" thickBot="1">
      <c r="A269" s="329"/>
      <c r="B269" s="514"/>
      <c r="C269" s="364"/>
      <c r="D269" s="109"/>
      <c r="E269" s="109"/>
      <c r="F269" s="433"/>
      <c r="G269" s="367"/>
      <c r="H269" s="100"/>
      <c r="I269" s="237"/>
      <c r="J269" s="100"/>
      <c r="K269" s="29"/>
      <c r="L269" s="222"/>
      <c r="M269" s="370"/>
      <c r="N269" s="349"/>
      <c r="O269" s="352"/>
      <c r="P269" s="349"/>
      <c r="Q269" s="353"/>
      <c r="R269" s="346"/>
      <c r="S269" s="208"/>
      <c r="T269" s="195"/>
      <c r="U269" s="47" t="s">
        <v>627</v>
      </c>
      <c r="V269" s="215"/>
      <c r="W269" s="215"/>
      <c r="X269" s="215"/>
      <c r="Y269" s="95" t="str">
        <f t="shared" si="49"/>
        <v/>
      </c>
      <c r="Z269" s="215"/>
      <c r="AA269" s="95" t="str">
        <f t="shared" si="50"/>
        <v/>
      </c>
      <c r="AB269" s="208"/>
      <c r="AC269" s="95" t="str">
        <f t="shared" si="51"/>
        <v/>
      </c>
      <c r="AD269" s="208"/>
      <c r="AE269" s="95" t="str">
        <f t="shared" si="52"/>
        <v/>
      </c>
      <c r="AF269" s="208"/>
      <c r="AG269" s="95" t="str">
        <f t="shared" si="53"/>
        <v/>
      </c>
      <c r="AH269" s="208"/>
      <c r="AI269" s="95" t="str">
        <f t="shared" si="54"/>
        <v/>
      </c>
      <c r="AJ269" s="208"/>
      <c r="AK269" s="27" t="str">
        <f t="shared" si="55"/>
        <v/>
      </c>
      <c r="AL269" s="48" t="str">
        <f t="shared" si="56"/>
        <v/>
      </c>
      <c r="AM269" s="48" t="str">
        <f t="shared" si="57"/>
        <v/>
      </c>
      <c r="AN269" s="293"/>
      <c r="AO269" s="293"/>
      <c r="AP269" s="293"/>
      <c r="AQ269" s="293"/>
      <c r="AR269" s="293"/>
      <c r="AS269" s="293"/>
      <c r="AT269" s="293"/>
      <c r="AU269" s="294" t="str">
        <f>IFERROR(VLOOKUP(AT269,'Seguridad Información'!$I$61:$J$65,2,0),"")</f>
        <v/>
      </c>
      <c r="AV269" s="79"/>
      <c r="AW269" s="78" t="str">
        <f t="shared" si="48"/>
        <v/>
      </c>
      <c r="AX269" s="77" t="str">
        <f t="shared" si="58"/>
        <v/>
      </c>
      <c r="AY269" s="21" t="str">
        <f>IFERROR(VLOOKUP((CONCATENATE(AM269,AX269)),Listados!$U$3:$V$11,2,FALSE),"")</f>
        <v/>
      </c>
      <c r="AZ269" s="48">
        <f t="shared" si="59"/>
        <v>100</v>
      </c>
      <c r="BA269" s="355"/>
      <c r="BB269" s="357"/>
      <c r="BC269" s="173">
        <f>+IF(AND(W269="Preventivo",BB265="Fuerte"),2,IF(AND(W269="Preventivo",BB265="Moderado"),1,0))</f>
        <v>0</v>
      </c>
      <c r="BD269" s="64">
        <f>+IF(AND(W269="Detectivo/Correctivo",$BB265="Fuerte"),2,IF(AND(W269="Detectivo/Correctivo",$BB269="Moderado"),1,IF(AND(W269="Preventivo",$BB265="Fuerte"),1,0)))</f>
        <v>0</v>
      </c>
      <c r="BE269" s="173" t="e">
        <f>+N265-BC269</f>
        <v>#N/A</v>
      </c>
      <c r="BF269" s="173" t="e">
        <f>+P265-BD269</f>
        <v>#N/A</v>
      </c>
      <c r="BG269" s="346"/>
      <c r="BH269" s="346"/>
      <c r="BI269" s="346"/>
      <c r="BJ269" s="538"/>
      <c r="BK269" s="538"/>
      <c r="BL269" s="538"/>
      <c r="BM269" s="538"/>
    </row>
    <row r="270" spans="1:65" ht="65.099999999999994" customHeight="1" thickBot="1">
      <c r="A270" s="330"/>
      <c r="B270" s="514"/>
      <c r="C270" s="365"/>
      <c r="D270" s="106"/>
      <c r="E270" s="106"/>
      <c r="F270" s="434"/>
      <c r="G270" s="368"/>
      <c r="H270" s="100"/>
      <c r="I270" s="237"/>
      <c r="J270" s="100"/>
      <c r="K270" s="31"/>
      <c r="L270" s="222"/>
      <c r="M270" s="370"/>
      <c r="N270" s="350"/>
      <c r="O270" s="352"/>
      <c r="P270" s="350"/>
      <c r="Q270" s="353"/>
      <c r="R270" s="347"/>
      <c r="S270" s="208"/>
      <c r="T270" s="98"/>
      <c r="U270" s="47" t="s">
        <v>627</v>
      </c>
      <c r="V270" s="215"/>
      <c r="W270" s="215"/>
      <c r="X270" s="215"/>
      <c r="Y270" s="95" t="str">
        <f t="shared" si="49"/>
        <v/>
      </c>
      <c r="Z270" s="215"/>
      <c r="AA270" s="95" t="str">
        <f t="shared" si="50"/>
        <v/>
      </c>
      <c r="AB270" s="208"/>
      <c r="AC270" s="95" t="str">
        <f t="shared" si="51"/>
        <v/>
      </c>
      <c r="AD270" s="208"/>
      <c r="AE270" s="95" t="str">
        <f t="shared" si="52"/>
        <v/>
      </c>
      <c r="AF270" s="208"/>
      <c r="AG270" s="95" t="str">
        <f t="shared" si="53"/>
        <v/>
      </c>
      <c r="AH270" s="208"/>
      <c r="AI270" s="95" t="str">
        <f t="shared" si="54"/>
        <v/>
      </c>
      <c r="AJ270" s="208"/>
      <c r="AK270" s="27" t="str">
        <f t="shared" si="55"/>
        <v/>
      </c>
      <c r="AL270" s="48" t="str">
        <f t="shared" si="56"/>
        <v/>
      </c>
      <c r="AM270" s="48" t="str">
        <f t="shared" si="57"/>
        <v/>
      </c>
      <c r="AN270" s="293"/>
      <c r="AO270" s="293"/>
      <c r="AP270" s="293"/>
      <c r="AQ270" s="293"/>
      <c r="AR270" s="293"/>
      <c r="AS270" s="293"/>
      <c r="AT270" s="293"/>
      <c r="AU270" s="294" t="str">
        <f>IFERROR(VLOOKUP(AT270,'Seguridad Información'!$I$61:$J$65,2,0),"")</f>
        <v/>
      </c>
      <c r="AV270" s="79"/>
      <c r="AW270" s="78" t="str">
        <f t="shared" si="48"/>
        <v/>
      </c>
      <c r="AX270" s="77" t="str">
        <f t="shared" si="58"/>
        <v/>
      </c>
      <c r="AY270" s="21" t="str">
        <f>IFERROR(VLOOKUP((CONCATENATE(AM270,AX270)),Listados!$U$3:$V$11,2,FALSE),"")</f>
        <v/>
      </c>
      <c r="AZ270" s="48">
        <f t="shared" si="59"/>
        <v>100</v>
      </c>
      <c r="BA270" s="356"/>
      <c r="BB270" s="357"/>
      <c r="BC270" s="173">
        <f>+IF(AND(W270="Preventivo",BB265="Fuerte"),2,IF(AND(W270="Preventivo",BB265="Moderado"),1,0))</f>
        <v>0</v>
      </c>
      <c r="BD270" s="64">
        <f>+IF(AND(W270="Detectivo/Correctivo",$BB265="Fuerte"),2,IF(AND(W270="Detectivo/Correctivo",$BB270="Moderado"),1,IF(AND(W270="Preventivo",$BB265="Fuerte"),1,0)))</f>
        <v>0</v>
      </c>
      <c r="BE270" s="173" t="e">
        <f>+N265-BC270</f>
        <v>#N/A</v>
      </c>
      <c r="BF270" s="173" t="e">
        <f>+P265-BD270</f>
        <v>#N/A</v>
      </c>
      <c r="BG270" s="347"/>
      <c r="BH270" s="347"/>
      <c r="BI270" s="347"/>
      <c r="BJ270" s="539"/>
      <c r="BK270" s="539"/>
      <c r="BL270" s="539"/>
      <c r="BM270" s="539"/>
    </row>
    <row r="271" spans="1:65" ht="65.099999999999994" customHeight="1" thickBot="1">
      <c r="A271" s="328">
        <v>45</v>
      </c>
      <c r="B271" s="519"/>
      <c r="C271" s="371" t="str">
        <f>IFERROR(VLOOKUP(B271,Listados!B$3:C$20,2,FALSE),"")</f>
        <v/>
      </c>
      <c r="D271" s="107"/>
      <c r="E271" s="107"/>
      <c r="F271" s="432"/>
      <c r="G271" s="372"/>
      <c r="H271" s="100"/>
      <c r="I271" s="237"/>
      <c r="J271" s="100"/>
      <c r="K271" s="103"/>
      <c r="L271" s="17"/>
      <c r="M271" s="369"/>
      <c r="N271" s="348" t="e">
        <f>+VLOOKUP(M271,Listados!$K$8:$L$12,2,0)</f>
        <v>#N/A</v>
      </c>
      <c r="O271" s="351"/>
      <c r="P271" s="348" t="e">
        <f>+VLOOKUP(O271,Listados!$K$13:$L$17,2,0)</f>
        <v>#N/A</v>
      </c>
      <c r="Q271" s="347" t="str">
        <f>IF(AND(M271&lt;&gt;"",O271&lt;&gt;""),VLOOKUP(M271&amp;O271,Listados!$M$3:$N$27,2,FALSE),"")</f>
        <v/>
      </c>
      <c r="R271" s="345" t="e">
        <f>+VLOOKUP(Q271,Listados!$P$3:$Q$6,2,FALSE)</f>
        <v>#N/A</v>
      </c>
      <c r="S271" s="208"/>
      <c r="T271" s="94"/>
      <c r="U271" s="47" t="s">
        <v>627</v>
      </c>
      <c r="V271" s="215"/>
      <c r="W271" s="215"/>
      <c r="X271" s="215"/>
      <c r="Y271" s="95" t="str">
        <f t="shared" si="49"/>
        <v/>
      </c>
      <c r="Z271" s="215"/>
      <c r="AA271" s="95" t="str">
        <f t="shared" si="50"/>
        <v/>
      </c>
      <c r="AB271" s="208"/>
      <c r="AC271" s="95" t="str">
        <f t="shared" si="51"/>
        <v/>
      </c>
      <c r="AD271" s="208"/>
      <c r="AE271" s="95" t="str">
        <f t="shared" si="52"/>
        <v/>
      </c>
      <c r="AF271" s="208"/>
      <c r="AG271" s="95" t="str">
        <f t="shared" si="53"/>
        <v/>
      </c>
      <c r="AH271" s="208"/>
      <c r="AI271" s="95" t="str">
        <f t="shared" si="54"/>
        <v/>
      </c>
      <c r="AJ271" s="208"/>
      <c r="AK271" s="27" t="str">
        <f t="shared" si="55"/>
        <v/>
      </c>
      <c r="AL271" s="48" t="str">
        <f t="shared" si="56"/>
        <v/>
      </c>
      <c r="AM271" s="48" t="str">
        <f t="shared" si="57"/>
        <v/>
      </c>
      <c r="AN271" s="293"/>
      <c r="AO271" s="293"/>
      <c r="AP271" s="293"/>
      <c r="AQ271" s="293"/>
      <c r="AR271" s="293"/>
      <c r="AS271" s="293"/>
      <c r="AT271" s="293"/>
      <c r="AU271" s="294" t="str">
        <f>IFERROR(VLOOKUP(AT271,'Seguridad Información'!$I$61:$J$65,2,0),"")</f>
        <v/>
      </c>
      <c r="AV271" s="79"/>
      <c r="AW271" s="78" t="str">
        <f t="shared" si="48"/>
        <v/>
      </c>
      <c r="AX271" s="77" t="str">
        <f t="shared" si="58"/>
        <v/>
      </c>
      <c r="AY271" s="21" t="str">
        <f>IFERROR(VLOOKUP((CONCATENATE(AM271,AX271)),Listados!$U$3:$V$11,2,FALSE),"")</f>
        <v/>
      </c>
      <c r="AZ271" s="48">
        <f t="shared" si="59"/>
        <v>100</v>
      </c>
      <c r="BA271" s="354">
        <f>AVERAGE(AZ271:AZ276)</f>
        <v>100</v>
      </c>
      <c r="BB271" s="356" t="str">
        <f>IF(BA271&lt;=50, "Débil", IF(BA271&lt;=99,"Moderado","Fuerte"))</f>
        <v>Fuerte</v>
      </c>
      <c r="BC271" s="173">
        <f>+IF(AND(W271="Preventivo",BB271="Fuerte"),2,IF(AND(W271="Preventivo",BB271="Moderado"),1,0))</f>
        <v>0</v>
      </c>
      <c r="BD271" s="64">
        <f>+IF(AND(W271="Detectivo/Correctivo",$BB271="Fuerte"),2,IF(AND(W271="Detectivo/Correctivo",$BB271="Moderado"),1,IF(AND(W271="Preventivo",$BB271="Fuerte"),1,0)))</f>
        <v>0</v>
      </c>
      <c r="BE271" s="173" t="e">
        <f>+N271-BC271</f>
        <v>#N/A</v>
      </c>
      <c r="BF271" s="173" t="e">
        <f>+P271-BD271</f>
        <v>#N/A</v>
      </c>
      <c r="BG271" s="345" t="e">
        <f>+VLOOKUP(MIN(BE271,BE272,BE273,BE274,BE275,BE276),Listados!$J$18:$K$24,2,TRUE)</f>
        <v>#N/A</v>
      </c>
      <c r="BH271" s="345" t="e">
        <f>+VLOOKUP(MIN(BF271,BF272,BF273,BF274,BF275,BF276),Listados!$J$27:$K$32,2,TRUE)</f>
        <v>#N/A</v>
      </c>
      <c r="BI271" s="345" t="e">
        <f>IF(AND(BG271&lt;&gt;"",BH271&lt;&gt;""),VLOOKUP(BG271&amp;BH271,Listados!$M$3:$N$27,2,FALSE),"")</f>
        <v>#N/A</v>
      </c>
      <c r="BJ271" s="537" t="e">
        <f>+IF($R271="Asumir el riesgo","NA","")</f>
        <v>#N/A</v>
      </c>
      <c r="BK271" s="537" t="e">
        <f>+IF($R271="Asumir el riesgo","NA","")</f>
        <v>#N/A</v>
      </c>
      <c r="BL271" s="537" t="e">
        <f>+IF($R271="Asumir el riesgo","NA","")</f>
        <v>#N/A</v>
      </c>
      <c r="BM271" s="537" t="e">
        <f>+IF($R271="Asumir el riesgo","NA","")</f>
        <v>#N/A</v>
      </c>
    </row>
    <row r="272" spans="1:65" ht="65.099999999999994" customHeight="1" thickBot="1">
      <c r="A272" s="329"/>
      <c r="B272" s="514"/>
      <c r="C272" s="364"/>
      <c r="D272" s="233"/>
      <c r="E272" s="233"/>
      <c r="F272" s="433"/>
      <c r="G272" s="367"/>
      <c r="H272" s="100"/>
      <c r="I272" s="237"/>
      <c r="J272" s="100"/>
      <c r="K272" s="236"/>
      <c r="L272" s="222"/>
      <c r="M272" s="370"/>
      <c r="N272" s="349"/>
      <c r="O272" s="352"/>
      <c r="P272" s="349"/>
      <c r="Q272" s="353"/>
      <c r="R272" s="346"/>
      <c r="S272" s="208"/>
      <c r="T272" s="195"/>
      <c r="U272" s="47" t="s">
        <v>627</v>
      </c>
      <c r="V272" s="215"/>
      <c r="W272" s="215"/>
      <c r="X272" s="215"/>
      <c r="Y272" s="95" t="str">
        <f t="shared" si="49"/>
        <v/>
      </c>
      <c r="Z272" s="215"/>
      <c r="AA272" s="95" t="str">
        <f t="shared" si="50"/>
        <v/>
      </c>
      <c r="AB272" s="208"/>
      <c r="AC272" s="95" t="str">
        <f t="shared" si="51"/>
        <v/>
      </c>
      <c r="AD272" s="208"/>
      <c r="AE272" s="95" t="str">
        <f t="shared" si="52"/>
        <v/>
      </c>
      <c r="AF272" s="208"/>
      <c r="AG272" s="95" t="str">
        <f t="shared" si="53"/>
        <v/>
      </c>
      <c r="AH272" s="208"/>
      <c r="AI272" s="95" t="str">
        <f t="shared" si="54"/>
        <v/>
      </c>
      <c r="AJ272" s="208"/>
      <c r="AK272" s="27" t="str">
        <f t="shared" si="55"/>
        <v/>
      </c>
      <c r="AL272" s="48" t="str">
        <f t="shared" si="56"/>
        <v/>
      </c>
      <c r="AM272" s="48" t="str">
        <f t="shared" si="57"/>
        <v/>
      </c>
      <c r="AN272" s="293"/>
      <c r="AO272" s="293"/>
      <c r="AP272" s="293"/>
      <c r="AQ272" s="293"/>
      <c r="AR272" s="293"/>
      <c r="AS272" s="293"/>
      <c r="AT272" s="293"/>
      <c r="AU272" s="294" t="str">
        <f>IFERROR(VLOOKUP(AT272,'Seguridad Información'!$I$61:$J$65,2,0),"")</f>
        <v/>
      </c>
      <c r="AV272" s="79"/>
      <c r="AW272" s="78" t="str">
        <f t="shared" si="48"/>
        <v/>
      </c>
      <c r="AX272" s="77" t="str">
        <f t="shared" si="58"/>
        <v/>
      </c>
      <c r="AY272" s="21" t="str">
        <f>IFERROR(VLOOKUP((CONCATENATE(AM272,AX272)),Listados!$U$3:$V$11,2,FALSE),"")</f>
        <v/>
      </c>
      <c r="AZ272" s="48">
        <f t="shared" si="59"/>
        <v>100</v>
      </c>
      <c r="BA272" s="355"/>
      <c r="BB272" s="357"/>
      <c r="BC272" s="173">
        <f>+IF(AND(W272="Preventivo",BB271="Fuerte"),2,IF(AND(W272="Preventivo",BB271="Moderado"),1,0))</f>
        <v>0</v>
      </c>
      <c r="BD272" s="64">
        <f>+IF(AND(W272="Detectivo/Correctivo",$BB271="Fuerte"),2,IF(AND(W272="Detectivo/Correctivo",$BB272="Moderado"),1,IF(AND(W272="Preventivo",$BB271="Fuerte"),1,0)))</f>
        <v>0</v>
      </c>
      <c r="BE272" s="173" t="e">
        <f>+N271-BC272</f>
        <v>#N/A</v>
      </c>
      <c r="BF272" s="173" t="e">
        <f>+P271-BD272</f>
        <v>#N/A</v>
      </c>
      <c r="BG272" s="346"/>
      <c r="BH272" s="346"/>
      <c r="BI272" s="346"/>
      <c r="BJ272" s="538"/>
      <c r="BK272" s="538"/>
      <c r="BL272" s="538"/>
      <c r="BM272" s="538"/>
    </row>
    <row r="273" spans="1:65" ht="65.099999999999994" customHeight="1" thickBot="1">
      <c r="A273" s="329"/>
      <c r="B273" s="514"/>
      <c r="C273" s="364"/>
      <c r="D273" s="233"/>
      <c r="E273" s="233"/>
      <c r="F273" s="433"/>
      <c r="G273" s="367"/>
      <c r="H273" s="100"/>
      <c r="I273" s="237"/>
      <c r="J273" s="100"/>
      <c r="K273" s="236"/>
      <c r="L273" s="222"/>
      <c r="M273" s="370"/>
      <c r="N273" s="349"/>
      <c r="O273" s="352"/>
      <c r="P273" s="349"/>
      <c r="Q273" s="353"/>
      <c r="R273" s="346"/>
      <c r="S273" s="208"/>
      <c r="T273" s="96"/>
      <c r="U273" s="47" t="s">
        <v>627</v>
      </c>
      <c r="V273" s="215"/>
      <c r="W273" s="215"/>
      <c r="X273" s="215"/>
      <c r="Y273" s="95" t="str">
        <f t="shared" si="49"/>
        <v/>
      </c>
      <c r="Z273" s="215"/>
      <c r="AA273" s="95" t="str">
        <f t="shared" si="50"/>
        <v/>
      </c>
      <c r="AB273" s="208"/>
      <c r="AC273" s="95" t="str">
        <f t="shared" si="51"/>
        <v/>
      </c>
      <c r="AD273" s="208"/>
      <c r="AE273" s="95" t="str">
        <f t="shared" si="52"/>
        <v/>
      </c>
      <c r="AF273" s="208"/>
      <c r="AG273" s="95" t="str">
        <f t="shared" si="53"/>
        <v/>
      </c>
      <c r="AH273" s="208"/>
      <c r="AI273" s="95" t="str">
        <f t="shared" si="54"/>
        <v/>
      </c>
      <c r="AJ273" s="208"/>
      <c r="AK273" s="27" t="str">
        <f t="shared" si="55"/>
        <v/>
      </c>
      <c r="AL273" s="48" t="str">
        <f t="shared" si="56"/>
        <v/>
      </c>
      <c r="AM273" s="48" t="str">
        <f t="shared" si="57"/>
        <v/>
      </c>
      <c r="AN273" s="293"/>
      <c r="AO273" s="293"/>
      <c r="AP273" s="293"/>
      <c r="AQ273" s="293"/>
      <c r="AR273" s="293"/>
      <c r="AS273" s="293"/>
      <c r="AT273" s="293"/>
      <c r="AU273" s="294" t="str">
        <f>IFERROR(VLOOKUP(AT273,'Seguridad Información'!$I$61:$J$65,2,0),"")</f>
        <v/>
      </c>
      <c r="AV273" s="79"/>
      <c r="AW273" s="78" t="str">
        <f t="shared" si="48"/>
        <v/>
      </c>
      <c r="AX273" s="77" t="str">
        <f t="shared" si="58"/>
        <v/>
      </c>
      <c r="AY273" s="21" t="str">
        <f>IFERROR(VLOOKUP((CONCATENATE(AM273,AX273)),Listados!$U$3:$V$11,2,FALSE),"")</f>
        <v/>
      </c>
      <c r="AZ273" s="48">
        <f t="shared" si="59"/>
        <v>100</v>
      </c>
      <c r="BA273" s="355"/>
      <c r="BB273" s="357"/>
      <c r="BC273" s="173">
        <f>+IF(AND(W273="Preventivo",BB271="Fuerte"),2,IF(AND(W273="Preventivo",BB271="Moderado"),1,0))</f>
        <v>0</v>
      </c>
      <c r="BD273" s="64">
        <f>+IF(AND(W273="Detectivo/Correctivo",$BB271="Fuerte"),2,IF(AND(W273="Detectivo/Correctivo",$BB273="Moderado"),1,IF(AND(W273="Preventivo",$BB271="Fuerte"),1,0)))</f>
        <v>0</v>
      </c>
      <c r="BE273" s="173" t="e">
        <f>+N271-BC273</f>
        <v>#N/A</v>
      </c>
      <c r="BF273" s="173" t="e">
        <f>+P271-BD273</f>
        <v>#N/A</v>
      </c>
      <c r="BG273" s="346"/>
      <c r="BH273" s="346"/>
      <c r="BI273" s="346"/>
      <c r="BJ273" s="538"/>
      <c r="BK273" s="538"/>
      <c r="BL273" s="538"/>
      <c r="BM273" s="538"/>
    </row>
    <row r="274" spans="1:65" ht="65.099999999999994" customHeight="1" thickBot="1">
      <c r="A274" s="329"/>
      <c r="B274" s="514"/>
      <c r="C274" s="364"/>
      <c r="D274" s="233"/>
      <c r="E274" s="233"/>
      <c r="F274" s="433"/>
      <c r="G274" s="367"/>
      <c r="H274" s="100"/>
      <c r="I274" s="237"/>
      <c r="J274" s="100"/>
      <c r="K274" s="236"/>
      <c r="L274" s="222"/>
      <c r="M274" s="370"/>
      <c r="N274" s="349"/>
      <c r="O274" s="352"/>
      <c r="P274" s="349"/>
      <c r="Q274" s="353"/>
      <c r="R274" s="346"/>
      <c r="S274" s="208"/>
      <c r="T274" s="97"/>
      <c r="U274" s="47" t="s">
        <v>627</v>
      </c>
      <c r="V274" s="215"/>
      <c r="W274" s="215"/>
      <c r="X274" s="215"/>
      <c r="Y274" s="95" t="str">
        <f t="shared" si="49"/>
        <v/>
      </c>
      <c r="Z274" s="215"/>
      <c r="AA274" s="95" t="str">
        <f t="shared" si="50"/>
        <v/>
      </c>
      <c r="AB274" s="208"/>
      <c r="AC274" s="95" t="str">
        <f t="shared" si="51"/>
        <v/>
      </c>
      <c r="AD274" s="208"/>
      <c r="AE274" s="95" t="str">
        <f t="shared" si="52"/>
        <v/>
      </c>
      <c r="AF274" s="208"/>
      <c r="AG274" s="95" t="str">
        <f t="shared" si="53"/>
        <v/>
      </c>
      <c r="AH274" s="208"/>
      <c r="AI274" s="95" t="str">
        <f t="shared" si="54"/>
        <v/>
      </c>
      <c r="AJ274" s="208"/>
      <c r="AK274" s="27" t="str">
        <f t="shared" si="55"/>
        <v/>
      </c>
      <c r="AL274" s="48" t="str">
        <f t="shared" si="56"/>
        <v/>
      </c>
      <c r="AM274" s="48" t="str">
        <f t="shared" si="57"/>
        <v/>
      </c>
      <c r="AN274" s="293"/>
      <c r="AO274" s="293"/>
      <c r="AP274" s="293"/>
      <c r="AQ274" s="293"/>
      <c r="AR274" s="293"/>
      <c r="AS274" s="293"/>
      <c r="AT274" s="293"/>
      <c r="AU274" s="294" t="str">
        <f>IFERROR(VLOOKUP(AT274,'Seguridad Información'!$I$61:$J$65,2,0),"")</f>
        <v/>
      </c>
      <c r="AV274" s="79"/>
      <c r="AW274" s="78" t="str">
        <f t="shared" si="48"/>
        <v/>
      </c>
      <c r="AX274" s="77" t="str">
        <f t="shared" si="58"/>
        <v/>
      </c>
      <c r="AY274" s="21" t="str">
        <f>IFERROR(VLOOKUP((CONCATENATE(AM274,AX274)),Listados!$U$3:$V$11,2,FALSE),"")</f>
        <v/>
      </c>
      <c r="AZ274" s="48">
        <f t="shared" si="59"/>
        <v>100</v>
      </c>
      <c r="BA274" s="355"/>
      <c r="BB274" s="357"/>
      <c r="BC274" s="173">
        <f>+IF(AND(W274="Preventivo",BB271="Fuerte"),2,IF(AND(W274="Preventivo",BB271="Moderado"),1,0))</f>
        <v>0</v>
      </c>
      <c r="BD274" s="64">
        <f>+IF(AND(W274="Detectivo/Correctivo",$BB271="Fuerte"),2,IF(AND(W274="Detectivo/Correctivo",$BB274="Moderado"),1,IF(AND(W274="Preventivo",$BB271="Fuerte"),1,0)))</f>
        <v>0</v>
      </c>
      <c r="BE274" s="173" t="e">
        <f>+N271-BC274</f>
        <v>#N/A</v>
      </c>
      <c r="BF274" s="173" t="e">
        <f>+P271-BD274</f>
        <v>#N/A</v>
      </c>
      <c r="BG274" s="346"/>
      <c r="BH274" s="346"/>
      <c r="BI274" s="346"/>
      <c r="BJ274" s="538"/>
      <c r="BK274" s="538"/>
      <c r="BL274" s="538"/>
      <c r="BM274" s="538"/>
    </row>
    <row r="275" spans="1:65" ht="65.099999999999994" customHeight="1" thickBot="1">
      <c r="A275" s="329"/>
      <c r="B275" s="514"/>
      <c r="C275" s="364"/>
      <c r="D275" s="109"/>
      <c r="E275" s="109"/>
      <c r="F275" s="433"/>
      <c r="G275" s="367"/>
      <c r="H275" s="100"/>
      <c r="I275" s="237"/>
      <c r="J275" s="100"/>
      <c r="K275" s="29"/>
      <c r="L275" s="222"/>
      <c r="M275" s="370"/>
      <c r="N275" s="349"/>
      <c r="O275" s="352"/>
      <c r="P275" s="349"/>
      <c r="Q275" s="353"/>
      <c r="R275" s="346"/>
      <c r="S275" s="208"/>
      <c r="T275" s="195"/>
      <c r="U275" s="47" t="s">
        <v>627</v>
      </c>
      <c r="V275" s="215"/>
      <c r="W275" s="215"/>
      <c r="X275" s="215"/>
      <c r="Y275" s="95" t="str">
        <f t="shared" si="49"/>
        <v/>
      </c>
      <c r="Z275" s="215"/>
      <c r="AA275" s="95" t="str">
        <f t="shared" si="50"/>
        <v/>
      </c>
      <c r="AB275" s="208"/>
      <c r="AC275" s="95" t="str">
        <f t="shared" si="51"/>
        <v/>
      </c>
      <c r="AD275" s="208"/>
      <c r="AE275" s="95" t="str">
        <f t="shared" si="52"/>
        <v/>
      </c>
      <c r="AF275" s="208"/>
      <c r="AG275" s="95" t="str">
        <f t="shared" si="53"/>
        <v/>
      </c>
      <c r="AH275" s="208"/>
      <c r="AI275" s="95" t="str">
        <f t="shared" si="54"/>
        <v/>
      </c>
      <c r="AJ275" s="208"/>
      <c r="AK275" s="27" t="str">
        <f t="shared" si="55"/>
        <v/>
      </c>
      <c r="AL275" s="48" t="str">
        <f t="shared" si="56"/>
        <v/>
      </c>
      <c r="AM275" s="48" t="str">
        <f t="shared" si="57"/>
        <v/>
      </c>
      <c r="AN275" s="293"/>
      <c r="AO275" s="293"/>
      <c r="AP275" s="293"/>
      <c r="AQ275" s="293"/>
      <c r="AR275" s="293"/>
      <c r="AS275" s="293"/>
      <c r="AT275" s="293"/>
      <c r="AU275" s="294" t="str">
        <f>IFERROR(VLOOKUP(AT275,'Seguridad Información'!$I$61:$J$65,2,0),"")</f>
        <v/>
      </c>
      <c r="AV275" s="79"/>
      <c r="AW275" s="78" t="str">
        <f t="shared" si="48"/>
        <v/>
      </c>
      <c r="AX275" s="77" t="str">
        <f t="shared" si="58"/>
        <v/>
      </c>
      <c r="AY275" s="21" t="str">
        <f>IFERROR(VLOOKUP((CONCATENATE(AM275,AX275)),Listados!$U$3:$V$11,2,FALSE),"")</f>
        <v/>
      </c>
      <c r="AZ275" s="48">
        <f t="shared" si="59"/>
        <v>100</v>
      </c>
      <c r="BA275" s="355"/>
      <c r="BB275" s="357"/>
      <c r="BC275" s="173">
        <f>+IF(AND(W275="Preventivo",BB271="Fuerte"),2,IF(AND(W275="Preventivo",BB271="Moderado"),1,0))</f>
        <v>0</v>
      </c>
      <c r="BD275" s="64">
        <f>+IF(AND(W275="Detectivo/Correctivo",$BB271="Fuerte"),2,IF(AND(W275="Detectivo/Correctivo",$BB275="Moderado"),1,IF(AND(W275="Preventivo",$BB271="Fuerte"),1,0)))</f>
        <v>0</v>
      </c>
      <c r="BE275" s="173" t="e">
        <f>+N271-BC275</f>
        <v>#N/A</v>
      </c>
      <c r="BF275" s="173" t="e">
        <f>+P271-BD275</f>
        <v>#N/A</v>
      </c>
      <c r="BG275" s="346"/>
      <c r="BH275" s="346"/>
      <c r="BI275" s="346"/>
      <c r="BJ275" s="538"/>
      <c r="BK275" s="538"/>
      <c r="BL275" s="538"/>
      <c r="BM275" s="538"/>
    </row>
    <row r="276" spans="1:65" ht="65.099999999999994" customHeight="1" thickBot="1">
      <c r="A276" s="330"/>
      <c r="B276" s="514"/>
      <c r="C276" s="365"/>
      <c r="D276" s="106"/>
      <c r="E276" s="106"/>
      <c r="F276" s="434"/>
      <c r="G276" s="368"/>
      <c r="H276" s="100"/>
      <c r="I276" s="237"/>
      <c r="J276" s="100"/>
      <c r="K276" s="31"/>
      <c r="L276" s="222"/>
      <c r="M276" s="370"/>
      <c r="N276" s="350"/>
      <c r="O276" s="352"/>
      <c r="P276" s="350"/>
      <c r="Q276" s="353"/>
      <c r="R276" s="347"/>
      <c r="S276" s="208"/>
      <c r="T276" s="98"/>
      <c r="U276" s="47" t="s">
        <v>627</v>
      </c>
      <c r="V276" s="215"/>
      <c r="W276" s="215"/>
      <c r="X276" s="215"/>
      <c r="Y276" s="95" t="str">
        <f t="shared" si="49"/>
        <v/>
      </c>
      <c r="Z276" s="215"/>
      <c r="AA276" s="95" t="str">
        <f t="shared" si="50"/>
        <v/>
      </c>
      <c r="AB276" s="208"/>
      <c r="AC276" s="95" t="str">
        <f t="shared" si="51"/>
        <v/>
      </c>
      <c r="AD276" s="208"/>
      <c r="AE276" s="95" t="str">
        <f t="shared" si="52"/>
        <v/>
      </c>
      <c r="AF276" s="208"/>
      <c r="AG276" s="95" t="str">
        <f t="shared" si="53"/>
        <v/>
      </c>
      <c r="AH276" s="208"/>
      <c r="AI276" s="95" t="str">
        <f t="shared" si="54"/>
        <v/>
      </c>
      <c r="AJ276" s="208"/>
      <c r="AK276" s="27" t="str">
        <f t="shared" si="55"/>
        <v/>
      </c>
      <c r="AL276" s="48" t="str">
        <f t="shared" si="56"/>
        <v/>
      </c>
      <c r="AM276" s="48" t="str">
        <f t="shared" si="57"/>
        <v/>
      </c>
      <c r="AN276" s="293"/>
      <c r="AO276" s="293"/>
      <c r="AP276" s="293"/>
      <c r="AQ276" s="293"/>
      <c r="AR276" s="293"/>
      <c r="AS276" s="293"/>
      <c r="AT276" s="293"/>
      <c r="AU276" s="294" t="str">
        <f>IFERROR(VLOOKUP(AT276,'Seguridad Información'!$I$61:$J$65,2,0),"")</f>
        <v/>
      </c>
      <c r="AV276" s="79"/>
      <c r="AW276" s="78" t="str">
        <f t="shared" si="48"/>
        <v/>
      </c>
      <c r="AX276" s="77" t="str">
        <f t="shared" si="58"/>
        <v/>
      </c>
      <c r="AY276" s="21" t="str">
        <f>IFERROR(VLOOKUP((CONCATENATE(AM276,AX276)),Listados!$U$3:$V$11,2,FALSE),"")</f>
        <v/>
      </c>
      <c r="AZ276" s="48">
        <f t="shared" si="59"/>
        <v>100</v>
      </c>
      <c r="BA276" s="356"/>
      <c r="BB276" s="357"/>
      <c r="BC276" s="173">
        <f>+IF(AND(W276="Preventivo",BB271="Fuerte"),2,IF(AND(W276="Preventivo",BB271="Moderado"),1,0))</f>
        <v>0</v>
      </c>
      <c r="BD276" s="64">
        <f>+IF(AND(W276="Detectivo/Correctivo",$BB271="Fuerte"),2,IF(AND(W276="Detectivo/Correctivo",$BB276="Moderado"),1,IF(AND(W276="Preventivo",$BB271="Fuerte"),1,0)))</f>
        <v>0</v>
      </c>
      <c r="BE276" s="173" t="e">
        <f>+N271-BC276</f>
        <v>#N/A</v>
      </c>
      <c r="BF276" s="173" t="e">
        <f>+P271-BD276</f>
        <v>#N/A</v>
      </c>
      <c r="BG276" s="347"/>
      <c r="BH276" s="347"/>
      <c r="BI276" s="347"/>
      <c r="BJ276" s="539"/>
      <c r="BK276" s="539"/>
      <c r="BL276" s="539"/>
      <c r="BM276" s="539"/>
    </row>
    <row r="277" spans="1:65" ht="65.099999999999994" customHeight="1" thickBot="1">
      <c r="A277" s="328">
        <v>46</v>
      </c>
      <c r="B277" s="519"/>
      <c r="C277" s="371" t="str">
        <f>IFERROR(VLOOKUP(B277,Listados!B$3:C$20,2,FALSE),"")</f>
        <v/>
      </c>
      <c r="D277" s="107"/>
      <c r="E277" s="107"/>
      <c r="F277" s="432"/>
      <c r="G277" s="372"/>
      <c r="H277" s="100"/>
      <c r="I277" s="237"/>
      <c r="J277" s="100"/>
      <c r="K277" s="103"/>
      <c r="L277" s="17"/>
      <c r="M277" s="369"/>
      <c r="N277" s="348" t="e">
        <f>+VLOOKUP(M277,Listados!$K$8:$L$12,2,0)</f>
        <v>#N/A</v>
      </c>
      <c r="O277" s="351"/>
      <c r="P277" s="348" t="e">
        <f>+VLOOKUP(O277,Listados!$K$13:$L$17,2,0)</f>
        <v>#N/A</v>
      </c>
      <c r="Q277" s="347" t="str">
        <f>IF(AND(M277&lt;&gt;"",O277&lt;&gt;""),VLOOKUP(M277&amp;O277,Listados!$M$3:$N$27,2,FALSE),"")</f>
        <v/>
      </c>
      <c r="R277" s="345" t="e">
        <f>+VLOOKUP(Q277,Listados!$P$3:$Q$6,2,FALSE)</f>
        <v>#N/A</v>
      </c>
      <c r="S277" s="208"/>
      <c r="T277" s="94"/>
      <c r="U277" s="47" t="s">
        <v>627</v>
      </c>
      <c r="V277" s="215"/>
      <c r="W277" s="215"/>
      <c r="X277" s="215"/>
      <c r="Y277" s="95" t="str">
        <f t="shared" si="49"/>
        <v/>
      </c>
      <c r="Z277" s="215"/>
      <c r="AA277" s="95" t="str">
        <f t="shared" si="50"/>
        <v/>
      </c>
      <c r="AB277" s="208"/>
      <c r="AC277" s="95" t="str">
        <f t="shared" si="51"/>
        <v/>
      </c>
      <c r="AD277" s="208"/>
      <c r="AE277" s="95" t="str">
        <f t="shared" si="52"/>
        <v/>
      </c>
      <c r="AF277" s="208"/>
      <c r="AG277" s="95" t="str">
        <f t="shared" si="53"/>
        <v/>
      </c>
      <c r="AH277" s="208"/>
      <c r="AI277" s="95" t="str">
        <f t="shared" si="54"/>
        <v/>
      </c>
      <c r="AJ277" s="208"/>
      <c r="AK277" s="27" t="str">
        <f t="shared" si="55"/>
        <v/>
      </c>
      <c r="AL277" s="48" t="str">
        <f t="shared" si="56"/>
        <v/>
      </c>
      <c r="AM277" s="48" t="str">
        <f t="shared" si="57"/>
        <v/>
      </c>
      <c r="AN277" s="293"/>
      <c r="AO277" s="293"/>
      <c r="AP277" s="293"/>
      <c r="AQ277" s="293"/>
      <c r="AR277" s="293"/>
      <c r="AS277" s="293"/>
      <c r="AT277" s="293"/>
      <c r="AU277" s="294" t="str">
        <f>IFERROR(VLOOKUP(AT277,'Seguridad Información'!$I$61:$J$65,2,0),"")</f>
        <v/>
      </c>
      <c r="AV277" s="79"/>
      <c r="AW277" s="78" t="str">
        <f t="shared" si="48"/>
        <v/>
      </c>
      <c r="AX277" s="77" t="str">
        <f t="shared" si="58"/>
        <v/>
      </c>
      <c r="AY277" s="21" t="str">
        <f>IFERROR(VLOOKUP((CONCATENATE(AM277,AX277)),Listados!$U$3:$V$11,2,FALSE),"")</f>
        <v/>
      </c>
      <c r="AZ277" s="48">
        <f t="shared" si="59"/>
        <v>100</v>
      </c>
      <c r="BA277" s="354">
        <f>AVERAGE(AZ277:AZ282)</f>
        <v>100</v>
      </c>
      <c r="BB277" s="356" t="str">
        <f>IF(BA277&lt;=50, "Débil", IF(BA277&lt;=99,"Moderado","Fuerte"))</f>
        <v>Fuerte</v>
      </c>
      <c r="BC277" s="173">
        <f>+IF(AND(W277="Preventivo",BB277="Fuerte"),2,IF(AND(W277="Preventivo",BB277="Moderado"),1,0))</f>
        <v>0</v>
      </c>
      <c r="BD277" s="64">
        <f>+IF(AND(W277="Detectivo/Correctivo",$BB277="Fuerte"),2,IF(AND(W277="Detectivo/Correctivo",$BB277="Moderado"),1,IF(AND(W277="Preventivo",$BB277="Fuerte"),1,0)))</f>
        <v>0</v>
      </c>
      <c r="BE277" s="173" t="e">
        <f>+N277-BC277</f>
        <v>#N/A</v>
      </c>
      <c r="BF277" s="173" t="e">
        <f>+P277-BD277</f>
        <v>#N/A</v>
      </c>
      <c r="BG277" s="345" t="e">
        <f>+VLOOKUP(MIN(BE277,BE278,BE279,BE280,BE281,BE282),Listados!$J$18:$K$24,2,TRUE)</f>
        <v>#N/A</v>
      </c>
      <c r="BH277" s="345" t="e">
        <f>+VLOOKUP(MIN(BF277,BF278,BF279,BF280,BF281,BF282),Listados!$J$27:$K$32,2,TRUE)</f>
        <v>#N/A</v>
      </c>
      <c r="BI277" s="345" t="e">
        <f>IF(AND(BG277&lt;&gt;"",BH277&lt;&gt;""),VLOOKUP(BG277&amp;BH277,Listados!$M$3:$N$27,2,FALSE),"")</f>
        <v>#N/A</v>
      </c>
      <c r="BJ277" s="537" t="e">
        <f>+IF($R277="Asumir el riesgo","NA","")</f>
        <v>#N/A</v>
      </c>
      <c r="BK277" s="537" t="e">
        <f>+IF($R277="Asumir el riesgo","NA","")</f>
        <v>#N/A</v>
      </c>
      <c r="BL277" s="537" t="e">
        <f>+IF($R277="Asumir el riesgo","NA","")</f>
        <v>#N/A</v>
      </c>
      <c r="BM277" s="537" t="e">
        <f>+IF($R277="Asumir el riesgo","NA","")</f>
        <v>#N/A</v>
      </c>
    </row>
    <row r="278" spans="1:65" ht="65.099999999999994" customHeight="1" thickBot="1">
      <c r="A278" s="329"/>
      <c r="B278" s="514"/>
      <c r="C278" s="364"/>
      <c r="D278" s="233"/>
      <c r="E278" s="233"/>
      <c r="F278" s="433"/>
      <c r="G278" s="367"/>
      <c r="H278" s="100"/>
      <c r="I278" s="237"/>
      <c r="J278" s="100"/>
      <c r="K278" s="236"/>
      <c r="L278" s="222"/>
      <c r="M278" s="370"/>
      <c r="N278" s="349"/>
      <c r="O278" s="352"/>
      <c r="P278" s="349"/>
      <c r="Q278" s="353"/>
      <c r="R278" s="346"/>
      <c r="S278" s="208"/>
      <c r="T278" s="195"/>
      <c r="U278" s="47" t="s">
        <v>627</v>
      </c>
      <c r="V278" s="215"/>
      <c r="W278" s="215"/>
      <c r="X278" s="215"/>
      <c r="Y278" s="95" t="str">
        <f t="shared" si="49"/>
        <v/>
      </c>
      <c r="Z278" s="215"/>
      <c r="AA278" s="95" t="str">
        <f t="shared" si="50"/>
        <v/>
      </c>
      <c r="AB278" s="208"/>
      <c r="AC278" s="95" t="str">
        <f t="shared" si="51"/>
        <v/>
      </c>
      <c r="AD278" s="208"/>
      <c r="AE278" s="95" t="str">
        <f t="shared" si="52"/>
        <v/>
      </c>
      <c r="AF278" s="208"/>
      <c r="AG278" s="95" t="str">
        <f t="shared" si="53"/>
        <v/>
      </c>
      <c r="AH278" s="208"/>
      <c r="AI278" s="95" t="str">
        <f t="shared" si="54"/>
        <v/>
      </c>
      <c r="AJ278" s="208"/>
      <c r="AK278" s="27" t="str">
        <f t="shared" si="55"/>
        <v/>
      </c>
      <c r="AL278" s="48" t="str">
        <f t="shared" si="56"/>
        <v/>
      </c>
      <c r="AM278" s="48" t="str">
        <f t="shared" si="57"/>
        <v/>
      </c>
      <c r="AN278" s="293"/>
      <c r="AO278" s="293"/>
      <c r="AP278" s="293"/>
      <c r="AQ278" s="293"/>
      <c r="AR278" s="293"/>
      <c r="AS278" s="293"/>
      <c r="AT278" s="293"/>
      <c r="AU278" s="294" t="str">
        <f>IFERROR(VLOOKUP(AT278,'Seguridad Información'!$I$61:$J$65,2,0),"")</f>
        <v/>
      </c>
      <c r="AV278" s="79"/>
      <c r="AW278" s="78" t="str">
        <f t="shared" si="48"/>
        <v/>
      </c>
      <c r="AX278" s="77" t="str">
        <f t="shared" si="58"/>
        <v/>
      </c>
      <c r="AY278" s="21" t="str">
        <f>IFERROR(VLOOKUP((CONCATENATE(AM278,AX278)),Listados!$U$3:$V$11,2,FALSE),"")</f>
        <v/>
      </c>
      <c r="AZ278" s="48">
        <f t="shared" si="59"/>
        <v>100</v>
      </c>
      <c r="BA278" s="355"/>
      <c r="BB278" s="357"/>
      <c r="BC278" s="173">
        <f>+IF(AND(W278="Preventivo",BB277="Fuerte"),2,IF(AND(W278="Preventivo",BB277="Moderado"),1,0))</f>
        <v>0</v>
      </c>
      <c r="BD278" s="64">
        <f>+IF(AND(W278="Detectivo/Correctivo",$BB277="Fuerte"),2,IF(AND(W278="Detectivo/Correctivo",$BB278="Moderado"),1,IF(AND(W278="Preventivo",$BB277="Fuerte"),1,0)))</f>
        <v>0</v>
      </c>
      <c r="BE278" s="173" t="e">
        <f>+N277-BC278</f>
        <v>#N/A</v>
      </c>
      <c r="BF278" s="173" t="e">
        <f>+P277-BD278</f>
        <v>#N/A</v>
      </c>
      <c r="BG278" s="346"/>
      <c r="BH278" s="346"/>
      <c r="BI278" s="346"/>
      <c r="BJ278" s="538"/>
      <c r="BK278" s="538"/>
      <c r="BL278" s="538"/>
      <c r="BM278" s="538"/>
    </row>
    <row r="279" spans="1:65" ht="65.099999999999994" customHeight="1" thickBot="1">
      <c r="A279" s="329"/>
      <c r="B279" s="514"/>
      <c r="C279" s="364"/>
      <c r="D279" s="233"/>
      <c r="E279" s="233"/>
      <c r="F279" s="433"/>
      <c r="G279" s="367"/>
      <c r="H279" s="100"/>
      <c r="I279" s="237"/>
      <c r="J279" s="100"/>
      <c r="K279" s="236"/>
      <c r="L279" s="222"/>
      <c r="M279" s="370"/>
      <c r="N279" s="349"/>
      <c r="O279" s="352"/>
      <c r="P279" s="349"/>
      <c r="Q279" s="353"/>
      <c r="R279" s="346"/>
      <c r="S279" s="208"/>
      <c r="T279" s="96"/>
      <c r="U279" s="47" t="s">
        <v>627</v>
      </c>
      <c r="V279" s="215"/>
      <c r="W279" s="215"/>
      <c r="X279" s="215"/>
      <c r="Y279" s="95" t="str">
        <f t="shared" si="49"/>
        <v/>
      </c>
      <c r="Z279" s="215"/>
      <c r="AA279" s="95" t="str">
        <f t="shared" si="50"/>
        <v/>
      </c>
      <c r="AB279" s="208"/>
      <c r="AC279" s="95" t="str">
        <f t="shared" si="51"/>
        <v/>
      </c>
      <c r="AD279" s="208"/>
      <c r="AE279" s="95" t="str">
        <f t="shared" si="52"/>
        <v/>
      </c>
      <c r="AF279" s="208"/>
      <c r="AG279" s="95" t="str">
        <f t="shared" si="53"/>
        <v/>
      </c>
      <c r="AH279" s="208"/>
      <c r="AI279" s="95" t="str">
        <f t="shared" si="54"/>
        <v/>
      </c>
      <c r="AJ279" s="208"/>
      <c r="AK279" s="27" t="str">
        <f t="shared" si="55"/>
        <v/>
      </c>
      <c r="AL279" s="48" t="str">
        <f t="shared" si="56"/>
        <v/>
      </c>
      <c r="AM279" s="48" t="str">
        <f t="shared" si="57"/>
        <v/>
      </c>
      <c r="AN279" s="293"/>
      <c r="AO279" s="293"/>
      <c r="AP279" s="293"/>
      <c r="AQ279" s="293"/>
      <c r="AR279" s="293"/>
      <c r="AS279" s="293"/>
      <c r="AT279" s="293"/>
      <c r="AU279" s="294" t="str">
        <f>IFERROR(VLOOKUP(AT279,'Seguridad Información'!$I$61:$J$65,2,0),"")</f>
        <v/>
      </c>
      <c r="AV279" s="79"/>
      <c r="AW279" s="78" t="str">
        <f t="shared" si="48"/>
        <v/>
      </c>
      <c r="AX279" s="77" t="str">
        <f t="shared" si="58"/>
        <v/>
      </c>
      <c r="AY279" s="21" t="str">
        <f>IFERROR(VLOOKUP((CONCATENATE(AM279,AX279)),Listados!$U$3:$V$11,2,FALSE),"")</f>
        <v/>
      </c>
      <c r="AZ279" s="48">
        <f t="shared" si="59"/>
        <v>100</v>
      </c>
      <c r="BA279" s="355"/>
      <c r="BB279" s="357"/>
      <c r="BC279" s="173">
        <f>+IF(AND(W279="Preventivo",BB277="Fuerte"),2,IF(AND(W279="Preventivo",BB277="Moderado"),1,0))</f>
        <v>0</v>
      </c>
      <c r="BD279" s="64">
        <f>+IF(AND(W279="Detectivo/Correctivo",$BB277="Fuerte"),2,IF(AND(W279="Detectivo/Correctivo",$BB279="Moderado"),1,IF(AND(W279="Preventivo",$BB277="Fuerte"),1,0)))</f>
        <v>0</v>
      </c>
      <c r="BE279" s="173" t="e">
        <f>+N277-BC279</f>
        <v>#N/A</v>
      </c>
      <c r="BF279" s="173" t="e">
        <f>+P277-BD279</f>
        <v>#N/A</v>
      </c>
      <c r="BG279" s="346"/>
      <c r="BH279" s="346"/>
      <c r="BI279" s="346"/>
      <c r="BJ279" s="538"/>
      <c r="BK279" s="538"/>
      <c r="BL279" s="538"/>
      <c r="BM279" s="538"/>
    </row>
    <row r="280" spans="1:65" ht="65.099999999999994" customHeight="1" thickBot="1">
      <c r="A280" s="329"/>
      <c r="B280" s="514"/>
      <c r="C280" s="364"/>
      <c r="D280" s="233"/>
      <c r="E280" s="233"/>
      <c r="F280" s="433"/>
      <c r="G280" s="367"/>
      <c r="H280" s="100"/>
      <c r="I280" s="237"/>
      <c r="J280" s="100"/>
      <c r="K280" s="236"/>
      <c r="L280" s="222"/>
      <c r="M280" s="370"/>
      <c r="N280" s="349"/>
      <c r="O280" s="352"/>
      <c r="P280" s="349"/>
      <c r="Q280" s="353"/>
      <c r="R280" s="346"/>
      <c r="S280" s="208"/>
      <c r="T280" s="97"/>
      <c r="U280" s="47" t="s">
        <v>627</v>
      </c>
      <c r="V280" s="215"/>
      <c r="W280" s="215"/>
      <c r="X280" s="215"/>
      <c r="Y280" s="95" t="str">
        <f t="shared" si="49"/>
        <v/>
      </c>
      <c r="Z280" s="215"/>
      <c r="AA280" s="95" t="str">
        <f t="shared" si="50"/>
        <v/>
      </c>
      <c r="AB280" s="208"/>
      <c r="AC280" s="95" t="str">
        <f t="shared" si="51"/>
        <v/>
      </c>
      <c r="AD280" s="208"/>
      <c r="AE280" s="95" t="str">
        <f t="shared" si="52"/>
        <v/>
      </c>
      <c r="AF280" s="208"/>
      <c r="AG280" s="95" t="str">
        <f t="shared" si="53"/>
        <v/>
      </c>
      <c r="AH280" s="208"/>
      <c r="AI280" s="95" t="str">
        <f t="shared" si="54"/>
        <v/>
      </c>
      <c r="AJ280" s="208"/>
      <c r="AK280" s="27" t="str">
        <f t="shared" si="55"/>
        <v/>
      </c>
      <c r="AL280" s="48" t="str">
        <f t="shared" si="56"/>
        <v/>
      </c>
      <c r="AM280" s="48" t="str">
        <f t="shared" si="57"/>
        <v/>
      </c>
      <c r="AN280" s="293"/>
      <c r="AO280" s="293"/>
      <c r="AP280" s="293"/>
      <c r="AQ280" s="293"/>
      <c r="AR280" s="293"/>
      <c r="AS280" s="293"/>
      <c r="AT280" s="293"/>
      <c r="AU280" s="294" t="str">
        <f>IFERROR(VLOOKUP(AT280,'Seguridad Información'!$I$61:$J$65,2,0),"")</f>
        <v/>
      </c>
      <c r="AV280" s="79"/>
      <c r="AW280" s="78" t="str">
        <f t="shared" si="48"/>
        <v/>
      </c>
      <c r="AX280" s="77" t="str">
        <f t="shared" si="58"/>
        <v/>
      </c>
      <c r="AY280" s="21" t="str">
        <f>IFERROR(VLOOKUP((CONCATENATE(AM280,AX280)),Listados!$U$3:$V$11,2,FALSE),"")</f>
        <v/>
      </c>
      <c r="AZ280" s="48">
        <f t="shared" si="59"/>
        <v>100</v>
      </c>
      <c r="BA280" s="355"/>
      <c r="BB280" s="357"/>
      <c r="BC280" s="173">
        <f>+IF(AND(W280="Preventivo",BB277="Fuerte"),2,IF(AND(W280="Preventivo",BB277="Moderado"),1,0))</f>
        <v>0</v>
      </c>
      <c r="BD280" s="64">
        <f>+IF(AND(W280="Detectivo/Correctivo",$BB277="Fuerte"),2,IF(AND(W280="Detectivo/Correctivo",$BB280="Moderado"),1,IF(AND(W280="Preventivo",$BB277="Fuerte"),1,0)))</f>
        <v>0</v>
      </c>
      <c r="BE280" s="173" t="e">
        <f>+N277-BC280</f>
        <v>#N/A</v>
      </c>
      <c r="BF280" s="173" t="e">
        <f>+P277-BD280</f>
        <v>#N/A</v>
      </c>
      <c r="BG280" s="346"/>
      <c r="BH280" s="346"/>
      <c r="BI280" s="346"/>
      <c r="BJ280" s="538"/>
      <c r="BK280" s="538"/>
      <c r="BL280" s="538"/>
      <c r="BM280" s="538"/>
    </row>
    <row r="281" spans="1:65" ht="65.099999999999994" customHeight="1" thickBot="1">
      <c r="A281" s="329"/>
      <c r="B281" s="514"/>
      <c r="C281" s="364"/>
      <c r="D281" s="109"/>
      <c r="E281" s="109"/>
      <c r="F281" s="433"/>
      <c r="G281" s="367"/>
      <c r="H281" s="100"/>
      <c r="I281" s="237"/>
      <c r="J281" s="100"/>
      <c r="K281" s="29"/>
      <c r="L281" s="222"/>
      <c r="M281" s="370"/>
      <c r="N281" s="349"/>
      <c r="O281" s="352"/>
      <c r="P281" s="349"/>
      <c r="Q281" s="353"/>
      <c r="R281" s="346"/>
      <c r="S281" s="208"/>
      <c r="T281" s="195"/>
      <c r="U281" s="47" t="s">
        <v>627</v>
      </c>
      <c r="V281" s="215"/>
      <c r="W281" s="215"/>
      <c r="X281" s="215"/>
      <c r="Y281" s="95" t="str">
        <f t="shared" si="49"/>
        <v/>
      </c>
      <c r="Z281" s="215"/>
      <c r="AA281" s="95" t="str">
        <f t="shared" si="50"/>
        <v/>
      </c>
      <c r="AB281" s="208"/>
      <c r="AC281" s="95" t="str">
        <f t="shared" si="51"/>
        <v/>
      </c>
      <c r="AD281" s="208"/>
      <c r="AE281" s="95" t="str">
        <f t="shared" si="52"/>
        <v/>
      </c>
      <c r="AF281" s="208"/>
      <c r="AG281" s="95" t="str">
        <f t="shared" si="53"/>
        <v/>
      </c>
      <c r="AH281" s="208"/>
      <c r="AI281" s="95" t="str">
        <f t="shared" si="54"/>
        <v/>
      </c>
      <c r="AJ281" s="208"/>
      <c r="AK281" s="27" t="str">
        <f t="shared" si="55"/>
        <v/>
      </c>
      <c r="AL281" s="48" t="str">
        <f t="shared" si="56"/>
        <v/>
      </c>
      <c r="AM281" s="48" t="str">
        <f t="shared" si="57"/>
        <v/>
      </c>
      <c r="AN281" s="293"/>
      <c r="AO281" s="293"/>
      <c r="AP281" s="293"/>
      <c r="AQ281" s="293"/>
      <c r="AR281" s="293"/>
      <c r="AS281" s="293"/>
      <c r="AT281" s="293"/>
      <c r="AU281" s="294" t="str">
        <f>IFERROR(VLOOKUP(AT281,'Seguridad Información'!$I$61:$J$65,2,0),"")</f>
        <v/>
      </c>
      <c r="AV281" s="79"/>
      <c r="AW281" s="78" t="str">
        <f t="shared" si="48"/>
        <v/>
      </c>
      <c r="AX281" s="77" t="str">
        <f t="shared" si="58"/>
        <v/>
      </c>
      <c r="AY281" s="21" t="str">
        <f>IFERROR(VLOOKUP((CONCATENATE(AM281,AX281)),Listados!$U$3:$V$11,2,FALSE),"")</f>
        <v/>
      </c>
      <c r="AZ281" s="48">
        <f t="shared" si="59"/>
        <v>100</v>
      </c>
      <c r="BA281" s="355"/>
      <c r="BB281" s="357"/>
      <c r="BC281" s="173">
        <f>+IF(AND(W281="Preventivo",BB277="Fuerte"),2,IF(AND(W281="Preventivo",BB277="Moderado"),1,0))</f>
        <v>0</v>
      </c>
      <c r="BD281" s="64">
        <f>+IF(AND(W281="Detectivo/Correctivo",$BB277="Fuerte"),2,IF(AND(W281="Detectivo/Correctivo",$BB281="Moderado"),1,IF(AND(W281="Preventivo",$BB277="Fuerte"),1,0)))</f>
        <v>0</v>
      </c>
      <c r="BE281" s="173" t="e">
        <f>+N277-BC281</f>
        <v>#N/A</v>
      </c>
      <c r="BF281" s="173" t="e">
        <f>+P277-BD281</f>
        <v>#N/A</v>
      </c>
      <c r="BG281" s="346"/>
      <c r="BH281" s="346"/>
      <c r="BI281" s="346"/>
      <c r="BJ281" s="538"/>
      <c r="BK281" s="538"/>
      <c r="BL281" s="538"/>
      <c r="BM281" s="538"/>
    </row>
    <row r="282" spans="1:65" ht="65.099999999999994" customHeight="1" thickBot="1">
      <c r="A282" s="330"/>
      <c r="B282" s="514"/>
      <c r="C282" s="365"/>
      <c r="D282" s="106"/>
      <c r="E282" s="106"/>
      <c r="F282" s="434"/>
      <c r="G282" s="368"/>
      <c r="H282" s="100"/>
      <c r="I282" s="237"/>
      <c r="J282" s="100"/>
      <c r="K282" s="31"/>
      <c r="L282" s="222"/>
      <c r="M282" s="370"/>
      <c r="N282" s="350"/>
      <c r="O282" s="352"/>
      <c r="P282" s="350"/>
      <c r="Q282" s="353"/>
      <c r="R282" s="347"/>
      <c r="S282" s="208"/>
      <c r="T282" s="98"/>
      <c r="U282" s="47" t="s">
        <v>627</v>
      </c>
      <c r="V282" s="215"/>
      <c r="W282" s="215"/>
      <c r="X282" s="215"/>
      <c r="Y282" s="95" t="str">
        <f t="shared" si="49"/>
        <v/>
      </c>
      <c r="Z282" s="215"/>
      <c r="AA282" s="95" t="str">
        <f t="shared" si="50"/>
        <v/>
      </c>
      <c r="AB282" s="208"/>
      <c r="AC282" s="95" t="str">
        <f t="shared" si="51"/>
        <v/>
      </c>
      <c r="AD282" s="208"/>
      <c r="AE282" s="95" t="str">
        <f t="shared" si="52"/>
        <v/>
      </c>
      <c r="AF282" s="208"/>
      <c r="AG282" s="95" t="str">
        <f t="shared" si="53"/>
        <v/>
      </c>
      <c r="AH282" s="208"/>
      <c r="AI282" s="95" t="str">
        <f t="shared" si="54"/>
        <v/>
      </c>
      <c r="AJ282" s="208"/>
      <c r="AK282" s="27" t="str">
        <f t="shared" si="55"/>
        <v/>
      </c>
      <c r="AL282" s="48" t="str">
        <f t="shared" si="56"/>
        <v/>
      </c>
      <c r="AM282" s="48" t="str">
        <f t="shared" si="57"/>
        <v/>
      </c>
      <c r="AN282" s="293"/>
      <c r="AO282" s="293"/>
      <c r="AP282" s="293"/>
      <c r="AQ282" s="293"/>
      <c r="AR282" s="293"/>
      <c r="AS282" s="293"/>
      <c r="AT282" s="293"/>
      <c r="AU282" s="294" t="str">
        <f>IFERROR(VLOOKUP(AT282,'Seguridad Información'!$I$61:$J$65,2,0),"")</f>
        <v/>
      </c>
      <c r="AV282" s="79"/>
      <c r="AW282" s="78" t="str">
        <f t="shared" si="48"/>
        <v/>
      </c>
      <c r="AX282" s="77" t="str">
        <f t="shared" si="58"/>
        <v/>
      </c>
      <c r="AY282" s="21" t="str">
        <f>IFERROR(VLOOKUP((CONCATENATE(AM282,AX282)),Listados!$U$3:$V$11,2,FALSE),"")</f>
        <v/>
      </c>
      <c r="AZ282" s="48">
        <f t="shared" si="59"/>
        <v>100</v>
      </c>
      <c r="BA282" s="356"/>
      <c r="BB282" s="357"/>
      <c r="BC282" s="173">
        <f>+IF(AND(W282="Preventivo",BB277="Fuerte"),2,IF(AND(W282="Preventivo",BB277="Moderado"),1,0))</f>
        <v>0</v>
      </c>
      <c r="BD282" s="64">
        <f>+IF(AND(W282="Detectivo/Correctivo",$BB277="Fuerte"),2,IF(AND(W282="Detectivo/Correctivo",$BB282="Moderado"),1,IF(AND(W282="Preventivo",$BB277="Fuerte"),1,0)))</f>
        <v>0</v>
      </c>
      <c r="BE282" s="173" t="e">
        <f>+N277-BC282</f>
        <v>#N/A</v>
      </c>
      <c r="BF282" s="173" t="e">
        <f>+P277-BD282</f>
        <v>#N/A</v>
      </c>
      <c r="BG282" s="347"/>
      <c r="BH282" s="347"/>
      <c r="BI282" s="347"/>
      <c r="BJ282" s="539"/>
      <c r="BK282" s="539"/>
      <c r="BL282" s="539"/>
      <c r="BM282" s="539"/>
    </row>
    <row r="283" spans="1:65" ht="65.099999999999994" customHeight="1" thickBot="1">
      <c r="A283" s="328">
        <v>47</v>
      </c>
      <c r="B283" s="519"/>
      <c r="C283" s="371" t="str">
        <f>IFERROR(VLOOKUP(B283,Listados!B$3:C$20,2,FALSE),"")</f>
        <v/>
      </c>
      <c r="D283" s="107"/>
      <c r="E283" s="107"/>
      <c r="F283" s="432"/>
      <c r="G283" s="372"/>
      <c r="H283" s="100"/>
      <c r="I283" s="237"/>
      <c r="J283" s="100"/>
      <c r="K283" s="103"/>
      <c r="L283" s="17"/>
      <c r="M283" s="369"/>
      <c r="N283" s="348" t="e">
        <f>+VLOOKUP(M283,Listados!$K$8:$L$12,2,0)</f>
        <v>#N/A</v>
      </c>
      <c r="O283" s="351"/>
      <c r="P283" s="348" t="e">
        <f>+VLOOKUP(O283,Listados!$K$13:$L$17,2,0)</f>
        <v>#N/A</v>
      </c>
      <c r="Q283" s="347" t="str">
        <f>IF(AND(M283&lt;&gt;"",O283&lt;&gt;""),VLOOKUP(M283&amp;O283,Listados!$M$3:$N$27,2,FALSE),"")</f>
        <v/>
      </c>
      <c r="R283" s="345" t="e">
        <f>+VLOOKUP(Q283,Listados!$P$3:$Q$6,2,FALSE)</f>
        <v>#N/A</v>
      </c>
      <c r="S283" s="208"/>
      <c r="T283" s="94"/>
      <c r="U283" s="47" t="s">
        <v>627</v>
      </c>
      <c r="V283" s="215"/>
      <c r="W283" s="215"/>
      <c r="X283" s="215"/>
      <c r="Y283" s="95" t="str">
        <f t="shared" si="49"/>
        <v/>
      </c>
      <c r="Z283" s="215"/>
      <c r="AA283" s="95" t="str">
        <f t="shared" si="50"/>
        <v/>
      </c>
      <c r="AB283" s="208"/>
      <c r="AC283" s="95" t="str">
        <f t="shared" si="51"/>
        <v/>
      </c>
      <c r="AD283" s="208"/>
      <c r="AE283" s="95" t="str">
        <f t="shared" si="52"/>
        <v/>
      </c>
      <c r="AF283" s="208"/>
      <c r="AG283" s="95" t="str">
        <f t="shared" si="53"/>
        <v/>
      </c>
      <c r="AH283" s="208"/>
      <c r="AI283" s="95" t="str">
        <f t="shared" si="54"/>
        <v/>
      </c>
      <c r="AJ283" s="208"/>
      <c r="AK283" s="27" t="str">
        <f t="shared" si="55"/>
        <v/>
      </c>
      <c r="AL283" s="48" t="str">
        <f t="shared" si="56"/>
        <v/>
      </c>
      <c r="AM283" s="48" t="str">
        <f t="shared" si="57"/>
        <v/>
      </c>
      <c r="AN283" s="293"/>
      <c r="AO283" s="293"/>
      <c r="AP283" s="293"/>
      <c r="AQ283" s="293"/>
      <c r="AR283" s="293"/>
      <c r="AS283" s="293"/>
      <c r="AT283" s="293"/>
      <c r="AU283" s="294" t="str">
        <f>IFERROR(VLOOKUP(AT283,'Seguridad Información'!$I$61:$J$65,2,0),"")</f>
        <v/>
      </c>
      <c r="AV283" s="79"/>
      <c r="AW283" s="78" t="str">
        <f t="shared" si="48"/>
        <v/>
      </c>
      <c r="AX283" s="77" t="str">
        <f t="shared" si="58"/>
        <v/>
      </c>
      <c r="AY283" s="21" t="str">
        <f>IFERROR(VLOOKUP((CONCATENATE(AM283,AX283)),Listados!$U$3:$V$11,2,FALSE),"")</f>
        <v/>
      </c>
      <c r="AZ283" s="48">
        <f t="shared" si="59"/>
        <v>100</v>
      </c>
      <c r="BA283" s="354">
        <f>AVERAGE(AZ283:AZ288)</f>
        <v>100</v>
      </c>
      <c r="BB283" s="356" t="str">
        <f>IF(BA283&lt;=50, "Débil", IF(BA283&lt;=99,"Moderado","Fuerte"))</f>
        <v>Fuerte</v>
      </c>
      <c r="BC283" s="173">
        <f>+IF(AND(W283="Preventivo",BB283="Fuerte"),2,IF(AND(W283="Preventivo",BB283="Moderado"),1,0))</f>
        <v>0</v>
      </c>
      <c r="BD283" s="64">
        <f>+IF(AND(W283="Detectivo/Correctivo",$BB283="Fuerte"),2,IF(AND(W283="Detectivo/Correctivo",$BB283="Moderado"),1,IF(AND(W283="Preventivo",$BB283="Fuerte"),1,0)))</f>
        <v>0</v>
      </c>
      <c r="BE283" s="173" t="e">
        <f>+N283-BC283</f>
        <v>#N/A</v>
      </c>
      <c r="BF283" s="173" t="e">
        <f>+P283-BD283</f>
        <v>#N/A</v>
      </c>
      <c r="BG283" s="345" t="e">
        <f>+VLOOKUP(MIN(BE283,BE284,BE285,BE286,BE287,BE288),Listados!$J$18:$K$24,2,TRUE)</f>
        <v>#N/A</v>
      </c>
      <c r="BH283" s="345" t="e">
        <f>+VLOOKUP(MIN(BF283,BF284,BF285,BF286,BF287,BF288),Listados!$J$27:$K$32,2,TRUE)</f>
        <v>#N/A</v>
      </c>
      <c r="BI283" s="345" t="e">
        <f>IF(AND(BG283&lt;&gt;"",BH283&lt;&gt;""),VLOOKUP(BG283&amp;BH283,Listados!$M$3:$N$27,2,FALSE),"")</f>
        <v>#N/A</v>
      </c>
      <c r="BJ283" s="537" t="e">
        <f>+IF($R283="Asumir el riesgo","NA","")</f>
        <v>#N/A</v>
      </c>
      <c r="BK283" s="537" t="e">
        <f>+IF($R283="Asumir el riesgo","NA","")</f>
        <v>#N/A</v>
      </c>
      <c r="BL283" s="537" t="e">
        <f>+IF($R283="Asumir el riesgo","NA","")</f>
        <v>#N/A</v>
      </c>
      <c r="BM283" s="537" t="e">
        <f>+IF($R283="Asumir el riesgo","NA","")</f>
        <v>#N/A</v>
      </c>
    </row>
    <row r="284" spans="1:65" ht="65.099999999999994" customHeight="1" thickBot="1">
      <c r="A284" s="329"/>
      <c r="B284" s="514"/>
      <c r="C284" s="364"/>
      <c r="D284" s="233"/>
      <c r="E284" s="233"/>
      <c r="F284" s="433"/>
      <c r="G284" s="367"/>
      <c r="H284" s="100"/>
      <c r="I284" s="237"/>
      <c r="J284" s="100"/>
      <c r="K284" s="236"/>
      <c r="L284" s="222"/>
      <c r="M284" s="370"/>
      <c r="N284" s="349"/>
      <c r="O284" s="352"/>
      <c r="P284" s="349"/>
      <c r="Q284" s="353"/>
      <c r="R284" s="346"/>
      <c r="S284" s="208"/>
      <c r="T284" s="195"/>
      <c r="U284" s="47" t="s">
        <v>627</v>
      </c>
      <c r="V284" s="215"/>
      <c r="W284" s="215"/>
      <c r="X284" s="215"/>
      <c r="Y284" s="95" t="str">
        <f t="shared" si="49"/>
        <v/>
      </c>
      <c r="Z284" s="215"/>
      <c r="AA284" s="95" t="str">
        <f t="shared" si="50"/>
        <v/>
      </c>
      <c r="AB284" s="208"/>
      <c r="AC284" s="95" t="str">
        <f t="shared" si="51"/>
        <v/>
      </c>
      <c r="AD284" s="208"/>
      <c r="AE284" s="95" t="str">
        <f t="shared" si="52"/>
        <v/>
      </c>
      <c r="AF284" s="208"/>
      <c r="AG284" s="95" t="str">
        <f t="shared" si="53"/>
        <v/>
      </c>
      <c r="AH284" s="208"/>
      <c r="AI284" s="95" t="str">
        <f t="shared" si="54"/>
        <v/>
      </c>
      <c r="AJ284" s="208"/>
      <c r="AK284" s="27" t="str">
        <f t="shared" si="55"/>
        <v/>
      </c>
      <c r="AL284" s="48" t="str">
        <f t="shared" si="56"/>
        <v/>
      </c>
      <c r="AM284" s="48" t="str">
        <f t="shared" si="57"/>
        <v/>
      </c>
      <c r="AN284" s="293"/>
      <c r="AO284" s="293"/>
      <c r="AP284" s="293"/>
      <c r="AQ284" s="293"/>
      <c r="AR284" s="293"/>
      <c r="AS284" s="293"/>
      <c r="AT284" s="293"/>
      <c r="AU284" s="294" t="str">
        <f>IFERROR(VLOOKUP(AT284,'Seguridad Información'!$I$61:$J$65,2,0),"")</f>
        <v/>
      </c>
      <c r="AV284" s="79"/>
      <c r="AW284" s="78" t="str">
        <f t="shared" si="48"/>
        <v/>
      </c>
      <c r="AX284" s="77" t="str">
        <f t="shared" si="58"/>
        <v/>
      </c>
      <c r="AY284" s="21" t="str">
        <f>IFERROR(VLOOKUP((CONCATENATE(AM284,AX284)),Listados!$U$3:$V$11,2,FALSE),"")</f>
        <v/>
      </c>
      <c r="AZ284" s="48">
        <f t="shared" si="59"/>
        <v>100</v>
      </c>
      <c r="BA284" s="355"/>
      <c r="BB284" s="357"/>
      <c r="BC284" s="173">
        <f>+IF(AND(W284="Preventivo",BB283="Fuerte"),2,IF(AND(W284="Preventivo",BB283="Moderado"),1,0))</f>
        <v>0</v>
      </c>
      <c r="BD284" s="64">
        <f>+IF(AND(W284="Detectivo/Correctivo",$BB283="Fuerte"),2,IF(AND(W284="Detectivo/Correctivo",$BB284="Moderado"),1,IF(AND(W284="Preventivo",$BB283="Fuerte"),1,0)))</f>
        <v>0</v>
      </c>
      <c r="BE284" s="173" t="e">
        <f>+N283-BC284</f>
        <v>#N/A</v>
      </c>
      <c r="BF284" s="173" t="e">
        <f>+P283-BD284</f>
        <v>#N/A</v>
      </c>
      <c r="BG284" s="346"/>
      <c r="BH284" s="346"/>
      <c r="BI284" s="346"/>
      <c r="BJ284" s="538"/>
      <c r="BK284" s="538"/>
      <c r="BL284" s="538"/>
      <c r="BM284" s="538"/>
    </row>
    <row r="285" spans="1:65" ht="65.099999999999994" customHeight="1" thickBot="1">
      <c r="A285" s="329"/>
      <c r="B285" s="514"/>
      <c r="C285" s="364"/>
      <c r="D285" s="233"/>
      <c r="E285" s="233"/>
      <c r="F285" s="433"/>
      <c r="G285" s="367"/>
      <c r="H285" s="100"/>
      <c r="I285" s="237"/>
      <c r="J285" s="100"/>
      <c r="K285" s="236"/>
      <c r="L285" s="222"/>
      <c r="M285" s="370"/>
      <c r="N285" s="349"/>
      <c r="O285" s="352"/>
      <c r="P285" s="349"/>
      <c r="Q285" s="353"/>
      <c r="R285" s="346"/>
      <c r="S285" s="208"/>
      <c r="T285" s="96"/>
      <c r="U285" s="47" t="s">
        <v>627</v>
      </c>
      <c r="V285" s="215"/>
      <c r="W285" s="215"/>
      <c r="X285" s="215"/>
      <c r="Y285" s="95" t="str">
        <f t="shared" si="49"/>
        <v/>
      </c>
      <c r="Z285" s="215"/>
      <c r="AA285" s="95" t="str">
        <f t="shared" si="50"/>
        <v/>
      </c>
      <c r="AB285" s="208"/>
      <c r="AC285" s="95" t="str">
        <f t="shared" si="51"/>
        <v/>
      </c>
      <c r="AD285" s="208"/>
      <c r="AE285" s="95" t="str">
        <f t="shared" si="52"/>
        <v/>
      </c>
      <c r="AF285" s="208"/>
      <c r="AG285" s="95" t="str">
        <f t="shared" si="53"/>
        <v/>
      </c>
      <c r="AH285" s="208"/>
      <c r="AI285" s="95" t="str">
        <f t="shared" si="54"/>
        <v/>
      </c>
      <c r="AJ285" s="208"/>
      <c r="AK285" s="27" t="str">
        <f t="shared" si="55"/>
        <v/>
      </c>
      <c r="AL285" s="48" t="str">
        <f t="shared" si="56"/>
        <v/>
      </c>
      <c r="AM285" s="48" t="str">
        <f t="shared" si="57"/>
        <v/>
      </c>
      <c r="AN285" s="293"/>
      <c r="AO285" s="293"/>
      <c r="AP285" s="293"/>
      <c r="AQ285" s="293"/>
      <c r="AR285" s="293"/>
      <c r="AS285" s="293"/>
      <c r="AT285" s="293"/>
      <c r="AU285" s="294" t="str">
        <f>IFERROR(VLOOKUP(AT285,'Seguridad Información'!$I$61:$J$65,2,0),"")</f>
        <v/>
      </c>
      <c r="AV285" s="79"/>
      <c r="AW285" s="78" t="str">
        <f t="shared" si="48"/>
        <v/>
      </c>
      <c r="AX285" s="77" t="str">
        <f t="shared" si="58"/>
        <v/>
      </c>
      <c r="AY285" s="21" t="str">
        <f>IFERROR(VLOOKUP((CONCATENATE(AM285,AX285)),Listados!$U$3:$V$11,2,FALSE),"")</f>
        <v/>
      </c>
      <c r="AZ285" s="48">
        <f t="shared" si="59"/>
        <v>100</v>
      </c>
      <c r="BA285" s="355"/>
      <c r="BB285" s="357"/>
      <c r="BC285" s="173">
        <f>+IF(AND(W285="Preventivo",BB283="Fuerte"),2,IF(AND(W285="Preventivo",BB283="Moderado"),1,0))</f>
        <v>0</v>
      </c>
      <c r="BD285" s="64">
        <f>+IF(AND(W285="Detectivo/Correctivo",$BB283="Fuerte"),2,IF(AND(W285="Detectivo/Correctivo",$BB285="Moderado"),1,IF(AND(W285="Preventivo",$BB283="Fuerte"),1,0)))</f>
        <v>0</v>
      </c>
      <c r="BE285" s="173" t="e">
        <f>+N283-BC285</f>
        <v>#N/A</v>
      </c>
      <c r="BF285" s="173" t="e">
        <f>+P283-BD285</f>
        <v>#N/A</v>
      </c>
      <c r="BG285" s="346"/>
      <c r="BH285" s="346"/>
      <c r="BI285" s="346"/>
      <c r="BJ285" s="538"/>
      <c r="BK285" s="538"/>
      <c r="BL285" s="538"/>
      <c r="BM285" s="538"/>
    </row>
    <row r="286" spans="1:65" ht="65.099999999999994" customHeight="1" thickBot="1">
      <c r="A286" s="329"/>
      <c r="B286" s="514"/>
      <c r="C286" s="364"/>
      <c r="D286" s="233"/>
      <c r="E286" s="233"/>
      <c r="F286" s="433"/>
      <c r="G286" s="367"/>
      <c r="H286" s="100"/>
      <c r="I286" s="237"/>
      <c r="J286" s="100"/>
      <c r="K286" s="236"/>
      <c r="L286" s="222"/>
      <c r="M286" s="370"/>
      <c r="N286" s="349"/>
      <c r="O286" s="352"/>
      <c r="P286" s="349"/>
      <c r="Q286" s="353"/>
      <c r="R286" s="346"/>
      <c r="S286" s="208"/>
      <c r="T286" s="97"/>
      <c r="U286" s="47" t="s">
        <v>627</v>
      </c>
      <c r="V286" s="215"/>
      <c r="W286" s="215"/>
      <c r="X286" s="215"/>
      <c r="Y286" s="95" t="str">
        <f t="shared" si="49"/>
        <v/>
      </c>
      <c r="Z286" s="215"/>
      <c r="AA286" s="95" t="str">
        <f t="shared" si="50"/>
        <v/>
      </c>
      <c r="AB286" s="208"/>
      <c r="AC286" s="95" t="str">
        <f t="shared" si="51"/>
        <v/>
      </c>
      <c r="AD286" s="208"/>
      <c r="AE286" s="95" t="str">
        <f t="shared" si="52"/>
        <v/>
      </c>
      <c r="AF286" s="208"/>
      <c r="AG286" s="95" t="str">
        <f t="shared" si="53"/>
        <v/>
      </c>
      <c r="AH286" s="208"/>
      <c r="AI286" s="95" t="str">
        <f t="shared" si="54"/>
        <v/>
      </c>
      <c r="AJ286" s="208"/>
      <c r="AK286" s="27" t="str">
        <f t="shared" si="55"/>
        <v/>
      </c>
      <c r="AL286" s="48" t="str">
        <f t="shared" si="56"/>
        <v/>
      </c>
      <c r="AM286" s="48" t="str">
        <f t="shared" si="57"/>
        <v/>
      </c>
      <c r="AN286" s="293"/>
      <c r="AO286" s="293"/>
      <c r="AP286" s="293"/>
      <c r="AQ286" s="293"/>
      <c r="AR286" s="293"/>
      <c r="AS286" s="293"/>
      <c r="AT286" s="293"/>
      <c r="AU286" s="294" t="str">
        <f>IFERROR(VLOOKUP(AT286,'Seguridad Información'!$I$61:$J$65,2,0),"")</f>
        <v/>
      </c>
      <c r="AV286" s="79"/>
      <c r="AW286" s="78" t="str">
        <f t="shared" si="48"/>
        <v/>
      </c>
      <c r="AX286" s="77" t="str">
        <f t="shared" si="58"/>
        <v/>
      </c>
      <c r="AY286" s="21" t="str">
        <f>IFERROR(VLOOKUP((CONCATENATE(AM286,AX286)),Listados!$U$3:$V$11,2,FALSE),"")</f>
        <v/>
      </c>
      <c r="AZ286" s="48">
        <f t="shared" si="59"/>
        <v>100</v>
      </c>
      <c r="BA286" s="355"/>
      <c r="BB286" s="357"/>
      <c r="BC286" s="173">
        <f>+IF(AND(W286="Preventivo",BB283="Fuerte"),2,IF(AND(W286="Preventivo",BB283="Moderado"),1,0))</f>
        <v>0</v>
      </c>
      <c r="BD286" s="64">
        <f>+IF(AND(W286="Detectivo/Correctivo",$BB283="Fuerte"),2,IF(AND(W286="Detectivo/Correctivo",$BB286="Moderado"),1,IF(AND(W286="Preventivo",$BB283="Fuerte"),1,0)))</f>
        <v>0</v>
      </c>
      <c r="BE286" s="173" t="e">
        <f>+N283-BC286</f>
        <v>#N/A</v>
      </c>
      <c r="BF286" s="173" t="e">
        <f>+P283-BD286</f>
        <v>#N/A</v>
      </c>
      <c r="BG286" s="346"/>
      <c r="BH286" s="346"/>
      <c r="BI286" s="346"/>
      <c r="BJ286" s="538"/>
      <c r="BK286" s="538"/>
      <c r="BL286" s="538"/>
      <c r="BM286" s="538"/>
    </row>
    <row r="287" spans="1:65" ht="65.099999999999994" customHeight="1" thickBot="1">
      <c r="A287" s="329"/>
      <c r="B287" s="514"/>
      <c r="C287" s="364"/>
      <c r="D287" s="109"/>
      <c r="E287" s="109"/>
      <c r="F287" s="433"/>
      <c r="G287" s="367"/>
      <c r="H287" s="100"/>
      <c r="I287" s="237"/>
      <c r="J287" s="100"/>
      <c r="K287" s="29"/>
      <c r="L287" s="222"/>
      <c r="M287" s="370"/>
      <c r="N287" s="349"/>
      <c r="O287" s="352"/>
      <c r="P287" s="349"/>
      <c r="Q287" s="353"/>
      <c r="R287" s="346"/>
      <c r="S287" s="208"/>
      <c r="T287" s="195"/>
      <c r="U287" s="47" t="s">
        <v>627</v>
      </c>
      <c r="V287" s="215"/>
      <c r="W287" s="215"/>
      <c r="X287" s="215"/>
      <c r="Y287" s="95" t="str">
        <f t="shared" si="49"/>
        <v/>
      </c>
      <c r="Z287" s="215"/>
      <c r="AA287" s="95" t="str">
        <f t="shared" si="50"/>
        <v/>
      </c>
      <c r="AB287" s="208"/>
      <c r="AC287" s="95" t="str">
        <f t="shared" si="51"/>
        <v/>
      </c>
      <c r="AD287" s="208"/>
      <c r="AE287" s="95" t="str">
        <f t="shared" si="52"/>
        <v/>
      </c>
      <c r="AF287" s="208"/>
      <c r="AG287" s="95" t="str">
        <f t="shared" si="53"/>
        <v/>
      </c>
      <c r="AH287" s="208"/>
      <c r="AI287" s="95" t="str">
        <f t="shared" si="54"/>
        <v/>
      </c>
      <c r="AJ287" s="208"/>
      <c r="AK287" s="27" t="str">
        <f t="shared" si="55"/>
        <v/>
      </c>
      <c r="AL287" s="48" t="str">
        <f t="shared" si="56"/>
        <v/>
      </c>
      <c r="AM287" s="48" t="str">
        <f t="shared" si="57"/>
        <v/>
      </c>
      <c r="AN287" s="293"/>
      <c r="AO287" s="293"/>
      <c r="AP287" s="293"/>
      <c r="AQ287" s="293"/>
      <c r="AR287" s="293"/>
      <c r="AS287" s="293"/>
      <c r="AT287" s="293"/>
      <c r="AU287" s="294" t="str">
        <f>IFERROR(VLOOKUP(AT287,'Seguridad Información'!$I$61:$J$65,2,0),"")</f>
        <v/>
      </c>
      <c r="AV287" s="79"/>
      <c r="AW287" s="78" t="str">
        <f t="shared" si="48"/>
        <v/>
      </c>
      <c r="AX287" s="77" t="str">
        <f t="shared" si="58"/>
        <v/>
      </c>
      <c r="AY287" s="21" t="str">
        <f>IFERROR(VLOOKUP((CONCATENATE(AM287,AX287)),Listados!$U$3:$V$11,2,FALSE),"")</f>
        <v/>
      </c>
      <c r="AZ287" s="48">
        <f t="shared" si="59"/>
        <v>100</v>
      </c>
      <c r="BA287" s="355"/>
      <c r="BB287" s="357"/>
      <c r="BC287" s="173">
        <f>+IF(AND(W287="Preventivo",BB283="Fuerte"),2,IF(AND(W287="Preventivo",BB283="Moderado"),1,0))</f>
        <v>0</v>
      </c>
      <c r="BD287" s="64">
        <f>+IF(AND(W287="Detectivo/Correctivo",$BB283="Fuerte"),2,IF(AND(W287="Detectivo/Correctivo",$BB287="Moderado"),1,IF(AND(W287="Preventivo",$BB283="Fuerte"),1,0)))</f>
        <v>0</v>
      </c>
      <c r="BE287" s="173" t="e">
        <f>+N283-BC287</f>
        <v>#N/A</v>
      </c>
      <c r="BF287" s="173" t="e">
        <f>+P283-BD287</f>
        <v>#N/A</v>
      </c>
      <c r="BG287" s="346"/>
      <c r="BH287" s="346"/>
      <c r="BI287" s="346"/>
      <c r="BJ287" s="538"/>
      <c r="BK287" s="538"/>
      <c r="BL287" s="538"/>
      <c r="BM287" s="538"/>
    </row>
    <row r="288" spans="1:65" ht="65.099999999999994" customHeight="1" thickBot="1">
      <c r="A288" s="330"/>
      <c r="B288" s="514"/>
      <c r="C288" s="365"/>
      <c r="D288" s="106"/>
      <c r="E288" s="106"/>
      <c r="F288" s="434"/>
      <c r="G288" s="368"/>
      <c r="H288" s="100"/>
      <c r="I288" s="237"/>
      <c r="J288" s="100"/>
      <c r="K288" s="31"/>
      <c r="L288" s="222"/>
      <c r="M288" s="370"/>
      <c r="N288" s="350"/>
      <c r="O288" s="352"/>
      <c r="P288" s="350"/>
      <c r="Q288" s="353"/>
      <c r="R288" s="347"/>
      <c r="S288" s="208"/>
      <c r="T288" s="98"/>
      <c r="U288" s="47" t="s">
        <v>627</v>
      </c>
      <c r="V288" s="215"/>
      <c r="W288" s="215"/>
      <c r="X288" s="215"/>
      <c r="Y288" s="95" t="str">
        <f t="shared" si="49"/>
        <v/>
      </c>
      <c r="Z288" s="215"/>
      <c r="AA288" s="95" t="str">
        <f t="shared" si="50"/>
        <v/>
      </c>
      <c r="AB288" s="208"/>
      <c r="AC288" s="95" t="str">
        <f t="shared" si="51"/>
        <v/>
      </c>
      <c r="AD288" s="208"/>
      <c r="AE288" s="95" t="str">
        <f t="shared" si="52"/>
        <v/>
      </c>
      <c r="AF288" s="208"/>
      <c r="AG288" s="95" t="str">
        <f t="shared" si="53"/>
        <v/>
      </c>
      <c r="AH288" s="208"/>
      <c r="AI288" s="95" t="str">
        <f t="shared" si="54"/>
        <v/>
      </c>
      <c r="AJ288" s="208"/>
      <c r="AK288" s="27" t="str">
        <f t="shared" si="55"/>
        <v/>
      </c>
      <c r="AL288" s="48" t="str">
        <f t="shared" si="56"/>
        <v/>
      </c>
      <c r="AM288" s="48" t="str">
        <f t="shared" si="57"/>
        <v/>
      </c>
      <c r="AN288" s="293"/>
      <c r="AO288" s="293"/>
      <c r="AP288" s="293"/>
      <c r="AQ288" s="293"/>
      <c r="AR288" s="293"/>
      <c r="AS288" s="293"/>
      <c r="AT288" s="293"/>
      <c r="AU288" s="294" t="str">
        <f>IFERROR(VLOOKUP(AT288,'Seguridad Información'!$I$61:$J$65,2,0),"")</f>
        <v/>
      </c>
      <c r="AV288" s="79"/>
      <c r="AW288" s="78" t="str">
        <f t="shared" si="48"/>
        <v/>
      </c>
      <c r="AX288" s="77" t="str">
        <f t="shared" si="58"/>
        <v/>
      </c>
      <c r="AY288" s="21" t="str">
        <f>IFERROR(VLOOKUP((CONCATENATE(AM288,AX288)),Listados!$U$3:$V$11,2,FALSE),"")</f>
        <v/>
      </c>
      <c r="AZ288" s="48">
        <f t="shared" si="59"/>
        <v>100</v>
      </c>
      <c r="BA288" s="356"/>
      <c r="BB288" s="357"/>
      <c r="BC288" s="173">
        <f>+IF(AND(W288="Preventivo",BB283="Fuerte"),2,IF(AND(W288="Preventivo",BB283="Moderado"),1,0))</f>
        <v>0</v>
      </c>
      <c r="BD288" s="64">
        <f>+IF(AND(W288="Detectivo/Correctivo",$BB283="Fuerte"),2,IF(AND(W288="Detectivo/Correctivo",$BB288="Moderado"),1,IF(AND(W288="Preventivo",$BB283="Fuerte"),1,0)))</f>
        <v>0</v>
      </c>
      <c r="BE288" s="173" t="e">
        <f>+N283-BC288</f>
        <v>#N/A</v>
      </c>
      <c r="BF288" s="173" t="e">
        <f>+P283-BD288</f>
        <v>#N/A</v>
      </c>
      <c r="BG288" s="347"/>
      <c r="BH288" s="347"/>
      <c r="BI288" s="347"/>
      <c r="BJ288" s="539"/>
      <c r="BK288" s="539"/>
      <c r="BL288" s="539"/>
      <c r="BM288" s="539"/>
    </row>
    <row r="289" spans="1:65" ht="65.099999999999994" customHeight="1" thickBot="1">
      <c r="A289" s="328">
        <v>48</v>
      </c>
      <c r="B289" s="519"/>
      <c r="C289" s="371" t="str">
        <f>IFERROR(VLOOKUP(B289,Listados!B$3:C$20,2,FALSE),"")</f>
        <v/>
      </c>
      <c r="D289" s="107"/>
      <c r="E289" s="107"/>
      <c r="F289" s="432"/>
      <c r="G289" s="372"/>
      <c r="H289" s="100"/>
      <c r="I289" s="237"/>
      <c r="J289" s="100"/>
      <c r="K289" s="103"/>
      <c r="L289" s="17"/>
      <c r="M289" s="369"/>
      <c r="N289" s="348" t="e">
        <f>+VLOOKUP(M289,Listados!$K$8:$L$12,2,0)</f>
        <v>#N/A</v>
      </c>
      <c r="O289" s="351"/>
      <c r="P289" s="348" t="e">
        <f>+VLOOKUP(O289,Listados!$K$13:$L$17,2,0)</f>
        <v>#N/A</v>
      </c>
      <c r="Q289" s="347" t="str">
        <f>IF(AND(M289&lt;&gt;"",O289&lt;&gt;""),VLOOKUP(M289&amp;O289,Listados!$M$3:$N$27,2,FALSE),"")</f>
        <v/>
      </c>
      <c r="R289" s="345" t="e">
        <f>+VLOOKUP(Q289,Listados!$P$3:$Q$6,2,FALSE)</f>
        <v>#N/A</v>
      </c>
      <c r="S289" s="208"/>
      <c r="T289" s="94"/>
      <c r="U289" s="47" t="s">
        <v>627</v>
      </c>
      <c r="V289" s="215"/>
      <c r="W289" s="215"/>
      <c r="X289" s="215"/>
      <c r="Y289" s="95" t="str">
        <f t="shared" si="49"/>
        <v/>
      </c>
      <c r="Z289" s="215"/>
      <c r="AA289" s="95" t="str">
        <f t="shared" si="50"/>
        <v/>
      </c>
      <c r="AB289" s="208"/>
      <c r="AC289" s="95" t="str">
        <f t="shared" si="51"/>
        <v/>
      </c>
      <c r="AD289" s="208"/>
      <c r="AE289" s="95" t="str">
        <f t="shared" si="52"/>
        <v/>
      </c>
      <c r="AF289" s="208"/>
      <c r="AG289" s="95" t="str">
        <f t="shared" si="53"/>
        <v/>
      </c>
      <c r="AH289" s="208"/>
      <c r="AI289" s="95" t="str">
        <f t="shared" si="54"/>
        <v/>
      </c>
      <c r="AJ289" s="208"/>
      <c r="AK289" s="27" t="str">
        <f t="shared" si="55"/>
        <v/>
      </c>
      <c r="AL289" s="48" t="str">
        <f t="shared" si="56"/>
        <v/>
      </c>
      <c r="AM289" s="48" t="str">
        <f t="shared" si="57"/>
        <v/>
      </c>
      <c r="AN289" s="293"/>
      <c r="AO289" s="293"/>
      <c r="AP289" s="293"/>
      <c r="AQ289" s="293"/>
      <c r="AR289" s="293"/>
      <c r="AS289" s="293"/>
      <c r="AT289" s="293"/>
      <c r="AU289" s="294" t="str">
        <f>IFERROR(VLOOKUP(AT289,'Seguridad Información'!$I$61:$J$65,2,0),"")</f>
        <v/>
      </c>
      <c r="AV289" s="79"/>
      <c r="AW289" s="78" t="str">
        <f t="shared" si="48"/>
        <v/>
      </c>
      <c r="AX289" s="77" t="str">
        <f t="shared" si="58"/>
        <v/>
      </c>
      <c r="AY289" s="21" t="str">
        <f>IFERROR(VLOOKUP((CONCATENATE(AM289,AX289)),Listados!$U$3:$V$11,2,FALSE),"")</f>
        <v/>
      </c>
      <c r="AZ289" s="48">
        <f t="shared" si="59"/>
        <v>100</v>
      </c>
      <c r="BA289" s="354">
        <f>AVERAGE(AZ289:AZ294)</f>
        <v>100</v>
      </c>
      <c r="BB289" s="356" t="str">
        <f>IF(BA289&lt;=50, "Débil", IF(BA289&lt;=99,"Moderado","Fuerte"))</f>
        <v>Fuerte</v>
      </c>
      <c r="BC289" s="173">
        <f>+IF(AND(W289="Preventivo",BB289="Fuerte"),2,IF(AND(W289="Preventivo",BB289="Moderado"),1,0))</f>
        <v>0</v>
      </c>
      <c r="BD289" s="64">
        <f>+IF(AND(W289="Detectivo/Correctivo",$BB289="Fuerte"),2,IF(AND(W289="Detectivo/Correctivo",$BB289="Moderado"),1,IF(AND(W289="Preventivo",$BB289="Fuerte"),1,0)))</f>
        <v>0</v>
      </c>
      <c r="BE289" s="173" t="e">
        <f>+N289-BC289</f>
        <v>#N/A</v>
      </c>
      <c r="BF289" s="173" t="e">
        <f>+P289-BD289</f>
        <v>#N/A</v>
      </c>
      <c r="BG289" s="345" t="e">
        <f>+VLOOKUP(MIN(BE289,BE290,BE291,BE292,BE293,BE294),Listados!$J$18:$K$24,2,TRUE)</f>
        <v>#N/A</v>
      </c>
      <c r="BH289" s="345" t="e">
        <f>+VLOOKUP(MIN(BF289,BF290,BF291,BF292,BF293,BF294),Listados!$J$27:$K$32,2,TRUE)</f>
        <v>#N/A</v>
      </c>
      <c r="BI289" s="345" t="e">
        <f>IF(AND(BG289&lt;&gt;"",BH289&lt;&gt;""),VLOOKUP(BG289&amp;BH289,Listados!$M$3:$N$27,2,FALSE),"")</f>
        <v>#N/A</v>
      </c>
      <c r="BJ289" s="537" t="e">
        <f>+IF($R289="Asumir el riesgo","NA","")</f>
        <v>#N/A</v>
      </c>
      <c r="BK289" s="537" t="e">
        <f>+IF($R289="Asumir el riesgo","NA","")</f>
        <v>#N/A</v>
      </c>
      <c r="BL289" s="537" t="e">
        <f>+IF($R289="Asumir el riesgo","NA","")</f>
        <v>#N/A</v>
      </c>
      <c r="BM289" s="537" t="e">
        <f>+IF($R289="Asumir el riesgo","NA","")</f>
        <v>#N/A</v>
      </c>
    </row>
    <row r="290" spans="1:65" ht="65.099999999999994" customHeight="1" thickBot="1">
      <c r="A290" s="329"/>
      <c r="B290" s="514"/>
      <c r="C290" s="364"/>
      <c r="D290" s="233"/>
      <c r="E290" s="233"/>
      <c r="F290" s="433"/>
      <c r="G290" s="367"/>
      <c r="H290" s="100"/>
      <c r="I290" s="237"/>
      <c r="J290" s="100"/>
      <c r="K290" s="236"/>
      <c r="L290" s="222"/>
      <c r="M290" s="370"/>
      <c r="N290" s="349"/>
      <c r="O290" s="352"/>
      <c r="P290" s="349"/>
      <c r="Q290" s="353"/>
      <c r="R290" s="346"/>
      <c r="S290" s="208"/>
      <c r="T290" s="195"/>
      <c r="U290" s="47" t="s">
        <v>627</v>
      </c>
      <c r="V290" s="215"/>
      <c r="W290" s="215"/>
      <c r="X290" s="215"/>
      <c r="Y290" s="95" t="str">
        <f t="shared" si="49"/>
        <v/>
      </c>
      <c r="Z290" s="215"/>
      <c r="AA290" s="95" t="str">
        <f t="shared" si="50"/>
        <v/>
      </c>
      <c r="AB290" s="208"/>
      <c r="AC290" s="95" t="str">
        <f t="shared" si="51"/>
        <v/>
      </c>
      <c r="AD290" s="208"/>
      <c r="AE290" s="95" t="str">
        <f t="shared" si="52"/>
        <v/>
      </c>
      <c r="AF290" s="208"/>
      <c r="AG290" s="95" t="str">
        <f t="shared" si="53"/>
        <v/>
      </c>
      <c r="AH290" s="208"/>
      <c r="AI290" s="95" t="str">
        <f t="shared" si="54"/>
        <v/>
      </c>
      <c r="AJ290" s="208"/>
      <c r="AK290" s="27" t="str">
        <f t="shared" si="55"/>
        <v/>
      </c>
      <c r="AL290" s="48" t="str">
        <f t="shared" si="56"/>
        <v/>
      </c>
      <c r="AM290" s="48" t="str">
        <f t="shared" si="57"/>
        <v/>
      </c>
      <c r="AN290" s="293"/>
      <c r="AO290" s="293"/>
      <c r="AP290" s="293"/>
      <c r="AQ290" s="293"/>
      <c r="AR290" s="293"/>
      <c r="AS290" s="293"/>
      <c r="AT290" s="293"/>
      <c r="AU290" s="294" t="str">
        <f>IFERROR(VLOOKUP(AT290,'Seguridad Información'!$I$61:$J$65,2,0),"")</f>
        <v/>
      </c>
      <c r="AV290" s="79"/>
      <c r="AW290" s="78" t="str">
        <f t="shared" si="48"/>
        <v/>
      </c>
      <c r="AX290" s="77" t="str">
        <f t="shared" si="58"/>
        <v/>
      </c>
      <c r="AY290" s="21" t="str">
        <f>IFERROR(VLOOKUP((CONCATENATE(AM290,AX290)),Listados!$U$3:$V$11,2,FALSE),"")</f>
        <v/>
      </c>
      <c r="AZ290" s="48">
        <f t="shared" si="59"/>
        <v>100</v>
      </c>
      <c r="BA290" s="355"/>
      <c r="BB290" s="357"/>
      <c r="BC290" s="173">
        <f>+IF(AND(W290="Preventivo",BB289="Fuerte"),2,IF(AND(W290="Preventivo",BB289="Moderado"),1,0))</f>
        <v>0</v>
      </c>
      <c r="BD290" s="64">
        <f>+IF(AND(W290="Detectivo/Correctivo",$BB289="Fuerte"),2,IF(AND(W290="Detectivo/Correctivo",$BB290="Moderado"),1,IF(AND(W290="Preventivo",$BB289="Fuerte"),1,0)))</f>
        <v>0</v>
      </c>
      <c r="BE290" s="173" t="e">
        <f>+N289-BC290</f>
        <v>#N/A</v>
      </c>
      <c r="BF290" s="173" t="e">
        <f>+P289-BD290</f>
        <v>#N/A</v>
      </c>
      <c r="BG290" s="346"/>
      <c r="BH290" s="346"/>
      <c r="BI290" s="346"/>
      <c r="BJ290" s="538"/>
      <c r="BK290" s="538"/>
      <c r="BL290" s="538"/>
      <c r="BM290" s="538"/>
    </row>
    <row r="291" spans="1:65" ht="65.099999999999994" customHeight="1" thickBot="1">
      <c r="A291" s="329"/>
      <c r="B291" s="514"/>
      <c r="C291" s="364"/>
      <c r="D291" s="233"/>
      <c r="E291" s="233"/>
      <c r="F291" s="433"/>
      <c r="G291" s="367"/>
      <c r="H291" s="100"/>
      <c r="I291" s="237"/>
      <c r="J291" s="100"/>
      <c r="K291" s="236"/>
      <c r="L291" s="222"/>
      <c r="M291" s="370"/>
      <c r="N291" s="349"/>
      <c r="O291" s="352"/>
      <c r="P291" s="349"/>
      <c r="Q291" s="353"/>
      <c r="R291" s="346"/>
      <c r="S291" s="208"/>
      <c r="T291" s="96"/>
      <c r="U291" s="47" t="s">
        <v>627</v>
      </c>
      <c r="V291" s="215"/>
      <c r="W291" s="215"/>
      <c r="X291" s="215"/>
      <c r="Y291" s="95" t="str">
        <f t="shared" si="49"/>
        <v/>
      </c>
      <c r="Z291" s="215"/>
      <c r="AA291" s="95" t="str">
        <f t="shared" si="50"/>
        <v/>
      </c>
      <c r="AB291" s="208"/>
      <c r="AC291" s="95" t="str">
        <f t="shared" si="51"/>
        <v/>
      </c>
      <c r="AD291" s="208"/>
      <c r="AE291" s="95" t="str">
        <f t="shared" si="52"/>
        <v/>
      </c>
      <c r="AF291" s="208"/>
      <c r="AG291" s="95" t="str">
        <f t="shared" si="53"/>
        <v/>
      </c>
      <c r="AH291" s="208"/>
      <c r="AI291" s="95" t="str">
        <f t="shared" si="54"/>
        <v/>
      </c>
      <c r="AJ291" s="208"/>
      <c r="AK291" s="27" t="str">
        <f t="shared" si="55"/>
        <v/>
      </c>
      <c r="AL291" s="48" t="str">
        <f t="shared" si="56"/>
        <v/>
      </c>
      <c r="AM291" s="48" t="str">
        <f t="shared" si="57"/>
        <v/>
      </c>
      <c r="AN291" s="293"/>
      <c r="AO291" s="293"/>
      <c r="AP291" s="293"/>
      <c r="AQ291" s="293"/>
      <c r="AR291" s="293"/>
      <c r="AS291" s="293"/>
      <c r="AT291" s="293"/>
      <c r="AU291" s="294" t="str">
        <f>IFERROR(VLOOKUP(AT291,'Seguridad Información'!$I$61:$J$65,2,0),"")</f>
        <v/>
      </c>
      <c r="AV291" s="79"/>
      <c r="AW291" s="78" t="str">
        <f t="shared" si="48"/>
        <v/>
      </c>
      <c r="AX291" s="77" t="str">
        <f t="shared" si="58"/>
        <v/>
      </c>
      <c r="AY291" s="21" t="str">
        <f>IFERROR(VLOOKUP((CONCATENATE(AM291,AX291)),Listados!$U$3:$V$11,2,FALSE),"")</f>
        <v/>
      </c>
      <c r="AZ291" s="48">
        <f t="shared" si="59"/>
        <v>100</v>
      </c>
      <c r="BA291" s="355"/>
      <c r="BB291" s="357"/>
      <c r="BC291" s="173">
        <f>+IF(AND(W291="Preventivo",BB289="Fuerte"),2,IF(AND(W291="Preventivo",BB289="Moderado"),1,0))</f>
        <v>0</v>
      </c>
      <c r="BD291" s="64">
        <f>+IF(AND(W291="Detectivo/Correctivo",$BB289="Fuerte"),2,IF(AND(W291="Detectivo/Correctivo",$BB291="Moderado"),1,IF(AND(W291="Preventivo",$BB289="Fuerte"),1,0)))</f>
        <v>0</v>
      </c>
      <c r="BE291" s="173" t="e">
        <f>+N289-BC291</f>
        <v>#N/A</v>
      </c>
      <c r="BF291" s="173" t="e">
        <f>+P289-BD291</f>
        <v>#N/A</v>
      </c>
      <c r="BG291" s="346"/>
      <c r="BH291" s="346"/>
      <c r="BI291" s="346"/>
      <c r="BJ291" s="538"/>
      <c r="BK291" s="538"/>
      <c r="BL291" s="538"/>
      <c r="BM291" s="538"/>
    </row>
    <row r="292" spans="1:65" ht="65.099999999999994" customHeight="1" thickBot="1">
      <c r="A292" s="329"/>
      <c r="B292" s="514"/>
      <c r="C292" s="364"/>
      <c r="D292" s="233"/>
      <c r="E292" s="233"/>
      <c r="F292" s="433"/>
      <c r="G292" s="367"/>
      <c r="H292" s="100"/>
      <c r="I292" s="237"/>
      <c r="J292" s="100"/>
      <c r="K292" s="236"/>
      <c r="L292" s="222"/>
      <c r="M292" s="370"/>
      <c r="N292" s="349"/>
      <c r="O292" s="352"/>
      <c r="P292" s="349"/>
      <c r="Q292" s="353"/>
      <c r="R292" s="346"/>
      <c r="S292" s="208"/>
      <c r="T292" s="97"/>
      <c r="U292" s="47" t="s">
        <v>627</v>
      </c>
      <c r="V292" s="215"/>
      <c r="W292" s="215"/>
      <c r="X292" s="215"/>
      <c r="Y292" s="95" t="str">
        <f t="shared" si="49"/>
        <v/>
      </c>
      <c r="Z292" s="215"/>
      <c r="AA292" s="95" t="str">
        <f t="shared" si="50"/>
        <v/>
      </c>
      <c r="AB292" s="208"/>
      <c r="AC292" s="95" t="str">
        <f t="shared" si="51"/>
        <v/>
      </c>
      <c r="AD292" s="208"/>
      <c r="AE292" s="95" t="str">
        <f t="shared" si="52"/>
        <v/>
      </c>
      <c r="AF292" s="208"/>
      <c r="AG292" s="95" t="str">
        <f t="shared" si="53"/>
        <v/>
      </c>
      <c r="AH292" s="208"/>
      <c r="AI292" s="95" t="str">
        <f t="shared" si="54"/>
        <v/>
      </c>
      <c r="AJ292" s="208"/>
      <c r="AK292" s="27" t="str">
        <f t="shared" si="55"/>
        <v/>
      </c>
      <c r="AL292" s="48" t="str">
        <f t="shared" si="56"/>
        <v/>
      </c>
      <c r="AM292" s="48" t="str">
        <f t="shared" si="57"/>
        <v/>
      </c>
      <c r="AN292" s="293"/>
      <c r="AO292" s="293"/>
      <c r="AP292" s="293"/>
      <c r="AQ292" s="293"/>
      <c r="AR292" s="293"/>
      <c r="AS292" s="293"/>
      <c r="AT292" s="293"/>
      <c r="AU292" s="294" t="str">
        <f>IFERROR(VLOOKUP(AT292,'Seguridad Información'!$I$61:$J$65,2,0),"")</f>
        <v/>
      </c>
      <c r="AV292" s="79"/>
      <c r="AW292" s="78" t="str">
        <f t="shared" si="48"/>
        <v/>
      </c>
      <c r="AX292" s="77" t="str">
        <f t="shared" si="58"/>
        <v/>
      </c>
      <c r="AY292" s="21" t="str">
        <f>IFERROR(VLOOKUP((CONCATENATE(AM292,AX292)),Listados!$U$3:$V$11,2,FALSE),"")</f>
        <v/>
      </c>
      <c r="AZ292" s="48">
        <f t="shared" si="59"/>
        <v>100</v>
      </c>
      <c r="BA292" s="355"/>
      <c r="BB292" s="357"/>
      <c r="BC292" s="173">
        <f>+IF(AND(W292="Preventivo",BB289="Fuerte"),2,IF(AND(W292="Preventivo",BB289="Moderado"),1,0))</f>
        <v>0</v>
      </c>
      <c r="BD292" s="64">
        <f>+IF(AND(W292="Detectivo/Correctivo",$BB289="Fuerte"),2,IF(AND(W292="Detectivo/Correctivo",$BB292="Moderado"),1,IF(AND(W292="Preventivo",$BB289="Fuerte"),1,0)))</f>
        <v>0</v>
      </c>
      <c r="BE292" s="173" t="e">
        <f>+N289-BC292</f>
        <v>#N/A</v>
      </c>
      <c r="BF292" s="173" t="e">
        <f>+P289-BD292</f>
        <v>#N/A</v>
      </c>
      <c r="BG292" s="346"/>
      <c r="BH292" s="346"/>
      <c r="BI292" s="346"/>
      <c r="BJ292" s="538"/>
      <c r="BK292" s="538"/>
      <c r="BL292" s="538"/>
      <c r="BM292" s="538"/>
    </row>
    <row r="293" spans="1:65" ht="65.099999999999994" customHeight="1" thickBot="1">
      <c r="A293" s="329"/>
      <c r="B293" s="514"/>
      <c r="C293" s="364"/>
      <c r="D293" s="109"/>
      <c r="E293" s="109"/>
      <c r="F293" s="433"/>
      <c r="G293" s="367"/>
      <c r="H293" s="100"/>
      <c r="I293" s="237"/>
      <c r="J293" s="100"/>
      <c r="K293" s="29"/>
      <c r="L293" s="222"/>
      <c r="M293" s="370"/>
      <c r="N293" s="349"/>
      <c r="O293" s="352"/>
      <c r="P293" s="349"/>
      <c r="Q293" s="353"/>
      <c r="R293" s="346"/>
      <c r="S293" s="208"/>
      <c r="T293" s="195"/>
      <c r="U293" s="47" t="s">
        <v>627</v>
      </c>
      <c r="V293" s="215"/>
      <c r="W293" s="215"/>
      <c r="X293" s="215"/>
      <c r="Y293" s="95" t="str">
        <f t="shared" si="49"/>
        <v/>
      </c>
      <c r="Z293" s="215"/>
      <c r="AA293" s="95" t="str">
        <f t="shared" si="50"/>
        <v/>
      </c>
      <c r="AB293" s="208"/>
      <c r="AC293" s="95" t="str">
        <f t="shared" si="51"/>
        <v/>
      </c>
      <c r="AD293" s="208"/>
      <c r="AE293" s="95" t="str">
        <f t="shared" si="52"/>
        <v/>
      </c>
      <c r="AF293" s="208"/>
      <c r="AG293" s="95" t="str">
        <f t="shared" si="53"/>
        <v/>
      </c>
      <c r="AH293" s="208"/>
      <c r="AI293" s="95" t="str">
        <f t="shared" si="54"/>
        <v/>
      </c>
      <c r="AJ293" s="208"/>
      <c r="AK293" s="27" t="str">
        <f t="shared" si="55"/>
        <v/>
      </c>
      <c r="AL293" s="48" t="str">
        <f t="shared" si="56"/>
        <v/>
      </c>
      <c r="AM293" s="48" t="str">
        <f t="shared" si="57"/>
        <v/>
      </c>
      <c r="AN293" s="293"/>
      <c r="AO293" s="293"/>
      <c r="AP293" s="293"/>
      <c r="AQ293" s="293"/>
      <c r="AR293" s="293"/>
      <c r="AS293" s="293"/>
      <c r="AT293" s="293"/>
      <c r="AU293" s="294" t="str">
        <f>IFERROR(VLOOKUP(AT293,'Seguridad Información'!$I$61:$J$65,2,0),"")</f>
        <v/>
      </c>
      <c r="AV293" s="79"/>
      <c r="AW293" s="78" t="str">
        <f t="shared" si="48"/>
        <v/>
      </c>
      <c r="AX293" s="77" t="str">
        <f t="shared" si="58"/>
        <v/>
      </c>
      <c r="AY293" s="21" t="str">
        <f>IFERROR(VLOOKUP((CONCATENATE(AM293,AX293)),Listados!$U$3:$V$11,2,FALSE),"")</f>
        <v/>
      </c>
      <c r="AZ293" s="48">
        <f t="shared" si="59"/>
        <v>100</v>
      </c>
      <c r="BA293" s="355"/>
      <c r="BB293" s="357"/>
      <c r="BC293" s="173">
        <f>+IF(AND(W293="Preventivo",BB289="Fuerte"),2,IF(AND(W293="Preventivo",BB289="Moderado"),1,0))</f>
        <v>0</v>
      </c>
      <c r="BD293" s="64">
        <f>+IF(AND(W293="Detectivo/Correctivo",$BB289="Fuerte"),2,IF(AND(W293="Detectivo/Correctivo",$BB293="Moderado"),1,IF(AND(W293="Preventivo",$BB289="Fuerte"),1,0)))</f>
        <v>0</v>
      </c>
      <c r="BE293" s="173" t="e">
        <f>+N289-BC293</f>
        <v>#N/A</v>
      </c>
      <c r="BF293" s="173" t="e">
        <f>+P289-BD293</f>
        <v>#N/A</v>
      </c>
      <c r="BG293" s="346"/>
      <c r="BH293" s="346"/>
      <c r="BI293" s="346"/>
      <c r="BJ293" s="538"/>
      <c r="BK293" s="538"/>
      <c r="BL293" s="538"/>
      <c r="BM293" s="538"/>
    </row>
    <row r="294" spans="1:65" ht="65.099999999999994" customHeight="1" thickBot="1">
      <c r="A294" s="330"/>
      <c r="B294" s="514"/>
      <c r="C294" s="365"/>
      <c r="D294" s="106"/>
      <c r="E294" s="106"/>
      <c r="F294" s="434"/>
      <c r="G294" s="368"/>
      <c r="H294" s="100"/>
      <c r="I294" s="237"/>
      <c r="J294" s="100"/>
      <c r="K294" s="31"/>
      <c r="L294" s="222"/>
      <c r="M294" s="370"/>
      <c r="N294" s="350"/>
      <c r="O294" s="352"/>
      <c r="P294" s="350"/>
      <c r="Q294" s="353"/>
      <c r="R294" s="347"/>
      <c r="S294" s="208"/>
      <c r="T294" s="98"/>
      <c r="U294" s="47" t="s">
        <v>627</v>
      </c>
      <c r="V294" s="215"/>
      <c r="W294" s="215"/>
      <c r="X294" s="215"/>
      <c r="Y294" s="95" t="str">
        <f t="shared" si="49"/>
        <v/>
      </c>
      <c r="Z294" s="215"/>
      <c r="AA294" s="95" t="str">
        <f t="shared" si="50"/>
        <v/>
      </c>
      <c r="AB294" s="208"/>
      <c r="AC294" s="95" t="str">
        <f t="shared" si="51"/>
        <v/>
      </c>
      <c r="AD294" s="208"/>
      <c r="AE294" s="95" t="str">
        <f t="shared" si="52"/>
        <v/>
      </c>
      <c r="AF294" s="208"/>
      <c r="AG294" s="95" t="str">
        <f t="shared" si="53"/>
        <v/>
      </c>
      <c r="AH294" s="208"/>
      <c r="AI294" s="95" t="str">
        <f t="shared" si="54"/>
        <v/>
      </c>
      <c r="AJ294" s="208"/>
      <c r="AK294" s="27" t="str">
        <f t="shared" si="55"/>
        <v/>
      </c>
      <c r="AL294" s="48" t="str">
        <f t="shared" si="56"/>
        <v/>
      </c>
      <c r="AM294" s="48" t="str">
        <f t="shared" si="57"/>
        <v/>
      </c>
      <c r="AN294" s="293"/>
      <c r="AO294" s="293"/>
      <c r="AP294" s="293"/>
      <c r="AQ294" s="293"/>
      <c r="AR294" s="293"/>
      <c r="AS294" s="293"/>
      <c r="AT294" s="293"/>
      <c r="AU294" s="294" t="str">
        <f>IFERROR(VLOOKUP(AT294,'Seguridad Información'!$I$61:$J$65,2,0),"")</f>
        <v/>
      </c>
      <c r="AV294" s="79"/>
      <c r="AW294" s="78" t="str">
        <f t="shared" si="48"/>
        <v/>
      </c>
      <c r="AX294" s="77" t="str">
        <f t="shared" si="58"/>
        <v/>
      </c>
      <c r="AY294" s="21" t="str">
        <f>IFERROR(VLOOKUP((CONCATENATE(AM294,AX294)),Listados!$U$3:$V$11,2,FALSE),"")</f>
        <v/>
      </c>
      <c r="AZ294" s="48">
        <f t="shared" si="59"/>
        <v>100</v>
      </c>
      <c r="BA294" s="356"/>
      <c r="BB294" s="357"/>
      <c r="BC294" s="173">
        <f>+IF(AND(W294="Preventivo",BB289="Fuerte"),2,IF(AND(W294="Preventivo",BB289="Moderado"),1,0))</f>
        <v>0</v>
      </c>
      <c r="BD294" s="64">
        <f>+IF(AND(W294="Detectivo/Correctivo",$BB289="Fuerte"),2,IF(AND(W294="Detectivo/Correctivo",$BB294="Moderado"),1,IF(AND(W294="Preventivo",$BB289="Fuerte"),1,0)))</f>
        <v>0</v>
      </c>
      <c r="BE294" s="173" t="e">
        <f>+N289-BC294</f>
        <v>#N/A</v>
      </c>
      <c r="BF294" s="173" t="e">
        <f>+P289-BD294</f>
        <v>#N/A</v>
      </c>
      <c r="BG294" s="347"/>
      <c r="BH294" s="347"/>
      <c r="BI294" s="347"/>
      <c r="BJ294" s="539"/>
      <c r="BK294" s="539"/>
      <c r="BL294" s="539"/>
      <c r="BM294" s="539"/>
    </row>
    <row r="295" spans="1:65" ht="65.099999999999994" customHeight="1" thickBot="1">
      <c r="A295" s="328">
        <v>49</v>
      </c>
      <c r="B295" s="519"/>
      <c r="C295" s="371" t="str">
        <f>IFERROR(VLOOKUP(B295,Listados!B$3:C$20,2,FALSE),"")</f>
        <v/>
      </c>
      <c r="D295" s="107"/>
      <c r="E295" s="107"/>
      <c r="F295" s="432"/>
      <c r="G295" s="372"/>
      <c r="H295" s="100"/>
      <c r="I295" s="237"/>
      <c r="J295" s="100"/>
      <c r="K295" s="103"/>
      <c r="L295" s="17"/>
      <c r="M295" s="369"/>
      <c r="N295" s="348" t="e">
        <f>+VLOOKUP(M295,Listados!$K$8:$L$12,2,0)</f>
        <v>#N/A</v>
      </c>
      <c r="O295" s="351"/>
      <c r="P295" s="348" t="e">
        <f>+VLOOKUP(O295,Listados!$K$13:$L$17,2,0)</f>
        <v>#N/A</v>
      </c>
      <c r="Q295" s="347" t="str">
        <f>IF(AND(M295&lt;&gt;"",O295&lt;&gt;""),VLOOKUP(M295&amp;O295,Listados!$M$3:$N$27,2,FALSE),"")</f>
        <v/>
      </c>
      <c r="R295" s="345" t="e">
        <f>+VLOOKUP(Q295,Listados!$P$3:$Q$6,2,FALSE)</f>
        <v>#N/A</v>
      </c>
      <c r="S295" s="208"/>
      <c r="T295" s="94"/>
      <c r="U295" s="47" t="s">
        <v>627</v>
      </c>
      <c r="V295" s="215"/>
      <c r="W295" s="215"/>
      <c r="X295" s="215"/>
      <c r="Y295" s="95" t="str">
        <f t="shared" si="49"/>
        <v/>
      </c>
      <c r="Z295" s="215"/>
      <c r="AA295" s="95" t="str">
        <f t="shared" si="50"/>
        <v/>
      </c>
      <c r="AB295" s="208"/>
      <c r="AC295" s="95" t="str">
        <f t="shared" si="51"/>
        <v/>
      </c>
      <c r="AD295" s="208"/>
      <c r="AE295" s="95" t="str">
        <f t="shared" si="52"/>
        <v/>
      </c>
      <c r="AF295" s="208"/>
      <c r="AG295" s="95" t="str">
        <f t="shared" si="53"/>
        <v/>
      </c>
      <c r="AH295" s="208"/>
      <c r="AI295" s="95" t="str">
        <f t="shared" si="54"/>
        <v/>
      </c>
      <c r="AJ295" s="208"/>
      <c r="AK295" s="27" t="str">
        <f t="shared" si="55"/>
        <v/>
      </c>
      <c r="AL295" s="48" t="str">
        <f t="shared" si="56"/>
        <v/>
      </c>
      <c r="AM295" s="48" t="str">
        <f t="shared" si="57"/>
        <v/>
      </c>
      <c r="AN295" s="293"/>
      <c r="AO295" s="293"/>
      <c r="AP295" s="293"/>
      <c r="AQ295" s="293"/>
      <c r="AR295" s="293"/>
      <c r="AS295" s="293"/>
      <c r="AT295" s="293"/>
      <c r="AU295" s="294" t="str">
        <f>IFERROR(VLOOKUP(AT295,'Seguridad Información'!$I$61:$J$65,2,0),"")</f>
        <v/>
      </c>
      <c r="AV295" s="79"/>
      <c r="AW295" s="78" t="str">
        <f t="shared" si="48"/>
        <v/>
      </c>
      <c r="AX295" s="77" t="str">
        <f t="shared" si="58"/>
        <v/>
      </c>
      <c r="AY295" s="21" t="str">
        <f>IFERROR(VLOOKUP((CONCATENATE(AM295,AX295)),Listados!$U$3:$V$11,2,FALSE),"")</f>
        <v/>
      </c>
      <c r="AZ295" s="48">
        <f t="shared" si="59"/>
        <v>100</v>
      </c>
      <c r="BA295" s="354">
        <f>AVERAGE(AZ295:AZ300)</f>
        <v>100</v>
      </c>
      <c r="BB295" s="356" t="str">
        <f>IF(BA295&lt;=50, "Débil", IF(BA295&lt;=99,"Moderado","Fuerte"))</f>
        <v>Fuerte</v>
      </c>
      <c r="BC295" s="173">
        <f>+IF(AND(W295="Preventivo",BB295="Fuerte"),2,IF(AND(W295="Preventivo",BB295="Moderado"),1,0))</f>
        <v>0</v>
      </c>
      <c r="BD295" s="64">
        <f>+IF(AND(W295="Detectivo/Correctivo",$BB295="Fuerte"),2,IF(AND(W295="Detectivo/Correctivo",$BB295="Moderado"),1,IF(AND(W295="Preventivo",$BB295="Fuerte"),1,0)))</f>
        <v>0</v>
      </c>
      <c r="BE295" s="173" t="e">
        <f>+N295-BC295</f>
        <v>#N/A</v>
      </c>
      <c r="BF295" s="173" t="e">
        <f>+P295-BD295</f>
        <v>#N/A</v>
      </c>
      <c r="BG295" s="345" t="e">
        <f>+VLOOKUP(MIN(BE295,BE296,BE297,BE298,BE299,BE300),Listados!$J$18:$K$24,2,TRUE)</f>
        <v>#N/A</v>
      </c>
      <c r="BH295" s="345" t="e">
        <f>+VLOOKUP(MIN(BF295,BF296,BF297,BF298,BF299,BF300),Listados!$J$27:$K$32,2,TRUE)</f>
        <v>#N/A</v>
      </c>
      <c r="BI295" s="345" t="e">
        <f>IF(AND(BG295&lt;&gt;"",BH295&lt;&gt;""),VLOOKUP(BG295&amp;BH295,Listados!$M$3:$N$27,2,FALSE),"")</f>
        <v>#N/A</v>
      </c>
      <c r="BJ295" s="537" t="e">
        <f>+IF($R295="Asumir el riesgo","NA","")</f>
        <v>#N/A</v>
      </c>
      <c r="BK295" s="537" t="e">
        <f>+IF($R295="Asumir el riesgo","NA","")</f>
        <v>#N/A</v>
      </c>
      <c r="BL295" s="537" t="e">
        <f>+IF($R295="Asumir el riesgo","NA","")</f>
        <v>#N/A</v>
      </c>
      <c r="BM295" s="537" t="e">
        <f>+IF($R295="Asumir el riesgo","NA","")</f>
        <v>#N/A</v>
      </c>
    </row>
    <row r="296" spans="1:65" ht="65.099999999999994" customHeight="1" thickBot="1">
      <c r="A296" s="329"/>
      <c r="B296" s="514"/>
      <c r="C296" s="364"/>
      <c r="D296" s="233"/>
      <c r="E296" s="233"/>
      <c r="F296" s="433"/>
      <c r="G296" s="367"/>
      <c r="H296" s="100"/>
      <c r="I296" s="237"/>
      <c r="J296" s="100"/>
      <c r="K296" s="236"/>
      <c r="L296" s="222"/>
      <c r="M296" s="370"/>
      <c r="N296" s="349"/>
      <c r="O296" s="352"/>
      <c r="P296" s="349"/>
      <c r="Q296" s="353"/>
      <c r="R296" s="346"/>
      <c r="S296" s="208"/>
      <c r="T296" s="195"/>
      <c r="U296" s="47" t="s">
        <v>627</v>
      </c>
      <c r="V296" s="215"/>
      <c r="W296" s="215"/>
      <c r="X296" s="215"/>
      <c r="Y296" s="95" t="str">
        <f t="shared" si="49"/>
        <v/>
      </c>
      <c r="Z296" s="215"/>
      <c r="AA296" s="95" t="str">
        <f t="shared" si="50"/>
        <v/>
      </c>
      <c r="AB296" s="208"/>
      <c r="AC296" s="95" t="str">
        <f t="shared" si="51"/>
        <v/>
      </c>
      <c r="AD296" s="208"/>
      <c r="AE296" s="95" t="str">
        <f t="shared" si="52"/>
        <v/>
      </c>
      <c r="AF296" s="208"/>
      <c r="AG296" s="95" t="str">
        <f t="shared" si="53"/>
        <v/>
      </c>
      <c r="AH296" s="208"/>
      <c r="AI296" s="95" t="str">
        <f t="shared" si="54"/>
        <v/>
      </c>
      <c r="AJ296" s="208"/>
      <c r="AK296" s="27" t="str">
        <f t="shared" si="55"/>
        <v/>
      </c>
      <c r="AL296" s="48" t="str">
        <f t="shared" si="56"/>
        <v/>
      </c>
      <c r="AM296" s="48" t="str">
        <f t="shared" si="57"/>
        <v/>
      </c>
      <c r="AN296" s="293"/>
      <c r="AO296" s="293"/>
      <c r="AP296" s="293"/>
      <c r="AQ296" s="293"/>
      <c r="AR296" s="293"/>
      <c r="AS296" s="293"/>
      <c r="AT296" s="293"/>
      <c r="AU296" s="294" t="str">
        <f>IFERROR(VLOOKUP(AT296,'Seguridad Información'!$I$61:$J$65,2,0),"")</f>
        <v/>
      </c>
      <c r="AV296" s="79"/>
      <c r="AW296" s="78" t="str">
        <f t="shared" si="48"/>
        <v/>
      </c>
      <c r="AX296" s="77" t="str">
        <f t="shared" si="58"/>
        <v/>
      </c>
      <c r="AY296" s="21" t="str">
        <f>IFERROR(VLOOKUP((CONCATENATE(AM296,AX296)),Listados!$U$3:$V$11,2,FALSE),"")</f>
        <v/>
      </c>
      <c r="AZ296" s="48">
        <f t="shared" si="59"/>
        <v>100</v>
      </c>
      <c r="BA296" s="355"/>
      <c r="BB296" s="357"/>
      <c r="BC296" s="173">
        <f>+IF(AND(W296="Preventivo",BB295="Fuerte"),2,IF(AND(W296="Preventivo",BB295="Moderado"),1,0))</f>
        <v>0</v>
      </c>
      <c r="BD296" s="64">
        <f>+IF(AND(W296="Detectivo/Correctivo",$BB295="Fuerte"),2,IF(AND(W296="Detectivo/Correctivo",$BB296="Moderado"),1,IF(AND(W296="Preventivo",$BB295="Fuerte"),1,0)))</f>
        <v>0</v>
      </c>
      <c r="BE296" s="173" t="e">
        <f>+N295-BC296</f>
        <v>#N/A</v>
      </c>
      <c r="BF296" s="173" t="e">
        <f>+P295-BD296</f>
        <v>#N/A</v>
      </c>
      <c r="BG296" s="346"/>
      <c r="BH296" s="346"/>
      <c r="BI296" s="346"/>
      <c r="BJ296" s="538"/>
      <c r="BK296" s="538"/>
      <c r="BL296" s="538"/>
      <c r="BM296" s="538"/>
    </row>
    <row r="297" spans="1:65" ht="65.099999999999994" customHeight="1" thickBot="1">
      <c r="A297" s="329"/>
      <c r="B297" s="514"/>
      <c r="C297" s="364"/>
      <c r="D297" s="233"/>
      <c r="E297" s="233"/>
      <c r="F297" s="433"/>
      <c r="G297" s="367"/>
      <c r="H297" s="100"/>
      <c r="I297" s="237"/>
      <c r="J297" s="100"/>
      <c r="K297" s="236"/>
      <c r="L297" s="222"/>
      <c r="M297" s="370"/>
      <c r="N297" s="349"/>
      <c r="O297" s="352"/>
      <c r="P297" s="349"/>
      <c r="Q297" s="353"/>
      <c r="R297" s="346"/>
      <c r="S297" s="208"/>
      <c r="T297" s="96"/>
      <c r="U297" s="47" t="s">
        <v>627</v>
      </c>
      <c r="V297" s="215"/>
      <c r="W297" s="215"/>
      <c r="X297" s="215"/>
      <c r="Y297" s="95" t="str">
        <f t="shared" si="49"/>
        <v/>
      </c>
      <c r="Z297" s="215"/>
      <c r="AA297" s="95" t="str">
        <f t="shared" si="50"/>
        <v/>
      </c>
      <c r="AB297" s="208"/>
      <c r="AC297" s="95" t="str">
        <f t="shared" si="51"/>
        <v/>
      </c>
      <c r="AD297" s="208"/>
      <c r="AE297" s="95" t="str">
        <f t="shared" si="52"/>
        <v/>
      </c>
      <c r="AF297" s="208"/>
      <c r="AG297" s="95" t="str">
        <f t="shared" si="53"/>
        <v/>
      </c>
      <c r="AH297" s="208"/>
      <c r="AI297" s="95" t="str">
        <f t="shared" si="54"/>
        <v/>
      </c>
      <c r="AJ297" s="208"/>
      <c r="AK297" s="27" t="str">
        <f t="shared" si="55"/>
        <v/>
      </c>
      <c r="AL297" s="48" t="str">
        <f t="shared" si="56"/>
        <v/>
      </c>
      <c r="AM297" s="48" t="str">
        <f t="shared" si="57"/>
        <v/>
      </c>
      <c r="AN297" s="293"/>
      <c r="AO297" s="293"/>
      <c r="AP297" s="293"/>
      <c r="AQ297" s="293"/>
      <c r="AR297" s="293"/>
      <c r="AS297" s="293"/>
      <c r="AT297" s="293"/>
      <c r="AU297" s="294" t="str">
        <f>IFERROR(VLOOKUP(AT297,'Seguridad Información'!$I$61:$J$65,2,0),"")</f>
        <v/>
      </c>
      <c r="AV297" s="79"/>
      <c r="AW297" s="78" t="str">
        <f t="shared" si="48"/>
        <v/>
      </c>
      <c r="AX297" s="77" t="str">
        <f t="shared" si="58"/>
        <v/>
      </c>
      <c r="AY297" s="21" t="str">
        <f>IFERROR(VLOOKUP((CONCATENATE(AM297,AX297)),Listados!$U$3:$V$11,2,FALSE),"")</f>
        <v/>
      </c>
      <c r="AZ297" s="48">
        <f t="shared" si="59"/>
        <v>100</v>
      </c>
      <c r="BA297" s="355"/>
      <c r="BB297" s="357"/>
      <c r="BC297" s="173">
        <f>+IF(AND(W297="Preventivo",BB295="Fuerte"),2,IF(AND(W297="Preventivo",BB295="Moderado"),1,0))</f>
        <v>0</v>
      </c>
      <c r="BD297" s="64">
        <f>+IF(AND(W297="Detectivo/Correctivo",$BB295="Fuerte"),2,IF(AND(W297="Detectivo/Correctivo",$BB297="Moderado"),1,IF(AND(W297="Preventivo",$BB295="Fuerte"),1,0)))</f>
        <v>0</v>
      </c>
      <c r="BE297" s="173" t="e">
        <f>+N295-BC297</f>
        <v>#N/A</v>
      </c>
      <c r="BF297" s="173" t="e">
        <f>+P295-BD297</f>
        <v>#N/A</v>
      </c>
      <c r="BG297" s="346"/>
      <c r="BH297" s="346"/>
      <c r="BI297" s="346"/>
      <c r="BJ297" s="538"/>
      <c r="BK297" s="538"/>
      <c r="BL297" s="538"/>
      <c r="BM297" s="538"/>
    </row>
    <row r="298" spans="1:65" ht="65.099999999999994" customHeight="1" thickBot="1">
      <c r="A298" s="329"/>
      <c r="B298" s="514"/>
      <c r="C298" s="364"/>
      <c r="D298" s="233"/>
      <c r="E298" s="233"/>
      <c r="F298" s="433"/>
      <c r="G298" s="367"/>
      <c r="H298" s="100"/>
      <c r="I298" s="237"/>
      <c r="J298" s="100"/>
      <c r="K298" s="236"/>
      <c r="L298" s="222"/>
      <c r="M298" s="370"/>
      <c r="N298" s="349"/>
      <c r="O298" s="352"/>
      <c r="P298" s="349"/>
      <c r="Q298" s="353"/>
      <c r="R298" s="346"/>
      <c r="S298" s="208"/>
      <c r="T298" s="97"/>
      <c r="U298" s="47" t="s">
        <v>627</v>
      </c>
      <c r="V298" s="215"/>
      <c r="W298" s="215"/>
      <c r="X298" s="215"/>
      <c r="Y298" s="95" t="str">
        <f t="shared" si="49"/>
        <v/>
      </c>
      <c r="Z298" s="215"/>
      <c r="AA298" s="95" t="str">
        <f t="shared" si="50"/>
        <v/>
      </c>
      <c r="AB298" s="208"/>
      <c r="AC298" s="95" t="str">
        <f t="shared" si="51"/>
        <v/>
      </c>
      <c r="AD298" s="208"/>
      <c r="AE298" s="95" t="str">
        <f t="shared" si="52"/>
        <v/>
      </c>
      <c r="AF298" s="208"/>
      <c r="AG298" s="95" t="str">
        <f t="shared" si="53"/>
        <v/>
      </c>
      <c r="AH298" s="208"/>
      <c r="AI298" s="95" t="str">
        <f t="shared" si="54"/>
        <v/>
      </c>
      <c r="AJ298" s="208"/>
      <c r="AK298" s="27" t="str">
        <f t="shared" si="55"/>
        <v/>
      </c>
      <c r="AL298" s="48" t="str">
        <f t="shared" si="56"/>
        <v/>
      </c>
      <c r="AM298" s="48" t="str">
        <f t="shared" si="57"/>
        <v/>
      </c>
      <c r="AN298" s="293"/>
      <c r="AO298" s="293"/>
      <c r="AP298" s="293"/>
      <c r="AQ298" s="293"/>
      <c r="AR298" s="293"/>
      <c r="AS298" s="293"/>
      <c r="AT298" s="293"/>
      <c r="AU298" s="294" t="str">
        <f>IFERROR(VLOOKUP(AT298,'Seguridad Información'!$I$61:$J$65,2,0),"")</f>
        <v/>
      </c>
      <c r="AV298" s="79"/>
      <c r="AW298" s="78" t="str">
        <f t="shared" si="48"/>
        <v/>
      </c>
      <c r="AX298" s="77" t="str">
        <f t="shared" si="58"/>
        <v/>
      </c>
      <c r="AY298" s="21" t="str">
        <f>IFERROR(VLOOKUP((CONCATENATE(AM298,AX298)),Listados!$U$3:$V$11,2,FALSE),"")</f>
        <v/>
      </c>
      <c r="AZ298" s="48">
        <f t="shared" si="59"/>
        <v>100</v>
      </c>
      <c r="BA298" s="355"/>
      <c r="BB298" s="357"/>
      <c r="BC298" s="173">
        <f>+IF(AND(W298="Preventivo",BB295="Fuerte"),2,IF(AND(W298="Preventivo",BB295="Moderado"),1,0))</f>
        <v>0</v>
      </c>
      <c r="BD298" s="64">
        <f>+IF(AND(W298="Detectivo/Correctivo",$BB295="Fuerte"),2,IF(AND(W298="Detectivo/Correctivo",$BB298="Moderado"),1,IF(AND(W298="Preventivo",$BB295="Fuerte"),1,0)))</f>
        <v>0</v>
      </c>
      <c r="BE298" s="173" t="e">
        <f>+N295-BC298</f>
        <v>#N/A</v>
      </c>
      <c r="BF298" s="173" t="e">
        <f>+P295-BD298</f>
        <v>#N/A</v>
      </c>
      <c r="BG298" s="346"/>
      <c r="BH298" s="346"/>
      <c r="BI298" s="346"/>
      <c r="BJ298" s="538"/>
      <c r="BK298" s="538"/>
      <c r="BL298" s="538"/>
      <c r="BM298" s="538"/>
    </row>
    <row r="299" spans="1:65" ht="65.099999999999994" customHeight="1" thickBot="1">
      <c r="A299" s="329"/>
      <c r="B299" s="514"/>
      <c r="C299" s="364"/>
      <c r="D299" s="109"/>
      <c r="E299" s="109"/>
      <c r="F299" s="433"/>
      <c r="G299" s="367"/>
      <c r="H299" s="100"/>
      <c r="I299" s="237"/>
      <c r="J299" s="100"/>
      <c r="K299" s="29"/>
      <c r="L299" s="222"/>
      <c r="M299" s="370"/>
      <c r="N299" s="349"/>
      <c r="O299" s="352"/>
      <c r="P299" s="349"/>
      <c r="Q299" s="353"/>
      <c r="R299" s="346"/>
      <c r="S299" s="208"/>
      <c r="T299" s="195"/>
      <c r="U299" s="47" t="s">
        <v>627</v>
      </c>
      <c r="V299" s="215"/>
      <c r="W299" s="215"/>
      <c r="X299" s="215"/>
      <c r="Y299" s="95" t="str">
        <f t="shared" si="49"/>
        <v/>
      </c>
      <c r="Z299" s="215"/>
      <c r="AA299" s="95" t="str">
        <f t="shared" si="50"/>
        <v/>
      </c>
      <c r="AB299" s="208"/>
      <c r="AC299" s="95" t="str">
        <f t="shared" si="51"/>
        <v/>
      </c>
      <c r="AD299" s="208"/>
      <c r="AE299" s="95" t="str">
        <f t="shared" si="52"/>
        <v/>
      </c>
      <c r="AF299" s="208"/>
      <c r="AG299" s="95" t="str">
        <f t="shared" si="53"/>
        <v/>
      </c>
      <c r="AH299" s="208"/>
      <c r="AI299" s="95" t="str">
        <f t="shared" si="54"/>
        <v/>
      </c>
      <c r="AJ299" s="208"/>
      <c r="AK299" s="27" t="str">
        <f t="shared" si="55"/>
        <v/>
      </c>
      <c r="AL299" s="48" t="str">
        <f t="shared" si="56"/>
        <v/>
      </c>
      <c r="AM299" s="48" t="str">
        <f t="shared" si="57"/>
        <v/>
      </c>
      <c r="AN299" s="293"/>
      <c r="AO299" s="293"/>
      <c r="AP299" s="293"/>
      <c r="AQ299" s="293"/>
      <c r="AR299" s="293"/>
      <c r="AS299" s="293"/>
      <c r="AT299" s="293"/>
      <c r="AU299" s="294" t="str">
        <f>IFERROR(VLOOKUP(AT299,'Seguridad Información'!$I$61:$J$65,2,0),"")</f>
        <v/>
      </c>
      <c r="AV299" s="79"/>
      <c r="AW299" s="78" t="str">
        <f t="shared" si="48"/>
        <v/>
      </c>
      <c r="AX299" s="77" t="str">
        <f t="shared" si="58"/>
        <v/>
      </c>
      <c r="AY299" s="21" t="str">
        <f>IFERROR(VLOOKUP((CONCATENATE(AM299,AX299)),Listados!$U$3:$V$11,2,FALSE),"")</f>
        <v/>
      </c>
      <c r="AZ299" s="48">
        <f t="shared" si="59"/>
        <v>100</v>
      </c>
      <c r="BA299" s="355"/>
      <c r="BB299" s="357"/>
      <c r="BC299" s="173">
        <f>+IF(AND(W299="Preventivo",BB295="Fuerte"),2,IF(AND(W299="Preventivo",BB295="Moderado"),1,0))</f>
        <v>0</v>
      </c>
      <c r="BD299" s="64">
        <f>+IF(AND(W299="Detectivo/Correctivo",$BB295="Fuerte"),2,IF(AND(W299="Detectivo/Correctivo",$BB299="Moderado"),1,IF(AND(W299="Preventivo",$BB295="Fuerte"),1,0)))</f>
        <v>0</v>
      </c>
      <c r="BE299" s="173" t="e">
        <f>+N295-BC299</f>
        <v>#N/A</v>
      </c>
      <c r="BF299" s="173" t="e">
        <f>+P295-BD299</f>
        <v>#N/A</v>
      </c>
      <c r="BG299" s="346"/>
      <c r="BH299" s="346"/>
      <c r="BI299" s="346"/>
      <c r="BJ299" s="538"/>
      <c r="BK299" s="538"/>
      <c r="BL299" s="538"/>
      <c r="BM299" s="538"/>
    </row>
    <row r="300" spans="1:65" ht="65.099999999999994" customHeight="1" thickBot="1">
      <c r="A300" s="330"/>
      <c r="B300" s="514"/>
      <c r="C300" s="365"/>
      <c r="D300" s="106"/>
      <c r="E300" s="106"/>
      <c r="F300" s="434"/>
      <c r="G300" s="368"/>
      <c r="H300" s="100"/>
      <c r="I300" s="237"/>
      <c r="J300" s="100"/>
      <c r="K300" s="31"/>
      <c r="L300" s="222"/>
      <c r="M300" s="370"/>
      <c r="N300" s="350"/>
      <c r="O300" s="352"/>
      <c r="P300" s="350"/>
      <c r="Q300" s="353"/>
      <c r="R300" s="347"/>
      <c r="S300" s="208"/>
      <c r="T300" s="98"/>
      <c r="U300" s="47" t="s">
        <v>627</v>
      </c>
      <c r="V300" s="215"/>
      <c r="W300" s="215"/>
      <c r="X300" s="215"/>
      <c r="Y300" s="95" t="str">
        <f t="shared" si="49"/>
        <v/>
      </c>
      <c r="Z300" s="215"/>
      <c r="AA300" s="95" t="str">
        <f t="shared" si="50"/>
        <v/>
      </c>
      <c r="AB300" s="208"/>
      <c r="AC300" s="95" t="str">
        <f t="shared" si="51"/>
        <v/>
      </c>
      <c r="AD300" s="208"/>
      <c r="AE300" s="95" t="str">
        <f t="shared" si="52"/>
        <v/>
      </c>
      <c r="AF300" s="208"/>
      <c r="AG300" s="95" t="str">
        <f t="shared" si="53"/>
        <v/>
      </c>
      <c r="AH300" s="208"/>
      <c r="AI300" s="95" t="str">
        <f t="shared" si="54"/>
        <v/>
      </c>
      <c r="AJ300" s="208"/>
      <c r="AK300" s="27" t="str">
        <f t="shared" si="55"/>
        <v/>
      </c>
      <c r="AL300" s="48" t="str">
        <f t="shared" si="56"/>
        <v/>
      </c>
      <c r="AM300" s="48" t="str">
        <f t="shared" si="57"/>
        <v/>
      </c>
      <c r="AN300" s="293"/>
      <c r="AO300" s="293"/>
      <c r="AP300" s="293"/>
      <c r="AQ300" s="293"/>
      <c r="AR300" s="293"/>
      <c r="AS300" s="293"/>
      <c r="AT300" s="293"/>
      <c r="AU300" s="294" t="str">
        <f>IFERROR(VLOOKUP(AT300,'Seguridad Información'!$I$61:$J$65,2,0),"")</f>
        <v/>
      </c>
      <c r="AV300" s="79"/>
      <c r="AW300" s="78" t="str">
        <f t="shared" si="48"/>
        <v/>
      </c>
      <c r="AX300" s="77" t="str">
        <f t="shared" si="58"/>
        <v/>
      </c>
      <c r="AY300" s="21" t="str">
        <f>IFERROR(VLOOKUP((CONCATENATE(AM300,AX300)),Listados!$U$3:$V$11,2,FALSE),"")</f>
        <v/>
      </c>
      <c r="AZ300" s="48">
        <f t="shared" si="59"/>
        <v>100</v>
      </c>
      <c r="BA300" s="356"/>
      <c r="BB300" s="357"/>
      <c r="BC300" s="173">
        <f>+IF(AND(W300="Preventivo",BB295="Fuerte"),2,IF(AND(W300="Preventivo",BB295="Moderado"),1,0))</f>
        <v>0</v>
      </c>
      <c r="BD300" s="64">
        <f>+IF(AND(W300="Detectivo/Correctivo",$BB295="Fuerte"),2,IF(AND(W300="Detectivo/Correctivo",$BB300="Moderado"),1,IF(AND(W300="Preventivo",$BB295="Fuerte"),1,0)))</f>
        <v>0</v>
      </c>
      <c r="BE300" s="173" t="e">
        <f>+N295-BC300</f>
        <v>#N/A</v>
      </c>
      <c r="BF300" s="173" t="e">
        <f>+P295-BD300</f>
        <v>#N/A</v>
      </c>
      <c r="BG300" s="347"/>
      <c r="BH300" s="347"/>
      <c r="BI300" s="347"/>
      <c r="BJ300" s="539"/>
      <c r="BK300" s="539"/>
      <c r="BL300" s="539"/>
      <c r="BM300" s="539"/>
    </row>
    <row r="301" spans="1:65" ht="65.099999999999994" customHeight="1" thickBot="1">
      <c r="A301" s="328">
        <v>50</v>
      </c>
      <c r="B301" s="519"/>
      <c r="C301" s="371" t="str">
        <f>IFERROR(VLOOKUP(B301,Listados!B$3:C$20,2,FALSE),"")</f>
        <v/>
      </c>
      <c r="D301" s="107"/>
      <c r="E301" s="107"/>
      <c r="F301" s="432"/>
      <c r="G301" s="372"/>
      <c r="H301" s="100"/>
      <c r="I301" s="237"/>
      <c r="J301" s="100"/>
      <c r="K301" s="103"/>
      <c r="L301" s="17"/>
      <c r="M301" s="369"/>
      <c r="N301" s="348" t="e">
        <f>+VLOOKUP(M301,Listados!$K$8:$L$12,2,0)</f>
        <v>#N/A</v>
      </c>
      <c r="O301" s="351"/>
      <c r="P301" s="348" t="e">
        <f>+VLOOKUP(O301,Listados!$K$13:$L$17,2,0)</f>
        <v>#N/A</v>
      </c>
      <c r="Q301" s="347" t="str">
        <f>IF(AND(M301&lt;&gt;"",O301&lt;&gt;""),VLOOKUP(M301&amp;O301,Listados!$M$3:$N$27,2,FALSE),"")</f>
        <v/>
      </c>
      <c r="R301" s="345" t="e">
        <f>+VLOOKUP(Q301,Listados!$P$3:$Q$6,2,FALSE)</f>
        <v>#N/A</v>
      </c>
      <c r="S301" s="208"/>
      <c r="T301" s="94"/>
      <c r="U301" s="47" t="s">
        <v>627</v>
      </c>
      <c r="V301" s="215"/>
      <c r="W301" s="215"/>
      <c r="X301" s="215"/>
      <c r="Y301" s="95" t="str">
        <f t="shared" si="49"/>
        <v/>
      </c>
      <c r="Z301" s="215"/>
      <c r="AA301" s="95" t="str">
        <f t="shared" si="50"/>
        <v/>
      </c>
      <c r="AB301" s="208"/>
      <c r="AC301" s="95" t="str">
        <f t="shared" si="51"/>
        <v/>
      </c>
      <c r="AD301" s="208"/>
      <c r="AE301" s="95" t="str">
        <f t="shared" si="52"/>
        <v/>
      </c>
      <c r="AF301" s="208"/>
      <c r="AG301" s="95" t="str">
        <f t="shared" si="53"/>
        <v/>
      </c>
      <c r="AH301" s="208"/>
      <c r="AI301" s="95" t="str">
        <f t="shared" si="54"/>
        <v/>
      </c>
      <c r="AJ301" s="208"/>
      <c r="AK301" s="27" t="str">
        <f t="shared" si="55"/>
        <v/>
      </c>
      <c r="AL301" s="48" t="str">
        <f t="shared" si="56"/>
        <v/>
      </c>
      <c r="AM301" s="48" t="str">
        <f t="shared" si="57"/>
        <v/>
      </c>
      <c r="AN301" s="293"/>
      <c r="AO301" s="293"/>
      <c r="AP301" s="293"/>
      <c r="AQ301" s="293"/>
      <c r="AR301" s="293"/>
      <c r="AS301" s="293"/>
      <c r="AT301" s="293"/>
      <c r="AU301" s="294" t="str">
        <f>IFERROR(VLOOKUP(AT301,'Seguridad Información'!$I$61:$J$65,2,0),"")</f>
        <v/>
      </c>
      <c r="AV301" s="79"/>
      <c r="AW301" s="78" t="str">
        <f t="shared" si="48"/>
        <v/>
      </c>
      <c r="AX301" s="77" t="str">
        <f t="shared" si="58"/>
        <v/>
      </c>
      <c r="AY301" s="21" t="str">
        <f>IFERROR(VLOOKUP((CONCATENATE(AM301,AX301)),Listados!$U$3:$V$11,2,FALSE),"")</f>
        <v/>
      </c>
      <c r="AZ301" s="48">
        <f t="shared" si="59"/>
        <v>100</v>
      </c>
      <c r="BA301" s="354">
        <f>AVERAGE(AZ301:AZ306)</f>
        <v>100</v>
      </c>
      <c r="BB301" s="356" t="str">
        <f>IF(BA301&lt;=50, "Débil", IF(BA301&lt;=99,"Moderado","Fuerte"))</f>
        <v>Fuerte</v>
      </c>
      <c r="BC301" s="173">
        <f>+IF(AND(W301="Preventivo",BB301="Fuerte"),2,IF(AND(W301="Preventivo",BB301="Moderado"),1,0))</f>
        <v>0</v>
      </c>
      <c r="BD301" s="64">
        <f>+IF(AND(W301="Detectivo/Correctivo",$BB301="Fuerte"),2,IF(AND(W301="Detectivo/Correctivo",$BB301="Moderado"),1,IF(AND(W301="Preventivo",$BB301="Fuerte"),1,0)))</f>
        <v>0</v>
      </c>
      <c r="BE301" s="173" t="e">
        <f>+N301-BC301</f>
        <v>#N/A</v>
      </c>
      <c r="BF301" s="173" t="e">
        <f>+P301-BD301</f>
        <v>#N/A</v>
      </c>
      <c r="BG301" s="345" t="e">
        <f>+VLOOKUP(MIN(BE301,BE302,BE303,BE304,BE305,BE306),Listados!$J$18:$K$24,2,TRUE)</f>
        <v>#N/A</v>
      </c>
      <c r="BH301" s="345" t="e">
        <f>+VLOOKUP(MIN(BF301,BF302,BF303,BF304,BF305,BF306),Listados!$J$27:$K$32,2,TRUE)</f>
        <v>#N/A</v>
      </c>
      <c r="BI301" s="345" t="e">
        <f>IF(AND(BG301&lt;&gt;"",BH301&lt;&gt;""),VLOOKUP(BG301&amp;BH301,Listados!$M$3:$N$27,2,FALSE),"")</f>
        <v>#N/A</v>
      </c>
      <c r="BJ301" s="537" t="e">
        <f>+IF($R301="Asumir el riesgo","NA","")</f>
        <v>#N/A</v>
      </c>
      <c r="BK301" s="537" t="e">
        <f>+IF($R301="Asumir el riesgo","NA","")</f>
        <v>#N/A</v>
      </c>
      <c r="BL301" s="537" t="e">
        <f>+IF($R301="Asumir el riesgo","NA","")</f>
        <v>#N/A</v>
      </c>
      <c r="BM301" s="537" t="e">
        <f>+IF($R301="Asumir el riesgo","NA","")</f>
        <v>#N/A</v>
      </c>
    </row>
    <row r="302" spans="1:65" ht="65.099999999999994" customHeight="1" thickBot="1">
      <c r="A302" s="329"/>
      <c r="B302" s="514"/>
      <c r="C302" s="364"/>
      <c r="D302" s="233"/>
      <c r="E302" s="233"/>
      <c r="F302" s="433"/>
      <c r="G302" s="367"/>
      <c r="H302" s="100"/>
      <c r="I302" s="237"/>
      <c r="J302" s="100"/>
      <c r="K302" s="236"/>
      <c r="L302" s="222"/>
      <c r="M302" s="370"/>
      <c r="N302" s="349"/>
      <c r="O302" s="352"/>
      <c r="P302" s="349"/>
      <c r="Q302" s="353"/>
      <c r="R302" s="346"/>
      <c r="S302" s="208"/>
      <c r="T302" s="195"/>
      <c r="U302" s="47" t="s">
        <v>627</v>
      </c>
      <c r="V302" s="215"/>
      <c r="W302" s="215"/>
      <c r="X302" s="215"/>
      <c r="Y302" s="95" t="str">
        <f t="shared" si="49"/>
        <v/>
      </c>
      <c r="Z302" s="215"/>
      <c r="AA302" s="95" t="str">
        <f t="shared" si="50"/>
        <v/>
      </c>
      <c r="AB302" s="208"/>
      <c r="AC302" s="95" t="str">
        <f t="shared" si="51"/>
        <v/>
      </c>
      <c r="AD302" s="208"/>
      <c r="AE302" s="95" t="str">
        <f t="shared" si="52"/>
        <v/>
      </c>
      <c r="AF302" s="208"/>
      <c r="AG302" s="95" t="str">
        <f t="shared" si="53"/>
        <v/>
      </c>
      <c r="AH302" s="208"/>
      <c r="AI302" s="95" t="str">
        <f t="shared" si="54"/>
        <v/>
      </c>
      <c r="AJ302" s="208"/>
      <c r="AK302" s="27" t="str">
        <f t="shared" si="55"/>
        <v/>
      </c>
      <c r="AL302" s="48" t="str">
        <f t="shared" si="56"/>
        <v/>
      </c>
      <c r="AM302" s="48" t="str">
        <f t="shared" si="57"/>
        <v/>
      </c>
      <c r="AN302" s="293"/>
      <c r="AO302" s="293"/>
      <c r="AP302" s="293"/>
      <c r="AQ302" s="293"/>
      <c r="AR302" s="293"/>
      <c r="AS302" s="293"/>
      <c r="AT302" s="293"/>
      <c r="AU302" s="294" t="str">
        <f>IFERROR(VLOOKUP(AT302,'Seguridad Información'!$I$61:$J$65,2,0),"")</f>
        <v/>
      </c>
      <c r="AV302" s="79"/>
      <c r="AW302" s="78" t="str">
        <f t="shared" si="48"/>
        <v/>
      </c>
      <c r="AX302" s="77" t="str">
        <f t="shared" si="58"/>
        <v/>
      </c>
      <c r="AY302" s="21" t="str">
        <f>IFERROR(VLOOKUP((CONCATENATE(AM302,AX302)),Listados!$U$3:$V$11,2,FALSE),"")</f>
        <v/>
      </c>
      <c r="AZ302" s="48">
        <f t="shared" si="59"/>
        <v>100</v>
      </c>
      <c r="BA302" s="355"/>
      <c r="BB302" s="357"/>
      <c r="BC302" s="173">
        <f>+IF(AND(W302="Preventivo",BB301="Fuerte"),2,IF(AND(W302="Preventivo",BB301="Moderado"),1,0))</f>
        <v>0</v>
      </c>
      <c r="BD302" s="64">
        <f>+IF(AND(W302="Detectivo/Correctivo",$BB301="Fuerte"),2,IF(AND(W302="Detectivo/Correctivo",$BB302="Moderado"),1,IF(AND(W302="Preventivo",$BB301="Fuerte"),1,0)))</f>
        <v>0</v>
      </c>
      <c r="BE302" s="173" t="e">
        <f>+N301-BC302</f>
        <v>#N/A</v>
      </c>
      <c r="BF302" s="173" t="e">
        <f>+P301-BD302</f>
        <v>#N/A</v>
      </c>
      <c r="BG302" s="346"/>
      <c r="BH302" s="346"/>
      <c r="BI302" s="346"/>
      <c r="BJ302" s="538"/>
      <c r="BK302" s="538"/>
      <c r="BL302" s="538"/>
      <c r="BM302" s="538"/>
    </row>
    <row r="303" spans="1:65" ht="65.099999999999994" customHeight="1" thickBot="1">
      <c r="A303" s="329"/>
      <c r="B303" s="514"/>
      <c r="C303" s="364"/>
      <c r="D303" s="233"/>
      <c r="E303" s="233"/>
      <c r="F303" s="433"/>
      <c r="G303" s="367"/>
      <c r="H303" s="100"/>
      <c r="I303" s="237"/>
      <c r="J303" s="100"/>
      <c r="K303" s="236"/>
      <c r="L303" s="222"/>
      <c r="M303" s="370"/>
      <c r="N303" s="349"/>
      <c r="O303" s="352"/>
      <c r="P303" s="349"/>
      <c r="Q303" s="353"/>
      <c r="R303" s="346"/>
      <c r="S303" s="208"/>
      <c r="T303" s="96"/>
      <c r="U303" s="47" t="s">
        <v>627</v>
      </c>
      <c r="V303" s="215"/>
      <c r="W303" s="215"/>
      <c r="X303" s="215"/>
      <c r="Y303" s="95" t="str">
        <f t="shared" si="49"/>
        <v/>
      </c>
      <c r="Z303" s="215"/>
      <c r="AA303" s="95" t="str">
        <f t="shared" si="50"/>
        <v/>
      </c>
      <c r="AB303" s="208"/>
      <c r="AC303" s="95" t="str">
        <f t="shared" si="51"/>
        <v/>
      </c>
      <c r="AD303" s="208"/>
      <c r="AE303" s="95" t="str">
        <f t="shared" si="52"/>
        <v/>
      </c>
      <c r="AF303" s="208"/>
      <c r="AG303" s="95" t="str">
        <f t="shared" si="53"/>
        <v/>
      </c>
      <c r="AH303" s="208"/>
      <c r="AI303" s="95" t="str">
        <f t="shared" si="54"/>
        <v/>
      </c>
      <c r="AJ303" s="208"/>
      <c r="AK303" s="27" t="str">
        <f t="shared" si="55"/>
        <v/>
      </c>
      <c r="AL303" s="48" t="str">
        <f t="shared" si="56"/>
        <v/>
      </c>
      <c r="AM303" s="48" t="str">
        <f t="shared" si="57"/>
        <v/>
      </c>
      <c r="AN303" s="293"/>
      <c r="AO303" s="293"/>
      <c r="AP303" s="293"/>
      <c r="AQ303" s="293"/>
      <c r="AR303" s="293"/>
      <c r="AS303" s="293"/>
      <c r="AT303" s="293"/>
      <c r="AU303" s="294" t="str">
        <f>IFERROR(VLOOKUP(AT303,'Seguridad Información'!$I$61:$J$65,2,0),"")</f>
        <v/>
      </c>
      <c r="AV303" s="79"/>
      <c r="AW303" s="78" t="str">
        <f t="shared" si="48"/>
        <v/>
      </c>
      <c r="AX303" s="77" t="str">
        <f t="shared" si="58"/>
        <v/>
      </c>
      <c r="AY303" s="21" t="str">
        <f>IFERROR(VLOOKUP((CONCATENATE(AM303,AX303)),Listados!$U$3:$V$11,2,FALSE),"")</f>
        <v/>
      </c>
      <c r="AZ303" s="48">
        <f t="shared" si="59"/>
        <v>100</v>
      </c>
      <c r="BA303" s="355"/>
      <c r="BB303" s="357"/>
      <c r="BC303" s="173">
        <f>+IF(AND(W303="Preventivo",BB301="Fuerte"),2,IF(AND(W303="Preventivo",BB301="Moderado"),1,0))</f>
        <v>0</v>
      </c>
      <c r="BD303" s="64">
        <f>+IF(AND(W303="Detectivo/Correctivo",$BB301="Fuerte"),2,IF(AND(W303="Detectivo/Correctivo",$BB303="Moderado"),1,IF(AND(W303="Preventivo",$BB301="Fuerte"),1,0)))</f>
        <v>0</v>
      </c>
      <c r="BE303" s="173" t="e">
        <f>+N301-BC303</f>
        <v>#N/A</v>
      </c>
      <c r="BF303" s="173" t="e">
        <f>+P301-BD303</f>
        <v>#N/A</v>
      </c>
      <c r="BG303" s="346"/>
      <c r="BH303" s="346"/>
      <c r="BI303" s="346"/>
      <c r="BJ303" s="538"/>
      <c r="BK303" s="538"/>
      <c r="BL303" s="538"/>
      <c r="BM303" s="538"/>
    </row>
    <row r="304" spans="1:65" ht="65.099999999999994" customHeight="1" thickBot="1">
      <c r="A304" s="329"/>
      <c r="B304" s="514"/>
      <c r="C304" s="364"/>
      <c r="D304" s="233"/>
      <c r="E304" s="233"/>
      <c r="F304" s="433"/>
      <c r="G304" s="367"/>
      <c r="H304" s="100"/>
      <c r="I304" s="237"/>
      <c r="J304" s="100"/>
      <c r="K304" s="236"/>
      <c r="L304" s="222"/>
      <c r="M304" s="370"/>
      <c r="N304" s="349"/>
      <c r="O304" s="352"/>
      <c r="P304" s="349"/>
      <c r="Q304" s="353"/>
      <c r="R304" s="346"/>
      <c r="S304" s="208"/>
      <c r="T304" s="97"/>
      <c r="U304" s="47" t="s">
        <v>627</v>
      </c>
      <c r="V304" s="215"/>
      <c r="W304" s="215"/>
      <c r="X304" s="215"/>
      <c r="Y304" s="95" t="str">
        <f t="shared" si="49"/>
        <v/>
      </c>
      <c r="Z304" s="215"/>
      <c r="AA304" s="95" t="str">
        <f t="shared" si="50"/>
        <v/>
      </c>
      <c r="AB304" s="208"/>
      <c r="AC304" s="95" t="str">
        <f t="shared" si="51"/>
        <v/>
      </c>
      <c r="AD304" s="208"/>
      <c r="AE304" s="95" t="str">
        <f t="shared" si="52"/>
        <v/>
      </c>
      <c r="AF304" s="208"/>
      <c r="AG304" s="95" t="str">
        <f t="shared" si="53"/>
        <v/>
      </c>
      <c r="AH304" s="208"/>
      <c r="AI304" s="95" t="str">
        <f t="shared" si="54"/>
        <v/>
      </c>
      <c r="AJ304" s="208"/>
      <c r="AK304" s="27" t="str">
        <f t="shared" si="55"/>
        <v/>
      </c>
      <c r="AL304" s="48" t="str">
        <f t="shared" si="56"/>
        <v/>
      </c>
      <c r="AM304" s="48" t="str">
        <f t="shared" si="57"/>
        <v/>
      </c>
      <c r="AN304" s="293"/>
      <c r="AO304" s="293"/>
      <c r="AP304" s="293"/>
      <c r="AQ304" s="293"/>
      <c r="AR304" s="293"/>
      <c r="AS304" s="293"/>
      <c r="AT304" s="293"/>
      <c r="AU304" s="294" t="str">
        <f>IFERROR(VLOOKUP(AT304,'Seguridad Información'!$I$61:$J$65,2,0),"")</f>
        <v/>
      </c>
      <c r="AV304" s="79"/>
      <c r="AW304" s="78" t="str">
        <f t="shared" si="48"/>
        <v/>
      </c>
      <c r="AX304" s="77" t="str">
        <f t="shared" si="58"/>
        <v/>
      </c>
      <c r="AY304" s="21" t="str">
        <f>IFERROR(VLOOKUP((CONCATENATE(AM304,AX304)),Listados!$U$3:$V$11,2,FALSE),"")</f>
        <v/>
      </c>
      <c r="AZ304" s="48">
        <f t="shared" si="59"/>
        <v>100</v>
      </c>
      <c r="BA304" s="355"/>
      <c r="BB304" s="357"/>
      <c r="BC304" s="173">
        <f>+IF(AND(W304="Preventivo",BB301="Fuerte"),2,IF(AND(W304="Preventivo",BB301="Moderado"),1,0))</f>
        <v>0</v>
      </c>
      <c r="BD304" s="64">
        <f>+IF(AND(W304="Detectivo/Correctivo",$BB301="Fuerte"),2,IF(AND(W304="Detectivo/Correctivo",$BB304="Moderado"),1,IF(AND(W304="Preventivo",$BB301="Fuerte"),1,0)))</f>
        <v>0</v>
      </c>
      <c r="BE304" s="173" t="e">
        <f>+N301-BC304</f>
        <v>#N/A</v>
      </c>
      <c r="BF304" s="173" t="e">
        <f>+P301-BD304</f>
        <v>#N/A</v>
      </c>
      <c r="BG304" s="346"/>
      <c r="BH304" s="346"/>
      <c r="BI304" s="346"/>
      <c r="BJ304" s="538"/>
      <c r="BK304" s="538"/>
      <c r="BL304" s="538"/>
      <c r="BM304" s="538"/>
    </row>
    <row r="305" spans="1:65" ht="65.099999999999994" customHeight="1" thickBot="1">
      <c r="A305" s="329"/>
      <c r="B305" s="514"/>
      <c r="C305" s="364"/>
      <c r="D305" s="109"/>
      <c r="E305" s="109"/>
      <c r="F305" s="433"/>
      <c r="G305" s="367"/>
      <c r="H305" s="100"/>
      <c r="I305" s="237"/>
      <c r="J305" s="100"/>
      <c r="K305" s="29"/>
      <c r="L305" s="222"/>
      <c r="M305" s="370"/>
      <c r="N305" s="349"/>
      <c r="O305" s="352"/>
      <c r="P305" s="349"/>
      <c r="Q305" s="353"/>
      <c r="R305" s="346"/>
      <c r="S305" s="208"/>
      <c r="T305" s="195"/>
      <c r="U305" s="47" t="s">
        <v>627</v>
      </c>
      <c r="V305" s="215"/>
      <c r="W305" s="215"/>
      <c r="X305" s="215"/>
      <c r="Y305" s="95" t="str">
        <f t="shared" si="49"/>
        <v/>
      </c>
      <c r="Z305" s="215"/>
      <c r="AA305" s="95" t="str">
        <f t="shared" si="50"/>
        <v/>
      </c>
      <c r="AB305" s="208"/>
      <c r="AC305" s="95" t="str">
        <f t="shared" si="51"/>
        <v/>
      </c>
      <c r="AD305" s="208"/>
      <c r="AE305" s="95" t="str">
        <f t="shared" si="52"/>
        <v/>
      </c>
      <c r="AF305" s="208"/>
      <c r="AG305" s="95" t="str">
        <f t="shared" si="53"/>
        <v/>
      </c>
      <c r="AH305" s="208"/>
      <c r="AI305" s="95" t="str">
        <f t="shared" si="54"/>
        <v/>
      </c>
      <c r="AJ305" s="208"/>
      <c r="AK305" s="27" t="str">
        <f t="shared" si="55"/>
        <v/>
      </c>
      <c r="AL305" s="48" t="str">
        <f t="shared" si="56"/>
        <v/>
      </c>
      <c r="AM305" s="48" t="str">
        <f t="shared" si="57"/>
        <v/>
      </c>
      <c r="AN305" s="293"/>
      <c r="AO305" s="293"/>
      <c r="AP305" s="293"/>
      <c r="AQ305" s="293"/>
      <c r="AR305" s="293"/>
      <c r="AS305" s="293"/>
      <c r="AT305" s="293"/>
      <c r="AU305" s="294" t="str">
        <f>IFERROR(VLOOKUP(AT305,'Seguridad Información'!$I$61:$J$65,2,0),"")</f>
        <v/>
      </c>
      <c r="AV305" s="79"/>
      <c r="AW305" s="78" t="str">
        <f t="shared" si="48"/>
        <v/>
      </c>
      <c r="AX305" s="77" t="str">
        <f t="shared" si="58"/>
        <v/>
      </c>
      <c r="AY305" s="21" t="str">
        <f>IFERROR(VLOOKUP((CONCATENATE(AM305,AX305)),Listados!$U$3:$V$11,2,FALSE),"")</f>
        <v/>
      </c>
      <c r="AZ305" s="48">
        <f t="shared" si="59"/>
        <v>100</v>
      </c>
      <c r="BA305" s="355"/>
      <c r="BB305" s="357"/>
      <c r="BC305" s="173">
        <f>+IF(AND(W305="Preventivo",BB301="Fuerte"),2,IF(AND(W305="Preventivo",BB301="Moderado"),1,0))</f>
        <v>0</v>
      </c>
      <c r="BD305" s="64">
        <f>+IF(AND(W305="Detectivo/Correctivo",$BB301="Fuerte"),2,IF(AND(W305="Detectivo/Correctivo",$BB305="Moderado"),1,IF(AND(W305="Preventivo",$BB301="Fuerte"),1,0)))</f>
        <v>0</v>
      </c>
      <c r="BE305" s="173" t="e">
        <f>+N301-BC305</f>
        <v>#N/A</v>
      </c>
      <c r="BF305" s="173" t="e">
        <f>+P301-BD305</f>
        <v>#N/A</v>
      </c>
      <c r="BG305" s="346"/>
      <c r="BH305" s="346"/>
      <c r="BI305" s="346"/>
      <c r="BJ305" s="538"/>
      <c r="BK305" s="538"/>
      <c r="BL305" s="538"/>
      <c r="BM305" s="538"/>
    </row>
    <row r="306" spans="1:65" ht="65.099999999999994" customHeight="1" thickBot="1">
      <c r="A306" s="330"/>
      <c r="B306" s="514"/>
      <c r="C306" s="365"/>
      <c r="D306" s="106"/>
      <c r="E306" s="106"/>
      <c r="F306" s="434"/>
      <c r="G306" s="368"/>
      <c r="H306" s="100"/>
      <c r="I306" s="237"/>
      <c r="J306" s="100"/>
      <c r="K306" s="31"/>
      <c r="L306" s="222"/>
      <c r="M306" s="370"/>
      <c r="N306" s="350"/>
      <c r="O306" s="352"/>
      <c r="P306" s="350"/>
      <c r="Q306" s="353"/>
      <c r="R306" s="347"/>
      <c r="S306" s="208"/>
      <c r="T306" s="98"/>
      <c r="U306" s="47" t="s">
        <v>627</v>
      </c>
      <c r="V306" s="215"/>
      <c r="W306" s="215"/>
      <c r="X306" s="215"/>
      <c r="Y306" s="95" t="str">
        <f t="shared" si="49"/>
        <v/>
      </c>
      <c r="Z306" s="215"/>
      <c r="AA306" s="95" t="str">
        <f t="shared" si="50"/>
        <v/>
      </c>
      <c r="AB306" s="208"/>
      <c r="AC306" s="95" t="str">
        <f t="shared" si="51"/>
        <v/>
      </c>
      <c r="AD306" s="208"/>
      <c r="AE306" s="95" t="str">
        <f t="shared" si="52"/>
        <v/>
      </c>
      <c r="AF306" s="208"/>
      <c r="AG306" s="95" t="str">
        <f t="shared" si="53"/>
        <v/>
      </c>
      <c r="AH306" s="208"/>
      <c r="AI306" s="95" t="str">
        <f t="shared" si="54"/>
        <v/>
      </c>
      <c r="AJ306" s="208"/>
      <c r="AK306" s="27" t="str">
        <f t="shared" si="55"/>
        <v/>
      </c>
      <c r="AL306" s="48" t="str">
        <f t="shared" si="56"/>
        <v/>
      </c>
      <c r="AM306" s="48" t="str">
        <f t="shared" si="57"/>
        <v/>
      </c>
      <c r="AN306" s="293"/>
      <c r="AO306" s="293"/>
      <c r="AP306" s="293"/>
      <c r="AQ306" s="293"/>
      <c r="AR306" s="293"/>
      <c r="AS306" s="293"/>
      <c r="AT306" s="293"/>
      <c r="AU306" s="294" t="str">
        <f>IFERROR(VLOOKUP(AT306,'Seguridad Información'!$I$61:$J$65,2,0),"")</f>
        <v/>
      </c>
      <c r="AV306" s="79"/>
      <c r="AW306" s="78" t="str">
        <f t="shared" si="48"/>
        <v/>
      </c>
      <c r="AX306" s="77" t="str">
        <f t="shared" si="58"/>
        <v/>
      </c>
      <c r="AY306" s="21" t="str">
        <f>IFERROR(VLOOKUP((CONCATENATE(AM306,AX306)),Listados!$U$3:$V$11,2,FALSE),"")</f>
        <v/>
      </c>
      <c r="AZ306" s="48">
        <f t="shared" si="59"/>
        <v>100</v>
      </c>
      <c r="BA306" s="356"/>
      <c r="BB306" s="357"/>
      <c r="BC306" s="173">
        <f>+IF(AND(W306="Preventivo",BB301="Fuerte"),2,IF(AND(W306="Preventivo",BB301="Moderado"),1,0))</f>
        <v>0</v>
      </c>
      <c r="BD306" s="64">
        <f>+IF(AND(W306="Detectivo/Correctivo",$BB301="Fuerte"),2,IF(AND(W306="Detectivo/Correctivo",$BB306="Moderado"),1,IF(AND(W306="Preventivo",$BB301="Fuerte"),1,0)))</f>
        <v>0</v>
      </c>
      <c r="BE306" s="173" t="e">
        <f>+N301-BC306</f>
        <v>#N/A</v>
      </c>
      <c r="BF306" s="173" t="e">
        <f>+P301-BD306</f>
        <v>#N/A</v>
      </c>
      <c r="BG306" s="347"/>
      <c r="BH306" s="347"/>
      <c r="BI306" s="347"/>
      <c r="BJ306" s="539"/>
      <c r="BK306" s="539"/>
      <c r="BL306" s="539"/>
      <c r="BM306" s="539"/>
    </row>
    <row r="307" spans="1:65" ht="65.099999999999994" customHeight="1" thickBot="1">
      <c r="A307" s="328">
        <v>51</v>
      </c>
      <c r="B307" s="519"/>
      <c r="C307" s="371" t="str">
        <f>IFERROR(VLOOKUP(B307,Listados!B$3:C$20,2,FALSE),"")</f>
        <v/>
      </c>
      <c r="D307" s="107"/>
      <c r="E307" s="107"/>
      <c r="F307" s="432"/>
      <c r="G307" s="372"/>
      <c r="H307" s="100"/>
      <c r="I307" s="237"/>
      <c r="J307" s="100"/>
      <c r="K307" s="103"/>
      <c r="L307" s="17"/>
      <c r="M307" s="369"/>
      <c r="N307" s="348" t="e">
        <f>+VLOOKUP(M307,Listados!$K$8:$L$12,2,0)</f>
        <v>#N/A</v>
      </c>
      <c r="O307" s="351"/>
      <c r="P307" s="348" t="e">
        <f>+VLOOKUP(O307,Listados!$K$13:$L$17,2,0)</f>
        <v>#N/A</v>
      </c>
      <c r="Q307" s="347" t="str">
        <f>IF(AND(M307&lt;&gt;"",O307&lt;&gt;""),VLOOKUP(M307&amp;O307,Listados!$M$3:$N$27,2,FALSE),"")</f>
        <v/>
      </c>
      <c r="R307" s="345" t="e">
        <f>+VLOOKUP(Q307,Listados!$P$3:$Q$6,2,FALSE)</f>
        <v>#N/A</v>
      </c>
      <c r="S307" s="208"/>
      <c r="T307" s="94"/>
      <c r="U307" s="47" t="s">
        <v>627</v>
      </c>
      <c r="V307" s="215"/>
      <c r="W307" s="215"/>
      <c r="X307" s="215"/>
      <c r="Y307" s="95" t="str">
        <f t="shared" si="49"/>
        <v/>
      </c>
      <c r="Z307" s="215"/>
      <c r="AA307" s="95" t="str">
        <f t="shared" si="50"/>
        <v/>
      </c>
      <c r="AB307" s="208"/>
      <c r="AC307" s="95" t="str">
        <f t="shared" si="51"/>
        <v/>
      </c>
      <c r="AD307" s="208"/>
      <c r="AE307" s="95" t="str">
        <f t="shared" si="52"/>
        <v/>
      </c>
      <c r="AF307" s="208"/>
      <c r="AG307" s="95" t="str">
        <f t="shared" si="53"/>
        <v/>
      </c>
      <c r="AH307" s="208"/>
      <c r="AI307" s="95" t="str">
        <f t="shared" si="54"/>
        <v/>
      </c>
      <c r="AJ307" s="208"/>
      <c r="AK307" s="27" t="str">
        <f t="shared" si="55"/>
        <v/>
      </c>
      <c r="AL307" s="48" t="str">
        <f t="shared" si="56"/>
        <v/>
      </c>
      <c r="AM307" s="48" t="str">
        <f t="shared" si="57"/>
        <v/>
      </c>
      <c r="AN307" s="293"/>
      <c r="AO307" s="293"/>
      <c r="AP307" s="293"/>
      <c r="AQ307" s="293"/>
      <c r="AR307" s="293"/>
      <c r="AS307" s="293"/>
      <c r="AT307" s="293"/>
      <c r="AU307" s="294" t="str">
        <f>IFERROR(VLOOKUP(AT307,'Seguridad Información'!$I$61:$J$65,2,0),"")</f>
        <v/>
      </c>
      <c r="AV307" s="79"/>
      <c r="AW307" s="78" t="str">
        <f t="shared" si="48"/>
        <v/>
      </c>
      <c r="AX307" s="77" t="str">
        <f t="shared" si="58"/>
        <v/>
      </c>
      <c r="AY307" s="21" t="str">
        <f>IFERROR(VLOOKUP((CONCATENATE(AM307,AX307)),Listados!$U$3:$V$11,2,FALSE),"")</f>
        <v/>
      </c>
      <c r="AZ307" s="48">
        <f t="shared" si="59"/>
        <v>100</v>
      </c>
      <c r="BA307" s="354">
        <f>AVERAGE(AZ307:AZ312)</f>
        <v>100</v>
      </c>
      <c r="BB307" s="356" t="str">
        <f>IF(BA307&lt;=50, "Débil", IF(BA307&lt;=99,"Moderado","Fuerte"))</f>
        <v>Fuerte</v>
      </c>
      <c r="BC307" s="173">
        <f>+IF(AND(W307="Preventivo",BB307="Fuerte"),2,IF(AND(W307="Preventivo",BB307="Moderado"),1,0))</f>
        <v>0</v>
      </c>
      <c r="BD307" s="64">
        <f>+IF(AND(W307="Detectivo/Correctivo",$BB307="Fuerte"),2,IF(AND(W307="Detectivo/Correctivo",$BB307="Moderado"),1,IF(AND(W307="Preventivo",$BB307="Fuerte"),1,0)))</f>
        <v>0</v>
      </c>
      <c r="BE307" s="173" t="e">
        <f>+N307-BC307</f>
        <v>#N/A</v>
      </c>
      <c r="BF307" s="173" t="e">
        <f>+P307-BD307</f>
        <v>#N/A</v>
      </c>
      <c r="BG307" s="345" t="e">
        <f>+VLOOKUP(MIN(BE307,BE308,BE309,BE310,BE311,BE312),Listados!$J$18:$K$24,2,TRUE)</f>
        <v>#N/A</v>
      </c>
      <c r="BH307" s="345" t="e">
        <f>+VLOOKUP(MIN(BF307,BF308,BF309,BF310,BF311,BF312),Listados!$J$27:$K$32,2,TRUE)</f>
        <v>#N/A</v>
      </c>
      <c r="BI307" s="345" t="e">
        <f>IF(AND(BG307&lt;&gt;"",BH307&lt;&gt;""),VLOOKUP(BG307&amp;BH307,Listados!$M$3:$N$27,2,FALSE),"")</f>
        <v>#N/A</v>
      </c>
      <c r="BJ307" s="537" t="e">
        <f>+IF($R307="Asumir el riesgo","NA","")</f>
        <v>#N/A</v>
      </c>
      <c r="BK307" s="537" t="e">
        <f>+IF($R307="Asumir el riesgo","NA","")</f>
        <v>#N/A</v>
      </c>
      <c r="BL307" s="537" t="e">
        <f>+IF($R307="Asumir el riesgo","NA","")</f>
        <v>#N/A</v>
      </c>
      <c r="BM307" s="537" t="e">
        <f>+IF($R307="Asumir el riesgo","NA","")</f>
        <v>#N/A</v>
      </c>
    </row>
    <row r="308" spans="1:65" ht="65.099999999999994" customHeight="1" thickBot="1">
      <c r="A308" s="329"/>
      <c r="B308" s="514"/>
      <c r="C308" s="364"/>
      <c r="D308" s="233"/>
      <c r="E308" s="233"/>
      <c r="F308" s="433"/>
      <c r="G308" s="367"/>
      <c r="H308" s="100"/>
      <c r="I308" s="237"/>
      <c r="J308" s="100"/>
      <c r="K308" s="236"/>
      <c r="L308" s="222"/>
      <c r="M308" s="370"/>
      <c r="N308" s="349"/>
      <c r="O308" s="352"/>
      <c r="P308" s="349"/>
      <c r="Q308" s="353"/>
      <c r="R308" s="346"/>
      <c r="S308" s="208"/>
      <c r="T308" s="195"/>
      <c r="U308" s="47" t="s">
        <v>627</v>
      </c>
      <c r="V308" s="215"/>
      <c r="W308" s="215"/>
      <c r="X308" s="215"/>
      <c r="Y308" s="95" t="str">
        <f t="shared" si="49"/>
        <v/>
      </c>
      <c r="Z308" s="215"/>
      <c r="AA308" s="95" t="str">
        <f t="shared" si="50"/>
        <v/>
      </c>
      <c r="AB308" s="208"/>
      <c r="AC308" s="95" t="str">
        <f t="shared" si="51"/>
        <v/>
      </c>
      <c r="AD308" s="208"/>
      <c r="AE308" s="95" t="str">
        <f t="shared" si="52"/>
        <v/>
      </c>
      <c r="AF308" s="208"/>
      <c r="AG308" s="95" t="str">
        <f t="shared" si="53"/>
        <v/>
      </c>
      <c r="AH308" s="208"/>
      <c r="AI308" s="95" t="str">
        <f t="shared" si="54"/>
        <v/>
      </c>
      <c r="AJ308" s="208"/>
      <c r="AK308" s="27" t="str">
        <f t="shared" si="55"/>
        <v/>
      </c>
      <c r="AL308" s="48" t="str">
        <f t="shared" si="56"/>
        <v/>
      </c>
      <c r="AM308" s="48" t="str">
        <f t="shared" si="57"/>
        <v/>
      </c>
      <c r="AN308" s="293"/>
      <c r="AO308" s="293"/>
      <c r="AP308" s="293"/>
      <c r="AQ308" s="293"/>
      <c r="AR308" s="293"/>
      <c r="AS308" s="293"/>
      <c r="AT308" s="293"/>
      <c r="AU308" s="294" t="str">
        <f>IFERROR(VLOOKUP(AT308,'Seguridad Información'!$I$61:$J$65,2,0),"")</f>
        <v/>
      </c>
      <c r="AV308" s="79"/>
      <c r="AW308" s="78" t="str">
        <f t="shared" si="48"/>
        <v/>
      </c>
      <c r="AX308" s="77" t="str">
        <f t="shared" si="58"/>
        <v/>
      </c>
      <c r="AY308" s="21" t="str">
        <f>IFERROR(VLOOKUP((CONCATENATE(AM308,AX308)),Listados!$U$3:$V$11,2,FALSE),"")</f>
        <v/>
      </c>
      <c r="AZ308" s="48">
        <f t="shared" si="59"/>
        <v>100</v>
      </c>
      <c r="BA308" s="355"/>
      <c r="BB308" s="357"/>
      <c r="BC308" s="173">
        <f>+IF(AND(W308="Preventivo",BB307="Fuerte"),2,IF(AND(W308="Preventivo",BB307="Moderado"),1,0))</f>
        <v>0</v>
      </c>
      <c r="BD308" s="64">
        <f>+IF(AND(W308="Detectivo/Correctivo",$BB307="Fuerte"),2,IF(AND(W308="Detectivo/Correctivo",$BB308="Moderado"),1,IF(AND(W308="Preventivo",$BB307="Fuerte"),1,0)))</f>
        <v>0</v>
      </c>
      <c r="BE308" s="173" t="e">
        <f>+N307-BC308</f>
        <v>#N/A</v>
      </c>
      <c r="BF308" s="173" t="e">
        <f>+P307-BD308</f>
        <v>#N/A</v>
      </c>
      <c r="BG308" s="346"/>
      <c r="BH308" s="346"/>
      <c r="BI308" s="346"/>
      <c r="BJ308" s="538"/>
      <c r="BK308" s="538"/>
      <c r="BL308" s="538"/>
      <c r="BM308" s="538"/>
    </row>
    <row r="309" spans="1:65" ht="65.099999999999994" customHeight="1" thickBot="1">
      <c r="A309" s="329"/>
      <c r="B309" s="514"/>
      <c r="C309" s="364"/>
      <c r="D309" s="233"/>
      <c r="E309" s="233"/>
      <c r="F309" s="433"/>
      <c r="G309" s="367"/>
      <c r="H309" s="100"/>
      <c r="I309" s="237"/>
      <c r="J309" s="100"/>
      <c r="K309" s="236"/>
      <c r="L309" s="222"/>
      <c r="M309" s="370"/>
      <c r="N309" s="349"/>
      <c r="O309" s="352"/>
      <c r="P309" s="349"/>
      <c r="Q309" s="353"/>
      <c r="R309" s="346"/>
      <c r="S309" s="208"/>
      <c r="T309" s="96"/>
      <c r="U309" s="47" t="s">
        <v>627</v>
      </c>
      <c r="V309" s="215"/>
      <c r="W309" s="215"/>
      <c r="X309" s="215"/>
      <c r="Y309" s="95" t="str">
        <f t="shared" si="49"/>
        <v/>
      </c>
      <c r="Z309" s="215"/>
      <c r="AA309" s="95" t="str">
        <f t="shared" si="50"/>
        <v/>
      </c>
      <c r="AB309" s="208"/>
      <c r="AC309" s="95" t="str">
        <f t="shared" si="51"/>
        <v/>
      </c>
      <c r="AD309" s="208"/>
      <c r="AE309" s="95" t="str">
        <f t="shared" si="52"/>
        <v/>
      </c>
      <c r="AF309" s="208"/>
      <c r="AG309" s="95" t="str">
        <f t="shared" si="53"/>
        <v/>
      </c>
      <c r="AH309" s="208"/>
      <c r="AI309" s="95" t="str">
        <f t="shared" si="54"/>
        <v/>
      </c>
      <c r="AJ309" s="208"/>
      <c r="AK309" s="27" t="str">
        <f t="shared" si="55"/>
        <v/>
      </c>
      <c r="AL309" s="48" t="str">
        <f t="shared" si="56"/>
        <v/>
      </c>
      <c r="AM309" s="48" t="str">
        <f t="shared" si="57"/>
        <v/>
      </c>
      <c r="AN309" s="293"/>
      <c r="AO309" s="293"/>
      <c r="AP309" s="293"/>
      <c r="AQ309" s="293"/>
      <c r="AR309" s="293"/>
      <c r="AS309" s="293"/>
      <c r="AT309" s="293"/>
      <c r="AU309" s="294" t="str">
        <f>IFERROR(VLOOKUP(AT309,'Seguridad Información'!$I$61:$J$65,2,0),"")</f>
        <v/>
      </c>
      <c r="AV309" s="79"/>
      <c r="AW309" s="78" t="str">
        <f t="shared" si="48"/>
        <v/>
      </c>
      <c r="AX309" s="77" t="str">
        <f t="shared" si="58"/>
        <v/>
      </c>
      <c r="AY309" s="21" t="str">
        <f>IFERROR(VLOOKUP((CONCATENATE(AM309,AX309)),Listados!$U$3:$V$11,2,FALSE),"")</f>
        <v/>
      </c>
      <c r="AZ309" s="48">
        <f t="shared" si="59"/>
        <v>100</v>
      </c>
      <c r="BA309" s="355"/>
      <c r="BB309" s="357"/>
      <c r="BC309" s="173">
        <f>+IF(AND(W309="Preventivo",BB307="Fuerte"),2,IF(AND(W309="Preventivo",BB307="Moderado"),1,0))</f>
        <v>0</v>
      </c>
      <c r="BD309" s="64">
        <f>+IF(AND(W309="Detectivo/Correctivo",$BB307="Fuerte"),2,IF(AND(W309="Detectivo/Correctivo",$BB309="Moderado"),1,IF(AND(W309="Preventivo",$BB307="Fuerte"),1,0)))</f>
        <v>0</v>
      </c>
      <c r="BE309" s="173" t="e">
        <f>+N307-BC309</f>
        <v>#N/A</v>
      </c>
      <c r="BF309" s="173" t="e">
        <f>+P307-BD309</f>
        <v>#N/A</v>
      </c>
      <c r="BG309" s="346"/>
      <c r="BH309" s="346"/>
      <c r="BI309" s="346"/>
      <c r="BJ309" s="538"/>
      <c r="BK309" s="538"/>
      <c r="BL309" s="538"/>
      <c r="BM309" s="538"/>
    </row>
    <row r="310" spans="1:65" ht="65.099999999999994" customHeight="1" thickBot="1">
      <c r="A310" s="329"/>
      <c r="B310" s="514"/>
      <c r="C310" s="364"/>
      <c r="D310" s="233"/>
      <c r="E310" s="233"/>
      <c r="F310" s="433"/>
      <c r="G310" s="367"/>
      <c r="H310" s="100"/>
      <c r="I310" s="237"/>
      <c r="J310" s="100"/>
      <c r="K310" s="236"/>
      <c r="L310" s="222"/>
      <c r="M310" s="370"/>
      <c r="N310" s="349"/>
      <c r="O310" s="352"/>
      <c r="P310" s="349"/>
      <c r="Q310" s="353"/>
      <c r="R310" s="346"/>
      <c r="S310" s="208"/>
      <c r="T310" s="97"/>
      <c r="U310" s="47" t="s">
        <v>627</v>
      </c>
      <c r="V310" s="215"/>
      <c r="W310" s="215"/>
      <c r="X310" s="215"/>
      <c r="Y310" s="95" t="str">
        <f t="shared" si="49"/>
        <v/>
      </c>
      <c r="Z310" s="215"/>
      <c r="AA310" s="95" t="str">
        <f t="shared" si="50"/>
        <v/>
      </c>
      <c r="AB310" s="208"/>
      <c r="AC310" s="95" t="str">
        <f t="shared" si="51"/>
        <v/>
      </c>
      <c r="AD310" s="208"/>
      <c r="AE310" s="95" t="str">
        <f t="shared" si="52"/>
        <v/>
      </c>
      <c r="AF310" s="208"/>
      <c r="AG310" s="95" t="str">
        <f t="shared" si="53"/>
        <v/>
      </c>
      <c r="AH310" s="208"/>
      <c r="AI310" s="95" t="str">
        <f t="shared" si="54"/>
        <v/>
      </c>
      <c r="AJ310" s="208"/>
      <c r="AK310" s="27" t="str">
        <f t="shared" si="55"/>
        <v/>
      </c>
      <c r="AL310" s="48" t="str">
        <f t="shared" si="56"/>
        <v/>
      </c>
      <c r="AM310" s="48" t="str">
        <f t="shared" si="57"/>
        <v/>
      </c>
      <c r="AN310" s="293"/>
      <c r="AO310" s="293"/>
      <c r="AP310" s="293"/>
      <c r="AQ310" s="293"/>
      <c r="AR310" s="293"/>
      <c r="AS310" s="293"/>
      <c r="AT310" s="293"/>
      <c r="AU310" s="294" t="str">
        <f>IFERROR(VLOOKUP(AT310,'Seguridad Información'!$I$61:$J$65,2,0),"")</f>
        <v/>
      </c>
      <c r="AV310" s="79"/>
      <c r="AW310" s="78" t="str">
        <f t="shared" si="48"/>
        <v/>
      </c>
      <c r="AX310" s="77" t="str">
        <f t="shared" si="58"/>
        <v/>
      </c>
      <c r="AY310" s="21" t="str">
        <f>IFERROR(VLOOKUP((CONCATENATE(AM310,AX310)),Listados!$U$3:$V$11,2,FALSE),"")</f>
        <v/>
      </c>
      <c r="AZ310" s="48">
        <f t="shared" si="59"/>
        <v>100</v>
      </c>
      <c r="BA310" s="355"/>
      <c r="BB310" s="357"/>
      <c r="BC310" s="173">
        <f>+IF(AND(W310="Preventivo",BB307="Fuerte"),2,IF(AND(W310="Preventivo",BB307="Moderado"),1,0))</f>
        <v>0</v>
      </c>
      <c r="BD310" s="64">
        <f>+IF(AND(W310="Detectivo/Correctivo",$BB307="Fuerte"),2,IF(AND(W310="Detectivo/Correctivo",$BB310="Moderado"),1,IF(AND(W310="Preventivo",$BB307="Fuerte"),1,0)))</f>
        <v>0</v>
      </c>
      <c r="BE310" s="173" t="e">
        <f>+N307-BC310</f>
        <v>#N/A</v>
      </c>
      <c r="BF310" s="173" t="e">
        <f>+P307-BD310</f>
        <v>#N/A</v>
      </c>
      <c r="BG310" s="346"/>
      <c r="BH310" s="346"/>
      <c r="BI310" s="346"/>
      <c r="BJ310" s="538"/>
      <c r="BK310" s="538"/>
      <c r="BL310" s="538"/>
      <c r="BM310" s="538"/>
    </row>
    <row r="311" spans="1:65" ht="65.099999999999994" customHeight="1" thickBot="1">
      <c r="A311" s="329"/>
      <c r="B311" s="514"/>
      <c r="C311" s="364"/>
      <c r="D311" s="109"/>
      <c r="E311" s="109"/>
      <c r="F311" s="433"/>
      <c r="G311" s="367"/>
      <c r="H311" s="100"/>
      <c r="I311" s="237"/>
      <c r="J311" s="100"/>
      <c r="K311" s="29"/>
      <c r="L311" s="222"/>
      <c r="M311" s="370"/>
      <c r="N311" s="349"/>
      <c r="O311" s="352"/>
      <c r="P311" s="349"/>
      <c r="Q311" s="353"/>
      <c r="R311" s="346"/>
      <c r="S311" s="208"/>
      <c r="T311" s="195"/>
      <c r="U311" s="47" t="s">
        <v>627</v>
      </c>
      <c r="V311" s="215"/>
      <c r="W311" s="215"/>
      <c r="X311" s="215"/>
      <c r="Y311" s="95" t="str">
        <f t="shared" si="49"/>
        <v/>
      </c>
      <c r="Z311" s="215"/>
      <c r="AA311" s="95" t="str">
        <f t="shared" si="50"/>
        <v/>
      </c>
      <c r="AB311" s="208"/>
      <c r="AC311" s="95" t="str">
        <f t="shared" si="51"/>
        <v/>
      </c>
      <c r="AD311" s="208"/>
      <c r="AE311" s="95" t="str">
        <f t="shared" si="52"/>
        <v/>
      </c>
      <c r="AF311" s="208"/>
      <c r="AG311" s="95" t="str">
        <f t="shared" si="53"/>
        <v/>
      </c>
      <c r="AH311" s="208"/>
      <c r="AI311" s="95" t="str">
        <f t="shared" si="54"/>
        <v/>
      </c>
      <c r="AJ311" s="208"/>
      <c r="AK311" s="27" t="str">
        <f t="shared" si="55"/>
        <v/>
      </c>
      <c r="AL311" s="48" t="str">
        <f t="shared" si="56"/>
        <v/>
      </c>
      <c r="AM311" s="48" t="str">
        <f t="shared" si="57"/>
        <v/>
      </c>
      <c r="AN311" s="293"/>
      <c r="AO311" s="293"/>
      <c r="AP311" s="293"/>
      <c r="AQ311" s="293"/>
      <c r="AR311" s="293"/>
      <c r="AS311" s="293"/>
      <c r="AT311" s="293"/>
      <c r="AU311" s="294" t="str">
        <f>IFERROR(VLOOKUP(AT311,'Seguridad Información'!$I$61:$J$65,2,0),"")</f>
        <v/>
      </c>
      <c r="AV311" s="79"/>
      <c r="AW311" s="78" t="str">
        <f t="shared" si="48"/>
        <v/>
      </c>
      <c r="AX311" s="77" t="str">
        <f t="shared" si="58"/>
        <v/>
      </c>
      <c r="AY311" s="21" t="str">
        <f>IFERROR(VLOOKUP((CONCATENATE(AM311,AX311)),Listados!$U$3:$V$11,2,FALSE),"")</f>
        <v/>
      </c>
      <c r="AZ311" s="48">
        <f t="shared" si="59"/>
        <v>100</v>
      </c>
      <c r="BA311" s="355"/>
      <c r="BB311" s="357"/>
      <c r="BC311" s="173">
        <f>+IF(AND(W311="Preventivo",BB307="Fuerte"),2,IF(AND(W311="Preventivo",BB307="Moderado"),1,0))</f>
        <v>0</v>
      </c>
      <c r="BD311" s="64">
        <f>+IF(AND(W311="Detectivo/Correctivo",$BB307="Fuerte"),2,IF(AND(W311="Detectivo/Correctivo",$BB311="Moderado"),1,IF(AND(W311="Preventivo",$BB307="Fuerte"),1,0)))</f>
        <v>0</v>
      </c>
      <c r="BE311" s="173" t="e">
        <f>+N307-BC311</f>
        <v>#N/A</v>
      </c>
      <c r="BF311" s="173" t="e">
        <f>+P307-BD311</f>
        <v>#N/A</v>
      </c>
      <c r="BG311" s="346"/>
      <c r="BH311" s="346"/>
      <c r="BI311" s="346"/>
      <c r="BJ311" s="538"/>
      <c r="BK311" s="538"/>
      <c r="BL311" s="538"/>
      <c r="BM311" s="538"/>
    </row>
    <row r="312" spans="1:65" ht="65.099999999999994" customHeight="1" thickBot="1">
      <c r="A312" s="330"/>
      <c r="B312" s="514"/>
      <c r="C312" s="365"/>
      <c r="D312" s="106"/>
      <c r="E312" s="106"/>
      <c r="F312" s="434"/>
      <c r="G312" s="368"/>
      <c r="H312" s="100"/>
      <c r="I312" s="237"/>
      <c r="J312" s="100"/>
      <c r="K312" s="31"/>
      <c r="L312" s="222"/>
      <c r="M312" s="370"/>
      <c r="N312" s="350"/>
      <c r="O312" s="352"/>
      <c r="P312" s="350"/>
      <c r="Q312" s="353"/>
      <c r="R312" s="347"/>
      <c r="S312" s="208"/>
      <c r="T312" s="98"/>
      <c r="U312" s="47" t="s">
        <v>627</v>
      </c>
      <c r="V312" s="215"/>
      <c r="W312" s="215"/>
      <c r="X312" s="215"/>
      <c r="Y312" s="95" t="str">
        <f t="shared" si="49"/>
        <v/>
      </c>
      <c r="Z312" s="215"/>
      <c r="AA312" s="95" t="str">
        <f t="shared" si="50"/>
        <v/>
      </c>
      <c r="AB312" s="208"/>
      <c r="AC312" s="95" t="str">
        <f t="shared" si="51"/>
        <v/>
      </c>
      <c r="AD312" s="208"/>
      <c r="AE312" s="95" t="str">
        <f t="shared" si="52"/>
        <v/>
      </c>
      <c r="AF312" s="208"/>
      <c r="AG312" s="95" t="str">
        <f t="shared" si="53"/>
        <v/>
      </c>
      <c r="AH312" s="208"/>
      <c r="AI312" s="95" t="str">
        <f t="shared" si="54"/>
        <v/>
      </c>
      <c r="AJ312" s="208"/>
      <c r="AK312" s="27" t="str">
        <f t="shared" si="55"/>
        <v/>
      </c>
      <c r="AL312" s="48" t="str">
        <f t="shared" si="56"/>
        <v/>
      </c>
      <c r="AM312" s="48" t="str">
        <f t="shared" si="57"/>
        <v/>
      </c>
      <c r="AN312" s="293"/>
      <c r="AO312" s="293"/>
      <c r="AP312" s="293"/>
      <c r="AQ312" s="293"/>
      <c r="AR312" s="293"/>
      <c r="AS312" s="293"/>
      <c r="AT312" s="293"/>
      <c r="AU312" s="294" t="str">
        <f>IFERROR(VLOOKUP(AT312,'Seguridad Información'!$I$61:$J$65,2,0),"")</f>
        <v/>
      </c>
      <c r="AV312" s="79"/>
      <c r="AW312" s="78" t="str">
        <f t="shared" si="48"/>
        <v/>
      </c>
      <c r="AX312" s="77" t="str">
        <f t="shared" si="58"/>
        <v/>
      </c>
      <c r="AY312" s="21" t="str">
        <f>IFERROR(VLOOKUP((CONCATENATE(AM312,AX312)),Listados!$U$3:$V$11,2,FALSE),"")</f>
        <v/>
      </c>
      <c r="AZ312" s="48">
        <f t="shared" si="59"/>
        <v>100</v>
      </c>
      <c r="BA312" s="356"/>
      <c r="BB312" s="357"/>
      <c r="BC312" s="173">
        <f>+IF(AND(W312="Preventivo",BB307="Fuerte"),2,IF(AND(W312="Preventivo",BB307="Moderado"),1,0))</f>
        <v>0</v>
      </c>
      <c r="BD312" s="64">
        <f>+IF(AND(W312="Detectivo/Correctivo",$BB307="Fuerte"),2,IF(AND(W312="Detectivo/Correctivo",$BB312="Moderado"),1,IF(AND(W312="Preventivo",$BB307="Fuerte"),1,0)))</f>
        <v>0</v>
      </c>
      <c r="BE312" s="173" t="e">
        <f>+N307-BC312</f>
        <v>#N/A</v>
      </c>
      <c r="BF312" s="173" t="e">
        <f>+P307-BD312</f>
        <v>#N/A</v>
      </c>
      <c r="BG312" s="347"/>
      <c r="BH312" s="347"/>
      <c r="BI312" s="347"/>
      <c r="BJ312" s="539"/>
      <c r="BK312" s="539"/>
      <c r="BL312" s="539"/>
      <c r="BM312" s="539"/>
    </row>
    <row r="313" spans="1:65" ht="65.099999999999994" customHeight="1" thickBot="1">
      <c r="A313" s="328">
        <v>52</v>
      </c>
      <c r="B313" s="519"/>
      <c r="C313" s="371" t="str">
        <f>IFERROR(VLOOKUP(B313,Listados!B$3:C$20,2,FALSE),"")</f>
        <v/>
      </c>
      <c r="D313" s="107"/>
      <c r="E313" s="107"/>
      <c r="F313" s="432"/>
      <c r="G313" s="372"/>
      <c r="H313" s="100"/>
      <c r="I313" s="237"/>
      <c r="J313" s="100"/>
      <c r="K313" s="103"/>
      <c r="L313" s="17"/>
      <c r="M313" s="369"/>
      <c r="N313" s="348" t="e">
        <f>+VLOOKUP(M313,Listados!$K$8:$L$12,2,0)</f>
        <v>#N/A</v>
      </c>
      <c r="O313" s="351"/>
      <c r="P313" s="348" t="e">
        <f>+VLOOKUP(O313,Listados!$K$13:$L$17,2,0)</f>
        <v>#N/A</v>
      </c>
      <c r="Q313" s="347" t="str">
        <f>IF(AND(M313&lt;&gt;"",O313&lt;&gt;""),VLOOKUP(M313&amp;O313,Listados!$M$3:$N$27,2,FALSE),"")</f>
        <v/>
      </c>
      <c r="R313" s="345" t="e">
        <f>+VLOOKUP(Q313,Listados!$P$3:$Q$6,2,FALSE)</f>
        <v>#N/A</v>
      </c>
      <c r="S313" s="208"/>
      <c r="T313" s="94"/>
      <c r="U313" s="47" t="s">
        <v>627</v>
      </c>
      <c r="V313" s="215"/>
      <c r="W313" s="215"/>
      <c r="X313" s="215"/>
      <c r="Y313" s="95" t="str">
        <f t="shared" si="49"/>
        <v/>
      </c>
      <c r="Z313" s="215"/>
      <c r="AA313" s="95" t="str">
        <f t="shared" si="50"/>
        <v/>
      </c>
      <c r="AB313" s="208"/>
      <c r="AC313" s="95" t="str">
        <f t="shared" si="51"/>
        <v/>
      </c>
      <c r="AD313" s="208"/>
      <c r="AE313" s="95" t="str">
        <f t="shared" si="52"/>
        <v/>
      </c>
      <c r="AF313" s="208"/>
      <c r="AG313" s="95" t="str">
        <f t="shared" si="53"/>
        <v/>
      </c>
      <c r="AH313" s="208"/>
      <c r="AI313" s="95" t="str">
        <f t="shared" si="54"/>
        <v/>
      </c>
      <c r="AJ313" s="208"/>
      <c r="AK313" s="27" t="str">
        <f t="shared" si="55"/>
        <v/>
      </c>
      <c r="AL313" s="48" t="str">
        <f t="shared" si="56"/>
        <v/>
      </c>
      <c r="AM313" s="48" t="str">
        <f t="shared" si="57"/>
        <v/>
      </c>
      <c r="AN313" s="293"/>
      <c r="AO313" s="293"/>
      <c r="AP313" s="293"/>
      <c r="AQ313" s="293"/>
      <c r="AR313" s="293"/>
      <c r="AS313" s="293"/>
      <c r="AT313" s="293"/>
      <c r="AU313" s="294" t="str">
        <f>IFERROR(VLOOKUP(AT313,'Seguridad Información'!$I$61:$J$65,2,0),"")</f>
        <v/>
      </c>
      <c r="AV313" s="79"/>
      <c r="AW313" s="78" t="str">
        <f t="shared" si="48"/>
        <v/>
      </c>
      <c r="AX313" s="77" t="str">
        <f t="shared" si="58"/>
        <v/>
      </c>
      <c r="AY313" s="21" t="str">
        <f>IFERROR(VLOOKUP((CONCATENATE(AM313,AX313)),Listados!$U$3:$V$11,2,FALSE),"")</f>
        <v/>
      </c>
      <c r="AZ313" s="48">
        <f t="shared" si="59"/>
        <v>100</v>
      </c>
      <c r="BA313" s="354">
        <f>AVERAGE(AZ313:AZ318)</f>
        <v>100</v>
      </c>
      <c r="BB313" s="356" t="str">
        <f>IF(BA313&lt;=50, "Débil", IF(BA313&lt;=99,"Moderado","Fuerte"))</f>
        <v>Fuerte</v>
      </c>
      <c r="BC313" s="173">
        <f>+IF(AND(W313="Preventivo",BB313="Fuerte"),2,IF(AND(W313="Preventivo",BB313="Moderado"),1,0))</f>
        <v>0</v>
      </c>
      <c r="BD313" s="64">
        <f>+IF(AND(W313="Detectivo/Correctivo",$BB313="Fuerte"),2,IF(AND(W313="Detectivo/Correctivo",$BB313="Moderado"),1,IF(AND(W313="Preventivo",$BB313="Fuerte"),1,0)))</f>
        <v>0</v>
      </c>
      <c r="BE313" s="173" t="e">
        <f>+N313-BC313</f>
        <v>#N/A</v>
      </c>
      <c r="BF313" s="173" t="e">
        <f>+P313-BD313</f>
        <v>#N/A</v>
      </c>
      <c r="BG313" s="345" t="e">
        <f>+VLOOKUP(MIN(BE313,BE314,BE315,BE316,BE317,BE318),Listados!$J$18:$K$24,2,TRUE)</f>
        <v>#N/A</v>
      </c>
      <c r="BH313" s="345" t="e">
        <f>+VLOOKUP(MIN(BF313,BF314,BF315,BF316,BF317,BF318),Listados!$J$27:$K$32,2,TRUE)</f>
        <v>#N/A</v>
      </c>
      <c r="BI313" s="345" t="e">
        <f>IF(AND(BG313&lt;&gt;"",BH313&lt;&gt;""),VLOOKUP(BG313&amp;BH313,Listados!$M$3:$N$27,2,FALSE),"")</f>
        <v>#N/A</v>
      </c>
      <c r="BJ313" s="537" t="e">
        <f>+IF($R313="Asumir el riesgo","NA","")</f>
        <v>#N/A</v>
      </c>
      <c r="BK313" s="537" t="e">
        <f>+IF($R313="Asumir el riesgo","NA","")</f>
        <v>#N/A</v>
      </c>
      <c r="BL313" s="537" t="e">
        <f>+IF($R313="Asumir el riesgo","NA","")</f>
        <v>#N/A</v>
      </c>
      <c r="BM313" s="537" t="e">
        <f>+IF($R313="Asumir el riesgo","NA","")</f>
        <v>#N/A</v>
      </c>
    </row>
    <row r="314" spans="1:65" ht="65.099999999999994" customHeight="1" thickBot="1">
      <c r="A314" s="329"/>
      <c r="B314" s="514"/>
      <c r="C314" s="364"/>
      <c r="D314" s="233"/>
      <c r="E314" s="233"/>
      <c r="F314" s="433"/>
      <c r="G314" s="367"/>
      <c r="H314" s="100"/>
      <c r="I314" s="237"/>
      <c r="J314" s="100"/>
      <c r="K314" s="236"/>
      <c r="L314" s="222"/>
      <c r="M314" s="370"/>
      <c r="N314" s="349"/>
      <c r="O314" s="352"/>
      <c r="P314" s="349"/>
      <c r="Q314" s="353"/>
      <c r="R314" s="346"/>
      <c r="S314" s="208"/>
      <c r="T314" s="195"/>
      <c r="U314" s="47" t="s">
        <v>627</v>
      </c>
      <c r="V314" s="215"/>
      <c r="W314" s="215"/>
      <c r="X314" s="215"/>
      <c r="Y314" s="95" t="str">
        <f t="shared" si="49"/>
        <v/>
      </c>
      <c r="Z314" s="215"/>
      <c r="AA314" s="95" t="str">
        <f t="shared" si="50"/>
        <v/>
      </c>
      <c r="AB314" s="208"/>
      <c r="AC314" s="95" t="str">
        <f t="shared" si="51"/>
        <v/>
      </c>
      <c r="AD314" s="208"/>
      <c r="AE314" s="95" t="str">
        <f t="shared" si="52"/>
        <v/>
      </c>
      <c r="AF314" s="208"/>
      <c r="AG314" s="95" t="str">
        <f t="shared" si="53"/>
        <v/>
      </c>
      <c r="AH314" s="208"/>
      <c r="AI314" s="95" t="str">
        <f t="shared" si="54"/>
        <v/>
      </c>
      <c r="AJ314" s="208"/>
      <c r="AK314" s="27" t="str">
        <f t="shared" si="55"/>
        <v/>
      </c>
      <c r="AL314" s="48" t="str">
        <f t="shared" si="56"/>
        <v/>
      </c>
      <c r="AM314" s="48" t="str">
        <f t="shared" si="57"/>
        <v/>
      </c>
      <c r="AN314" s="293"/>
      <c r="AO314" s="293"/>
      <c r="AP314" s="293"/>
      <c r="AQ314" s="293"/>
      <c r="AR314" s="293"/>
      <c r="AS314" s="293"/>
      <c r="AT314" s="293"/>
      <c r="AU314" s="294" t="str">
        <f>IFERROR(VLOOKUP(AT314,'Seguridad Información'!$I$61:$J$65,2,0),"")</f>
        <v/>
      </c>
      <c r="AV314" s="79"/>
      <c r="AW314" s="78" t="str">
        <f t="shared" si="48"/>
        <v/>
      </c>
      <c r="AX314" s="77" t="str">
        <f t="shared" si="58"/>
        <v/>
      </c>
      <c r="AY314" s="21" t="str">
        <f>IFERROR(VLOOKUP((CONCATENATE(AM314,AX314)),Listados!$U$3:$V$11,2,FALSE),"")</f>
        <v/>
      </c>
      <c r="AZ314" s="48">
        <f t="shared" si="59"/>
        <v>100</v>
      </c>
      <c r="BA314" s="355"/>
      <c r="BB314" s="357"/>
      <c r="BC314" s="173">
        <f>+IF(AND(W314="Preventivo",BB313="Fuerte"),2,IF(AND(W314="Preventivo",BB313="Moderado"),1,0))</f>
        <v>0</v>
      </c>
      <c r="BD314" s="64">
        <f>+IF(AND(W314="Detectivo/Correctivo",$BB313="Fuerte"),2,IF(AND(W314="Detectivo/Correctivo",$BB314="Moderado"),1,IF(AND(W314="Preventivo",$BB313="Fuerte"),1,0)))</f>
        <v>0</v>
      </c>
      <c r="BE314" s="173" t="e">
        <f>+N313-BC314</f>
        <v>#N/A</v>
      </c>
      <c r="BF314" s="173" t="e">
        <f>+P313-BD314</f>
        <v>#N/A</v>
      </c>
      <c r="BG314" s="346"/>
      <c r="BH314" s="346"/>
      <c r="BI314" s="346"/>
      <c r="BJ314" s="538"/>
      <c r="BK314" s="538"/>
      <c r="BL314" s="538"/>
      <c r="BM314" s="538"/>
    </row>
    <row r="315" spans="1:65" ht="65.099999999999994" customHeight="1" thickBot="1">
      <c r="A315" s="329"/>
      <c r="B315" s="514"/>
      <c r="C315" s="364"/>
      <c r="D315" s="233"/>
      <c r="E315" s="233"/>
      <c r="F315" s="433"/>
      <c r="G315" s="367"/>
      <c r="H315" s="100"/>
      <c r="I315" s="237"/>
      <c r="J315" s="100"/>
      <c r="K315" s="236"/>
      <c r="L315" s="222"/>
      <c r="M315" s="370"/>
      <c r="N315" s="349"/>
      <c r="O315" s="352"/>
      <c r="P315" s="349"/>
      <c r="Q315" s="353"/>
      <c r="R315" s="346"/>
      <c r="S315" s="208"/>
      <c r="T315" s="96"/>
      <c r="U315" s="47" t="s">
        <v>627</v>
      </c>
      <c r="V315" s="215"/>
      <c r="W315" s="215"/>
      <c r="X315" s="215"/>
      <c r="Y315" s="95" t="str">
        <f t="shared" si="49"/>
        <v/>
      </c>
      <c r="Z315" s="215"/>
      <c r="AA315" s="95" t="str">
        <f t="shared" si="50"/>
        <v/>
      </c>
      <c r="AB315" s="208"/>
      <c r="AC315" s="95" t="str">
        <f t="shared" si="51"/>
        <v/>
      </c>
      <c r="AD315" s="208"/>
      <c r="AE315" s="95" t="str">
        <f t="shared" si="52"/>
        <v/>
      </c>
      <c r="AF315" s="208"/>
      <c r="AG315" s="95" t="str">
        <f t="shared" si="53"/>
        <v/>
      </c>
      <c r="AH315" s="208"/>
      <c r="AI315" s="95" t="str">
        <f t="shared" si="54"/>
        <v/>
      </c>
      <c r="AJ315" s="208"/>
      <c r="AK315" s="27" t="str">
        <f t="shared" si="55"/>
        <v/>
      </c>
      <c r="AL315" s="48" t="str">
        <f t="shared" si="56"/>
        <v/>
      </c>
      <c r="AM315" s="48" t="str">
        <f t="shared" si="57"/>
        <v/>
      </c>
      <c r="AN315" s="293"/>
      <c r="AO315" s="293"/>
      <c r="AP315" s="293"/>
      <c r="AQ315" s="293"/>
      <c r="AR315" s="293"/>
      <c r="AS315" s="293"/>
      <c r="AT315" s="293"/>
      <c r="AU315" s="294" t="str">
        <f>IFERROR(VLOOKUP(AT315,'Seguridad Información'!$I$61:$J$65,2,0),"")</f>
        <v/>
      </c>
      <c r="AV315" s="79"/>
      <c r="AW315" s="78" t="str">
        <f t="shared" si="48"/>
        <v/>
      </c>
      <c r="AX315" s="77" t="str">
        <f t="shared" si="58"/>
        <v/>
      </c>
      <c r="AY315" s="21" t="str">
        <f>IFERROR(VLOOKUP((CONCATENATE(AM315,AX315)),Listados!$U$3:$V$11,2,FALSE),"")</f>
        <v/>
      </c>
      <c r="AZ315" s="48">
        <f t="shared" si="59"/>
        <v>100</v>
      </c>
      <c r="BA315" s="355"/>
      <c r="BB315" s="357"/>
      <c r="BC315" s="173">
        <f>+IF(AND(W315="Preventivo",BB313="Fuerte"),2,IF(AND(W315="Preventivo",BB313="Moderado"),1,0))</f>
        <v>0</v>
      </c>
      <c r="BD315" s="64">
        <f>+IF(AND(W315="Detectivo/Correctivo",$BB313="Fuerte"),2,IF(AND(W315="Detectivo/Correctivo",$BB315="Moderado"),1,IF(AND(W315="Preventivo",$BB313="Fuerte"),1,0)))</f>
        <v>0</v>
      </c>
      <c r="BE315" s="173" t="e">
        <f>+N313-BC315</f>
        <v>#N/A</v>
      </c>
      <c r="BF315" s="173" t="e">
        <f>+P313-BD315</f>
        <v>#N/A</v>
      </c>
      <c r="BG315" s="346"/>
      <c r="BH315" s="346"/>
      <c r="BI315" s="346"/>
      <c r="BJ315" s="538"/>
      <c r="BK315" s="538"/>
      <c r="BL315" s="538"/>
      <c r="BM315" s="538"/>
    </row>
    <row r="316" spans="1:65" ht="65.099999999999994" customHeight="1" thickBot="1">
      <c r="A316" s="329"/>
      <c r="B316" s="514"/>
      <c r="C316" s="364"/>
      <c r="D316" s="233"/>
      <c r="E316" s="233"/>
      <c r="F316" s="433"/>
      <c r="G316" s="367"/>
      <c r="H316" s="100"/>
      <c r="I316" s="237"/>
      <c r="J316" s="100"/>
      <c r="K316" s="236"/>
      <c r="L316" s="222"/>
      <c r="M316" s="370"/>
      <c r="N316" s="349"/>
      <c r="O316" s="352"/>
      <c r="P316" s="349"/>
      <c r="Q316" s="353"/>
      <c r="R316" s="346"/>
      <c r="S316" s="208"/>
      <c r="T316" s="97"/>
      <c r="U316" s="47" t="s">
        <v>627</v>
      </c>
      <c r="V316" s="215"/>
      <c r="W316" s="215"/>
      <c r="X316" s="215"/>
      <c r="Y316" s="95" t="str">
        <f t="shared" si="49"/>
        <v/>
      </c>
      <c r="Z316" s="215"/>
      <c r="AA316" s="95" t="str">
        <f t="shared" si="50"/>
        <v/>
      </c>
      <c r="AB316" s="208"/>
      <c r="AC316" s="95" t="str">
        <f t="shared" si="51"/>
        <v/>
      </c>
      <c r="AD316" s="208"/>
      <c r="AE316" s="95" t="str">
        <f t="shared" si="52"/>
        <v/>
      </c>
      <c r="AF316" s="208"/>
      <c r="AG316" s="95" t="str">
        <f t="shared" si="53"/>
        <v/>
      </c>
      <c r="AH316" s="208"/>
      <c r="AI316" s="95" t="str">
        <f t="shared" si="54"/>
        <v/>
      </c>
      <c r="AJ316" s="208"/>
      <c r="AK316" s="27" t="str">
        <f t="shared" si="55"/>
        <v/>
      </c>
      <c r="AL316" s="48" t="str">
        <f t="shared" si="56"/>
        <v/>
      </c>
      <c r="AM316" s="48" t="str">
        <f t="shared" si="57"/>
        <v/>
      </c>
      <c r="AN316" s="293"/>
      <c r="AO316" s="293"/>
      <c r="AP316" s="293"/>
      <c r="AQ316" s="293"/>
      <c r="AR316" s="293"/>
      <c r="AS316" s="293"/>
      <c r="AT316" s="293"/>
      <c r="AU316" s="294" t="str">
        <f>IFERROR(VLOOKUP(AT316,'Seguridad Información'!$I$61:$J$65,2,0),"")</f>
        <v/>
      </c>
      <c r="AV316" s="79"/>
      <c r="AW316" s="78" t="str">
        <f t="shared" si="48"/>
        <v/>
      </c>
      <c r="AX316" s="77" t="str">
        <f t="shared" si="58"/>
        <v/>
      </c>
      <c r="AY316" s="21" t="str">
        <f>IFERROR(VLOOKUP((CONCATENATE(AM316,AX316)),Listados!$U$3:$V$11,2,FALSE),"")</f>
        <v/>
      </c>
      <c r="AZ316" s="48">
        <f t="shared" si="59"/>
        <v>100</v>
      </c>
      <c r="BA316" s="355"/>
      <c r="BB316" s="357"/>
      <c r="BC316" s="173">
        <f>+IF(AND(W316="Preventivo",BB313="Fuerte"),2,IF(AND(W316="Preventivo",BB313="Moderado"),1,0))</f>
        <v>0</v>
      </c>
      <c r="BD316" s="64">
        <f>+IF(AND(W316="Detectivo/Correctivo",$BB313="Fuerte"),2,IF(AND(W316="Detectivo/Correctivo",$BB316="Moderado"),1,IF(AND(W316="Preventivo",$BB313="Fuerte"),1,0)))</f>
        <v>0</v>
      </c>
      <c r="BE316" s="173" t="e">
        <f>+N313-BC316</f>
        <v>#N/A</v>
      </c>
      <c r="BF316" s="173" t="e">
        <f>+P313-BD316</f>
        <v>#N/A</v>
      </c>
      <c r="BG316" s="346"/>
      <c r="BH316" s="346"/>
      <c r="BI316" s="346"/>
      <c r="BJ316" s="538"/>
      <c r="BK316" s="538"/>
      <c r="BL316" s="538"/>
      <c r="BM316" s="538"/>
    </row>
    <row r="317" spans="1:65" ht="65.099999999999994" customHeight="1" thickBot="1">
      <c r="A317" s="329"/>
      <c r="B317" s="514"/>
      <c r="C317" s="364"/>
      <c r="D317" s="109"/>
      <c r="E317" s="109"/>
      <c r="F317" s="433"/>
      <c r="G317" s="367"/>
      <c r="H317" s="100"/>
      <c r="I317" s="237"/>
      <c r="J317" s="100"/>
      <c r="K317" s="29"/>
      <c r="L317" s="222"/>
      <c r="M317" s="370"/>
      <c r="N317" s="349"/>
      <c r="O317" s="352"/>
      <c r="P317" s="349"/>
      <c r="Q317" s="353"/>
      <c r="R317" s="346"/>
      <c r="S317" s="208"/>
      <c r="T317" s="195"/>
      <c r="U317" s="47" t="s">
        <v>627</v>
      </c>
      <c r="V317" s="215"/>
      <c r="W317" s="215"/>
      <c r="X317" s="215"/>
      <c r="Y317" s="95" t="str">
        <f t="shared" si="49"/>
        <v/>
      </c>
      <c r="Z317" s="215"/>
      <c r="AA317" s="95" t="str">
        <f t="shared" si="50"/>
        <v/>
      </c>
      <c r="AB317" s="208"/>
      <c r="AC317" s="95" t="str">
        <f t="shared" si="51"/>
        <v/>
      </c>
      <c r="AD317" s="208"/>
      <c r="AE317" s="95" t="str">
        <f t="shared" si="52"/>
        <v/>
      </c>
      <c r="AF317" s="208"/>
      <c r="AG317" s="95" t="str">
        <f t="shared" si="53"/>
        <v/>
      </c>
      <c r="AH317" s="208"/>
      <c r="AI317" s="95" t="str">
        <f t="shared" si="54"/>
        <v/>
      </c>
      <c r="AJ317" s="208"/>
      <c r="AK317" s="27" t="str">
        <f t="shared" si="55"/>
        <v/>
      </c>
      <c r="AL317" s="48" t="str">
        <f t="shared" si="56"/>
        <v/>
      </c>
      <c r="AM317" s="48" t="str">
        <f t="shared" si="57"/>
        <v/>
      </c>
      <c r="AN317" s="293"/>
      <c r="AO317" s="293"/>
      <c r="AP317" s="293"/>
      <c r="AQ317" s="293"/>
      <c r="AR317" s="293"/>
      <c r="AS317" s="293"/>
      <c r="AT317" s="293"/>
      <c r="AU317" s="294" t="str">
        <f>IFERROR(VLOOKUP(AT317,'Seguridad Información'!$I$61:$J$65,2,0),"")</f>
        <v/>
      </c>
      <c r="AV317" s="79"/>
      <c r="AW317" s="78" t="str">
        <f t="shared" si="48"/>
        <v/>
      </c>
      <c r="AX317" s="77" t="str">
        <f t="shared" si="58"/>
        <v/>
      </c>
      <c r="AY317" s="21" t="str">
        <f>IFERROR(VLOOKUP((CONCATENATE(AM317,AX317)),Listados!$U$3:$V$11,2,FALSE),"")</f>
        <v/>
      </c>
      <c r="AZ317" s="48">
        <f t="shared" si="59"/>
        <v>100</v>
      </c>
      <c r="BA317" s="355"/>
      <c r="BB317" s="357"/>
      <c r="BC317" s="173">
        <f>+IF(AND(W317="Preventivo",BB313="Fuerte"),2,IF(AND(W317="Preventivo",BB313="Moderado"),1,0))</f>
        <v>0</v>
      </c>
      <c r="BD317" s="64">
        <f>+IF(AND(W317="Detectivo/Correctivo",$BB313="Fuerte"),2,IF(AND(W317="Detectivo/Correctivo",$BB317="Moderado"),1,IF(AND(W317="Preventivo",$BB313="Fuerte"),1,0)))</f>
        <v>0</v>
      </c>
      <c r="BE317" s="173" t="e">
        <f>+N313-BC317</f>
        <v>#N/A</v>
      </c>
      <c r="BF317" s="173" t="e">
        <f>+P313-BD317</f>
        <v>#N/A</v>
      </c>
      <c r="BG317" s="346"/>
      <c r="BH317" s="346"/>
      <c r="BI317" s="346"/>
      <c r="BJ317" s="538"/>
      <c r="BK317" s="538"/>
      <c r="BL317" s="538"/>
      <c r="BM317" s="538"/>
    </row>
    <row r="318" spans="1:65" ht="65.099999999999994" customHeight="1" thickBot="1">
      <c r="A318" s="330"/>
      <c r="B318" s="514"/>
      <c r="C318" s="365"/>
      <c r="D318" s="106"/>
      <c r="E318" s="106"/>
      <c r="F318" s="434"/>
      <c r="G318" s="368"/>
      <c r="H318" s="100"/>
      <c r="I318" s="237"/>
      <c r="J318" s="100"/>
      <c r="K318" s="31"/>
      <c r="L318" s="222"/>
      <c r="M318" s="370"/>
      <c r="N318" s="350"/>
      <c r="O318" s="352"/>
      <c r="P318" s="350"/>
      <c r="Q318" s="353"/>
      <c r="R318" s="347"/>
      <c r="S318" s="208"/>
      <c r="T318" s="98"/>
      <c r="U318" s="47" t="s">
        <v>627</v>
      </c>
      <c r="V318" s="215"/>
      <c r="W318" s="215"/>
      <c r="X318" s="215"/>
      <c r="Y318" s="95" t="str">
        <f t="shared" si="49"/>
        <v/>
      </c>
      <c r="Z318" s="215"/>
      <c r="AA318" s="95" t="str">
        <f t="shared" si="50"/>
        <v/>
      </c>
      <c r="AB318" s="208"/>
      <c r="AC318" s="95" t="str">
        <f t="shared" si="51"/>
        <v/>
      </c>
      <c r="AD318" s="208"/>
      <c r="AE318" s="95" t="str">
        <f t="shared" si="52"/>
        <v/>
      </c>
      <c r="AF318" s="208"/>
      <c r="AG318" s="95" t="str">
        <f t="shared" si="53"/>
        <v/>
      </c>
      <c r="AH318" s="208"/>
      <c r="AI318" s="95" t="str">
        <f t="shared" si="54"/>
        <v/>
      </c>
      <c r="AJ318" s="208"/>
      <c r="AK318" s="27" t="str">
        <f t="shared" si="55"/>
        <v/>
      </c>
      <c r="AL318" s="48" t="str">
        <f t="shared" si="56"/>
        <v/>
      </c>
      <c r="AM318" s="48" t="str">
        <f t="shared" si="57"/>
        <v/>
      </c>
      <c r="AN318" s="293"/>
      <c r="AO318" s="293"/>
      <c r="AP318" s="293"/>
      <c r="AQ318" s="293"/>
      <c r="AR318" s="293"/>
      <c r="AS318" s="293"/>
      <c r="AT318" s="293"/>
      <c r="AU318" s="294" t="str">
        <f>IFERROR(VLOOKUP(AT318,'Seguridad Información'!$I$61:$J$65,2,0),"")</f>
        <v/>
      </c>
      <c r="AV318" s="79"/>
      <c r="AW318" s="78" t="str">
        <f t="shared" si="48"/>
        <v/>
      </c>
      <c r="AX318" s="77" t="str">
        <f t="shared" si="58"/>
        <v/>
      </c>
      <c r="AY318" s="21" t="str">
        <f>IFERROR(VLOOKUP((CONCATENATE(AM318,AX318)),Listados!$U$3:$V$11,2,FALSE),"")</f>
        <v/>
      </c>
      <c r="AZ318" s="48">
        <f t="shared" si="59"/>
        <v>100</v>
      </c>
      <c r="BA318" s="356"/>
      <c r="BB318" s="357"/>
      <c r="BC318" s="173">
        <f>+IF(AND(W318="Preventivo",BB313="Fuerte"),2,IF(AND(W318="Preventivo",BB313="Moderado"),1,0))</f>
        <v>0</v>
      </c>
      <c r="BD318" s="64">
        <f>+IF(AND(W318="Detectivo/Correctivo",$BB313="Fuerte"),2,IF(AND(W318="Detectivo/Correctivo",$BB318="Moderado"),1,IF(AND(W318="Preventivo",$BB313="Fuerte"),1,0)))</f>
        <v>0</v>
      </c>
      <c r="BE318" s="173" t="e">
        <f>+N313-BC318</f>
        <v>#N/A</v>
      </c>
      <c r="BF318" s="173" t="e">
        <f>+P313-BD318</f>
        <v>#N/A</v>
      </c>
      <c r="BG318" s="347"/>
      <c r="BH318" s="347"/>
      <c r="BI318" s="347"/>
      <c r="BJ318" s="539"/>
      <c r="BK318" s="539"/>
      <c r="BL318" s="539"/>
      <c r="BM318" s="539"/>
    </row>
    <row r="319" spans="1:65" ht="65.099999999999994" customHeight="1" thickBot="1">
      <c r="A319" s="328">
        <v>53</v>
      </c>
      <c r="B319" s="519"/>
      <c r="C319" s="371" t="str">
        <f>IFERROR(VLOOKUP(B319,Listados!B$3:C$20,2,FALSE),"")</f>
        <v/>
      </c>
      <c r="D319" s="107"/>
      <c r="E319" s="107"/>
      <c r="F319" s="432"/>
      <c r="G319" s="372"/>
      <c r="H319" s="100"/>
      <c r="I319" s="237"/>
      <c r="J319" s="100"/>
      <c r="K319" s="103"/>
      <c r="L319" s="17"/>
      <c r="M319" s="369"/>
      <c r="N319" s="348" t="e">
        <f>+VLOOKUP(M319,Listados!$K$8:$L$12,2,0)</f>
        <v>#N/A</v>
      </c>
      <c r="O319" s="351"/>
      <c r="P319" s="348" t="e">
        <f>+VLOOKUP(O319,Listados!$K$13:$L$17,2,0)</f>
        <v>#N/A</v>
      </c>
      <c r="Q319" s="347" t="str">
        <f>IF(AND(M319&lt;&gt;"",O319&lt;&gt;""),VLOOKUP(M319&amp;O319,Listados!$M$3:$N$27,2,FALSE),"")</f>
        <v/>
      </c>
      <c r="R319" s="345" t="e">
        <f>+VLOOKUP(Q319,Listados!$P$3:$Q$6,2,FALSE)</f>
        <v>#N/A</v>
      </c>
      <c r="S319" s="208"/>
      <c r="T319" s="94"/>
      <c r="U319" s="47" t="s">
        <v>627</v>
      </c>
      <c r="V319" s="215"/>
      <c r="W319" s="215"/>
      <c r="X319" s="215"/>
      <c r="Y319" s="95" t="str">
        <f t="shared" si="49"/>
        <v/>
      </c>
      <c r="Z319" s="215"/>
      <c r="AA319" s="95" t="str">
        <f t="shared" si="50"/>
        <v/>
      </c>
      <c r="AB319" s="208"/>
      <c r="AC319" s="95" t="str">
        <f t="shared" si="51"/>
        <v/>
      </c>
      <c r="AD319" s="208"/>
      <c r="AE319" s="95" t="str">
        <f t="shared" si="52"/>
        <v/>
      </c>
      <c r="AF319" s="208"/>
      <c r="AG319" s="95" t="str">
        <f t="shared" si="53"/>
        <v/>
      </c>
      <c r="AH319" s="208"/>
      <c r="AI319" s="95" t="str">
        <f t="shared" si="54"/>
        <v/>
      </c>
      <c r="AJ319" s="208"/>
      <c r="AK319" s="27" t="str">
        <f t="shared" si="55"/>
        <v/>
      </c>
      <c r="AL319" s="48" t="str">
        <f t="shared" si="56"/>
        <v/>
      </c>
      <c r="AM319" s="48" t="str">
        <f t="shared" si="57"/>
        <v/>
      </c>
      <c r="AN319" s="293"/>
      <c r="AO319" s="293"/>
      <c r="AP319" s="293"/>
      <c r="AQ319" s="293"/>
      <c r="AR319" s="293"/>
      <c r="AS319" s="293"/>
      <c r="AT319" s="293"/>
      <c r="AU319" s="294" t="str">
        <f>IFERROR(VLOOKUP(AT319,'Seguridad Información'!$I$61:$J$65,2,0),"")</f>
        <v/>
      </c>
      <c r="AV319" s="79"/>
      <c r="AW319" s="78" t="str">
        <f t="shared" si="48"/>
        <v/>
      </c>
      <c r="AX319" s="77" t="str">
        <f t="shared" si="58"/>
        <v/>
      </c>
      <c r="AY319" s="21" t="str">
        <f>IFERROR(VLOOKUP((CONCATENATE(AM319,AX319)),Listados!$U$3:$V$11,2,FALSE),"")</f>
        <v/>
      </c>
      <c r="AZ319" s="48">
        <f t="shared" si="59"/>
        <v>100</v>
      </c>
      <c r="BA319" s="354">
        <f>AVERAGE(AZ319:AZ324)</f>
        <v>100</v>
      </c>
      <c r="BB319" s="356" t="str">
        <f>IF(BA319&lt;=50, "Débil", IF(BA319&lt;=99,"Moderado","Fuerte"))</f>
        <v>Fuerte</v>
      </c>
      <c r="BC319" s="173">
        <f>+IF(AND(W319="Preventivo",BB319="Fuerte"),2,IF(AND(W319="Preventivo",BB319="Moderado"),1,0))</f>
        <v>0</v>
      </c>
      <c r="BD319" s="64">
        <f>+IF(AND(W319="Detectivo/Correctivo",$BB319="Fuerte"),2,IF(AND(W319="Detectivo/Correctivo",$BB319="Moderado"),1,IF(AND(W319="Preventivo",$BB319="Fuerte"),1,0)))</f>
        <v>0</v>
      </c>
      <c r="BE319" s="173" t="e">
        <f>+N319-BC319</f>
        <v>#N/A</v>
      </c>
      <c r="BF319" s="173" t="e">
        <f>+P319-BD319</f>
        <v>#N/A</v>
      </c>
      <c r="BG319" s="345" t="e">
        <f>+VLOOKUP(MIN(BE319,BE320,BE321,BE322,BE323,BE324),Listados!$J$18:$K$24,2,TRUE)</f>
        <v>#N/A</v>
      </c>
      <c r="BH319" s="345" t="e">
        <f>+VLOOKUP(MIN(BF319,BF320,BF321,BF322,BF323,BF324),Listados!$J$27:$K$32,2,TRUE)</f>
        <v>#N/A</v>
      </c>
      <c r="BI319" s="345" t="e">
        <f>IF(AND(BG319&lt;&gt;"",BH319&lt;&gt;""),VLOOKUP(BG319&amp;BH319,Listados!$M$3:$N$27,2,FALSE),"")</f>
        <v>#N/A</v>
      </c>
      <c r="BJ319" s="537" t="e">
        <f>+IF($R319="Asumir el riesgo","NA","")</f>
        <v>#N/A</v>
      </c>
      <c r="BK319" s="537" t="e">
        <f>+IF($R319="Asumir el riesgo","NA","")</f>
        <v>#N/A</v>
      </c>
      <c r="BL319" s="537" t="e">
        <f>+IF($R319="Asumir el riesgo","NA","")</f>
        <v>#N/A</v>
      </c>
      <c r="BM319" s="537" t="e">
        <f>+IF($R319="Asumir el riesgo","NA","")</f>
        <v>#N/A</v>
      </c>
    </row>
    <row r="320" spans="1:65" ht="65.099999999999994" customHeight="1" thickBot="1">
      <c r="A320" s="329"/>
      <c r="B320" s="514"/>
      <c r="C320" s="364"/>
      <c r="D320" s="233"/>
      <c r="E320" s="233"/>
      <c r="F320" s="433"/>
      <c r="G320" s="367"/>
      <c r="H320" s="100"/>
      <c r="I320" s="237"/>
      <c r="J320" s="100"/>
      <c r="K320" s="236"/>
      <c r="L320" s="222"/>
      <c r="M320" s="370"/>
      <c r="N320" s="349"/>
      <c r="O320" s="352"/>
      <c r="P320" s="349"/>
      <c r="Q320" s="353"/>
      <c r="R320" s="346"/>
      <c r="S320" s="208"/>
      <c r="T320" s="195"/>
      <c r="U320" s="47" t="s">
        <v>627</v>
      </c>
      <c r="V320" s="215"/>
      <c r="W320" s="215"/>
      <c r="X320" s="215"/>
      <c r="Y320" s="95" t="str">
        <f t="shared" si="49"/>
        <v/>
      </c>
      <c r="Z320" s="215"/>
      <c r="AA320" s="95" t="str">
        <f t="shared" si="50"/>
        <v/>
      </c>
      <c r="AB320" s="208"/>
      <c r="AC320" s="95" t="str">
        <f t="shared" si="51"/>
        <v/>
      </c>
      <c r="AD320" s="208"/>
      <c r="AE320" s="95" t="str">
        <f t="shared" si="52"/>
        <v/>
      </c>
      <c r="AF320" s="208"/>
      <c r="AG320" s="95" t="str">
        <f t="shared" si="53"/>
        <v/>
      </c>
      <c r="AH320" s="208"/>
      <c r="AI320" s="95" t="str">
        <f t="shared" si="54"/>
        <v/>
      </c>
      <c r="AJ320" s="208"/>
      <c r="AK320" s="27" t="str">
        <f t="shared" si="55"/>
        <v/>
      </c>
      <c r="AL320" s="48" t="str">
        <f t="shared" si="56"/>
        <v/>
      </c>
      <c r="AM320" s="48" t="str">
        <f t="shared" si="57"/>
        <v/>
      </c>
      <c r="AN320" s="293"/>
      <c r="AO320" s="293"/>
      <c r="AP320" s="293"/>
      <c r="AQ320" s="293"/>
      <c r="AR320" s="293"/>
      <c r="AS320" s="293"/>
      <c r="AT320" s="293"/>
      <c r="AU320" s="294" t="str">
        <f>IFERROR(VLOOKUP(AT320,'Seguridad Información'!$I$61:$J$65,2,0),"")</f>
        <v/>
      </c>
      <c r="AV320" s="79"/>
      <c r="AW320" s="78" t="str">
        <f t="shared" si="48"/>
        <v/>
      </c>
      <c r="AX320" s="77" t="str">
        <f t="shared" si="58"/>
        <v/>
      </c>
      <c r="AY320" s="21" t="str">
        <f>IFERROR(VLOOKUP((CONCATENATE(AM320,AX320)),Listados!$U$3:$V$11,2,FALSE),"")</f>
        <v/>
      </c>
      <c r="AZ320" s="48">
        <f t="shared" si="59"/>
        <v>100</v>
      </c>
      <c r="BA320" s="355"/>
      <c r="BB320" s="357"/>
      <c r="BC320" s="173">
        <f>+IF(AND(W320="Preventivo",BB319="Fuerte"),2,IF(AND(W320="Preventivo",BB319="Moderado"),1,0))</f>
        <v>0</v>
      </c>
      <c r="BD320" s="64">
        <f>+IF(AND(W320="Detectivo/Correctivo",$BB319="Fuerte"),2,IF(AND(W320="Detectivo/Correctivo",$BB320="Moderado"),1,IF(AND(W320="Preventivo",$BB319="Fuerte"),1,0)))</f>
        <v>0</v>
      </c>
      <c r="BE320" s="173" t="e">
        <f>+N319-BC320</f>
        <v>#N/A</v>
      </c>
      <c r="BF320" s="173" t="e">
        <f>+P319-BD320</f>
        <v>#N/A</v>
      </c>
      <c r="BG320" s="346"/>
      <c r="BH320" s="346"/>
      <c r="BI320" s="346"/>
      <c r="BJ320" s="538"/>
      <c r="BK320" s="538"/>
      <c r="BL320" s="538"/>
      <c r="BM320" s="538"/>
    </row>
    <row r="321" spans="1:65" ht="65.099999999999994" customHeight="1" thickBot="1">
      <c r="A321" s="329"/>
      <c r="B321" s="514"/>
      <c r="C321" s="364"/>
      <c r="D321" s="233"/>
      <c r="E321" s="233"/>
      <c r="F321" s="433"/>
      <c r="G321" s="367"/>
      <c r="H321" s="100"/>
      <c r="I321" s="237"/>
      <c r="J321" s="100"/>
      <c r="K321" s="236"/>
      <c r="L321" s="222"/>
      <c r="M321" s="370"/>
      <c r="N321" s="349"/>
      <c r="O321" s="352"/>
      <c r="P321" s="349"/>
      <c r="Q321" s="353"/>
      <c r="R321" s="346"/>
      <c r="S321" s="208"/>
      <c r="T321" s="96"/>
      <c r="U321" s="47" t="s">
        <v>627</v>
      </c>
      <c r="V321" s="215"/>
      <c r="W321" s="215"/>
      <c r="X321" s="215"/>
      <c r="Y321" s="95" t="str">
        <f t="shared" si="49"/>
        <v/>
      </c>
      <c r="Z321" s="215"/>
      <c r="AA321" s="95" t="str">
        <f t="shared" si="50"/>
        <v/>
      </c>
      <c r="AB321" s="208"/>
      <c r="AC321" s="95" t="str">
        <f t="shared" si="51"/>
        <v/>
      </c>
      <c r="AD321" s="208"/>
      <c r="AE321" s="95" t="str">
        <f t="shared" si="52"/>
        <v/>
      </c>
      <c r="AF321" s="208"/>
      <c r="AG321" s="95" t="str">
        <f t="shared" si="53"/>
        <v/>
      </c>
      <c r="AH321" s="208"/>
      <c r="AI321" s="95" t="str">
        <f t="shared" si="54"/>
        <v/>
      </c>
      <c r="AJ321" s="208"/>
      <c r="AK321" s="27" t="str">
        <f t="shared" si="55"/>
        <v/>
      </c>
      <c r="AL321" s="48" t="str">
        <f t="shared" si="56"/>
        <v/>
      </c>
      <c r="AM321" s="48" t="str">
        <f t="shared" si="57"/>
        <v/>
      </c>
      <c r="AN321" s="293"/>
      <c r="AO321" s="293"/>
      <c r="AP321" s="293"/>
      <c r="AQ321" s="293"/>
      <c r="AR321" s="293"/>
      <c r="AS321" s="293"/>
      <c r="AT321" s="293"/>
      <c r="AU321" s="294" t="str">
        <f>IFERROR(VLOOKUP(AT321,'Seguridad Información'!$I$61:$J$65,2,0),"")</f>
        <v/>
      </c>
      <c r="AV321" s="79"/>
      <c r="AW321" s="78" t="str">
        <f t="shared" si="48"/>
        <v/>
      </c>
      <c r="AX321" s="77" t="str">
        <f t="shared" si="58"/>
        <v/>
      </c>
      <c r="AY321" s="21" t="str">
        <f>IFERROR(VLOOKUP((CONCATENATE(AM321,AX321)),Listados!$U$3:$V$11,2,FALSE),"")</f>
        <v/>
      </c>
      <c r="AZ321" s="48">
        <f t="shared" si="59"/>
        <v>100</v>
      </c>
      <c r="BA321" s="355"/>
      <c r="BB321" s="357"/>
      <c r="BC321" s="173">
        <f>+IF(AND(W321="Preventivo",BB319="Fuerte"),2,IF(AND(W321="Preventivo",BB319="Moderado"),1,0))</f>
        <v>0</v>
      </c>
      <c r="BD321" s="64">
        <f>+IF(AND(W321="Detectivo/Correctivo",$BB319="Fuerte"),2,IF(AND(W321="Detectivo/Correctivo",$BB321="Moderado"),1,IF(AND(W321="Preventivo",$BB319="Fuerte"),1,0)))</f>
        <v>0</v>
      </c>
      <c r="BE321" s="173" t="e">
        <f>+N319-BC321</f>
        <v>#N/A</v>
      </c>
      <c r="BF321" s="173" t="e">
        <f>+P319-BD321</f>
        <v>#N/A</v>
      </c>
      <c r="BG321" s="346"/>
      <c r="BH321" s="346"/>
      <c r="BI321" s="346"/>
      <c r="BJ321" s="538"/>
      <c r="BK321" s="538"/>
      <c r="BL321" s="538"/>
      <c r="BM321" s="538"/>
    </row>
    <row r="322" spans="1:65" ht="65.099999999999994" customHeight="1" thickBot="1">
      <c r="A322" s="329"/>
      <c r="B322" s="514"/>
      <c r="C322" s="364"/>
      <c r="D322" s="233"/>
      <c r="E322" s="233"/>
      <c r="F322" s="433"/>
      <c r="G322" s="367"/>
      <c r="H322" s="100"/>
      <c r="I322" s="237"/>
      <c r="J322" s="100"/>
      <c r="K322" s="236"/>
      <c r="L322" s="222"/>
      <c r="M322" s="370"/>
      <c r="N322" s="349"/>
      <c r="O322" s="352"/>
      <c r="P322" s="349"/>
      <c r="Q322" s="353"/>
      <c r="R322" s="346"/>
      <c r="S322" s="208"/>
      <c r="T322" s="97"/>
      <c r="U322" s="47" t="s">
        <v>627</v>
      </c>
      <c r="V322" s="215"/>
      <c r="W322" s="215"/>
      <c r="X322" s="215"/>
      <c r="Y322" s="95" t="str">
        <f t="shared" si="49"/>
        <v/>
      </c>
      <c r="Z322" s="215"/>
      <c r="AA322" s="95" t="str">
        <f t="shared" si="50"/>
        <v/>
      </c>
      <c r="AB322" s="208"/>
      <c r="AC322" s="95" t="str">
        <f t="shared" si="51"/>
        <v/>
      </c>
      <c r="AD322" s="208"/>
      <c r="AE322" s="95" t="str">
        <f t="shared" si="52"/>
        <v/>
      </c>
      <c r="AF322" s="208"/>
      <c r="AG322" s="95" t="str">
        <f t="shared" si="53"/>
        <v/>
      </c>
      <c r="AH322" s="208"/>
      <c r="AI322" s="95" t="str">
        <f t="shared" si="54"/>
        <v/>
      </c>
      <c r="AJ322" s="208"/>
      <c r="AK322" s="27" t="str">
        <f t="shared" si="55"/>
        <v/>
      </c>
      <c r="AL322" s="48" t="str">
        <f t="shared" si="56"/>
        <v/>
      </c>
      <c r="AM322" s="48" t="str">
        <f t="shared" si="57"/>
        <v/>
      </c>
      <c r="AN322" s="293"/>
      <c r="AO322" s="293"/>
      <c r="AP322" s="293"/>
      <c r="AQ322" s="293"/>
      <c r="AR322" s="293"/>
      <c r="AS322" s="293"/>
      <c r="AT322" s="293"/>
      <c r="AU322" s="294" t="str">
        <f>IFERROR(VLOOKUP(AT322,'Seguridad Información'!$I$61:$J$65,2,0),"")</f>
        <v/>
      </c>
      <c r="AV322" s="79"/>
      <c r="AW322" s="78" t="str">
        <f t="shared" si="48"/>
        <v/>
      </c>
      <c r="AX322" s="77" t="str">
        <f t="shared" si="58"/>
        <v/>
      </c>
      <c r="AY322" s="21" t="str">
        <f>IFERROR(VLOOKUP((CONCATENATE(AM322,AX322)),Listados!$U$3:$V$11,2,FALSE),"")</f>
        <v/>
      </c>
      <c r="AZ322" s="48">
        <f t="shared" si="59"/>
        <v>100</v>
      </c>
      <c r="BA322" s="355"/>
      <c r="BB322" s="357"/>
      <c r="BC322" s="173">
        <f>+IF(AND(W322="Preventivo",BB319="Fuerte"),2,IF(AND(W322="Preventivo",BB319="Moderado"),1,0))</f>
        <v>0</v>
      </c>
      <c r="BD322" s="64">
        <f>+IF(AND(W322="Detectivo/Correctivo",$BB319="Fuerte"),2,IF(AND(W322="Detectivo/Correctivo",$BB322="Moderado"),1,IF(AND(W322="Preventivo",$BB319="Fuerte"),1,0)))</f>
        <v>0</v>
      </c>
      <c r="BE322" s="173" t="e">
        <f>+N319-BC322</f>
        <v>#N/A</v>
      </c>
      <c r="BF322" s="173" t="e">
        <f>+P319-BD322</f>
        <v>#N/A</v>
      </c>
      <c r="BG322" s="346"/>
      <c r="BH322" s="346"/>
      <c r="BI322" s="346"/>
      <c r="BJ322" s="538"/>
      <c r="BK322" s="538"/>
      <c r="BL322" s="538"/>
      <c r="BM322" s="538"/>
    </row>
    <row r="323" spans="1:65" ht="65.099999999999994" customHeight="1" thickBot="1">
      <c r="A323" s="329"/>
      <c r="B323" s="514"/>
      <c r="C323" s="364"/>
      <c r="D323" s="109"/>
      <c r="E323" s="109"/>
      <c r="F323" s="433"/>
      <c r="G323" s="367"/>
      <c r="H323" s="100"/>
      <c r="I323" s="237"/>
      <c r="J323" s="100"/>
      <c r="K323" s="29"/>
      <c r="L323" s="222"/>
      <c r="M323" s="370"/>
      <c r="N323" s="349"/>
      <c r="O323" s="352"/>
      <c r="P323" s="349"/>
      <c r="Q323" s="353"/>
      <c r="R323" s="346"/>
      <c r="S323" s="208"/>
      <c r="T323" s="195"/>
      <c r="U323" s="47" t="s">
        <v>627</v>
      </c>
      <c r="V323" s="215"/>
      <c r="W323" s="215"/>
      <c r="X323" s="215"/>
      <c r="Y323" s="95" t="str">
        <f t="shared" si="49"/>
        <v/>
      </c>
      <c r="Z323" s="215"/>
      <c r="AA323" s="95" t="str">
        <f t="shared" si="50"/>
        <v/>
      </c>
      <c r="AB323" s="208"/>
      <c r="AC323" s="95" t="str">
        <f t="shared" si="51"/>
        <v/>
      </c>
      <c r="AD323" s="208"/>
      <c r="AE323" s="95" t="str">
        <f t="shared" si="52"/>
        <v/>
      </c>
      <c r="AF323" s="208"/>
      <c r="AG323" s="95" t="str">
        <f t="shared" si="53"/>
        <v/>
      </c>
      <c r="AH323" s="208"/>
      <c r="AI323" s="95" t="str">
        <f t="shared" si="54"/>
        <v/>
      </c>
      <c r="AJ323" s="208"/>
      <c r="AK323" s="27" t="str">
        <f t="shared" si="55"/>
        <v/>
      </c>
      <c r="AL323" s="48" t="str">
        <f t="shared" si="56"/>
        <v/>
      </c>
      <c r="AM323" s="48" t="str">
        <f t="shared" si="57"/>
        <v/>
      </c>
      <c r="AN323" s="293"/>
      <c r="AO323" s="293"/>
      <c r="AP323" s="293"/>
      <c r="AQ323" s="293"/>
      <c r="AR323" s="293"/>
      <c r="AS323" s="293"/>
      <c r="AT323" s="293"/>
      <c r="AU323" s="294" t="str">
        <f>IFERROR(VLOOKUP(AT323,'Seguridad Información'!$I$61:$J$65,2,0),"")</f>
        <v/>
      </c>
      <c r="AV323" s="79"/>
      <c r="AW323" s="78" t="str">
        <f t="shared" si="48"/>
        <v/>
      </c>
      <c r="AX323" s="77" t="str">
        <f t="shared" si="58"/>
        <v/>
      </c>
      <c r="AY323" s="21" t="str">
        <f>IFERROR(VLOOKUP((CONCATENATE(AM323,AX323)),Listados!$U$3:$V$11,2,FALSE),"")</f>
        <v/>
      </c>
      <c r="AZ323" s="48">
        <f t="shared" si="59"/>
        <v>100</v>
      </c>
      <c r="BA323" s="355"/>
      <c r="BB323" s="357"/>
      <c r="BC323" s="173">
        <f>+IF(AND(W323="Preventivo",BB319="Fuerte"),2,IF(AND(W323="Preventivo",BB319="Moderado"),1,0))</f>
        <v>0</v>
      </c>
      <c r="BD323" s="64">
        <f>+IF(AND(W323="Detectivo/Correctivo",$BB319="Fuerte"),2,IF(AND(W323="Detectivo/Correctivo",$BB323="Moderado"),1,IF(AND(W323="Preventivo",$BB319="Fuerte"),1,0)))</f>
        <v>0</v>
      </c>
      <c r="BE323" s="173" t="e">
        <f>+N319-BC323</f>
        <v>#N/A</v>
      </c>
      <c r="BF323" s="173" t="e">
        <f>+P319-BD323</f>
        <v>#N/A</v>
      </c>
      <c r="BG323" s="346"/>
      <c r="BH323" s="346"/>
      <c r="BI323" s="346"/>
      <c r="BJ323" s="538"/>
      <c r="BK323" s="538"/>
      <c r="BL323" s="538"/>
      <c r="BM323" s="538"/>
    </row>
    <row r="324" spans="1:65" ht="65.099999999999994" customHeight="1" thickBot="1">
      <c r="A324" s="330"/>
      <c r="B324" s="514"/>
      <c r="C324" s="365"/>
      <c r="D324" s="106"/>
      <c r="E324" s="106"/>
      <c r="F324" s="434"/>
      <c r="G324" s="368"/>
      <c r="H324" s="100"/>
      <c r="I324" s="237"/>
      <c r="J324" s="100"/>
      <c r="K324" s="31"/>
      <c r="L324" s="222"/>
      <c r="M324" s="370"/>
      <c r="N324" s="350"/>
      <c r="O324" s="352"/>
      <c r="P324" s="350"/>
      <c r="Q324" s="353"/>
      <c r="R324" s="347"/>
      <c r="S324" s="208"/>
      <c r="T324" s="98"/>
      <c r="U324" s="47" t="s">
        <v>627</v>
      </c>
      <c r="V324" s="215"/>
      <c r="W324" s="215"/>
      <c r="X324" s="215"/>
      <c r="Y324" s="95" t="str">
        <f t="shared" si="49"/>
        <v/>
      </c>
      <c r="Z324" s="215"/>
      <c r="AA324" s="95" t="str">
        <f t="shared" si="50"/>
        <v/>
      </c>
      <c r="AB324" s="208"/>
      <c r="AC324" s="95" t="str">
        <f t="shared" si="51"/>
        <v/>
      </c>
      <c r="AD324" s="208"/>
      <c r="AE324" s="95" t="str">
        <f t="shared" si="52"/>
        <v/>
      </c>
      <c r="AF324" s="208"/>
      <c r="AG324" s="95" t="str">
        <f t="shared" si="53"/>
        <v/>
      </c>
      <c r="AH324" s="208"/>
      <c r="AI324" s="95" t="str">
        <f t="shared" si="54"/>
        <v/>
      </c>
      <c r="AJ324" s="208"/>
      <c r="AK324" s="27" t="str">
        <f t="shared" si="55"/>
        <v/>
      </c>
      <c r="AL324" s="48" t="str">
        <f t="shared" si="56"/>
        <v/>
      </c>
      <c r="AM324" s="48" t="str">
        <f t="shared" si="57"/>
        <v/>
      </c>
      <c r="AN324" s="293"/>
      <c r="AO324" s="293"/>
      <c r="AP324" s="293"/>
      <c r="AQ324" s="293"/>
      <c r="AR324" s="293"/>
      <c r="AS324" s="293"/>
      <c r="AT324" s="293"/>
      <c r="AU324" s="294" t="str">
        <f>IFERROR(VLOOKUP(AT324,'Seguridad Información'!$I$61:$J$65,2,0),"")</f>
        <v/>
      </c>
      <c r="AV324" s="79"/>
      <c r="AW324" s="78" t="str">
        <f t="shared" si="48"/>
        <v/>
      </c>
      <c r="AX324" s="77" t="str">
        <f t="shared" si="58"/>
        <v/>
      </c>
      <c r="AY324" s="21" t="str">
        <f>IFERROR(VLOOKUP((CONCATENATE(AM324,AX324)),Listados!$U$3:$V$11,2,FALSE),"")</f>
        <v/>
      </c>
      <c r="AZ324" s="48">
        <f t="shared" si="59"/>
        <v>100</v>
      </c>
      <c r="BA324" s="356"/>
      <c r="BB324" s="357"/>
      <c r="BC324" s="173">
        <f>+IF(AND(W324="Preventivo",BB319="Fuerte"),2,IF(AND(W324="Preventivo",BB319="Moderado"),1,0))</f>
        <v>0</v>
      </c>
      <c r="BD324" s="64">
        <f>+IF(AND(W324="Detectivo/Correctivo",$BB319="Fuerte"),2,IF(AND(W324="Detectivo/Correctivo",$BB324="Moderado"),1,IF(AND(W324="Preventivo",$BB319="Fuerte"),1,0)))</f>
        <v>0</v>
      </c>
      <c r="BE324" s="173" t="e">
        <f>+N319-BC324</f>
        <v>#N/A</v>
      </c>
      <c r="BF324" s="173" t="e">
        <f>+P319-BD324</f>
        <v>#N/A</v>
      </c>
      <c r="BG324" s="347"/>
      <c r="BH324" s="347"/>
      <c r="BI324" s="347"/>
      <c r="BJ324" s="539"/>
      <c r="BK324" s="539"/>
      <c r="BL324" s="539"/>
      <c r="BM324" s="539"/>
    </row>
    <row r="325" spans="1:65" ht="65.099999999999994" customHeight="1" thickBot="1">
      <c r="A325" s="328">
        <v>54</v>
      </c>
      <c r="B325" s="519"/>
      <c r="C325" s="371" t="str">
        <f>IFERROR(VLOOKUP(B325,Listados!B$3:C$20,2,FALSE),"")</f>
        <v/>
      </c>
      <c r="D325" s="107"/>
      <c r="E325" s="107"/>
      <c r="F325" s="432"/>
      <c r="G325" s="372"/>
      <c r="H325" s="100"/>
      <c r="I325" s="237"/>
      <c r="J325" s="100"/>
      <c r="K325" s="103"/>
      <c r="L325" s="17"/>
      <c r="M325" s="369"/>
      <c r="N325" s="348" t="e">
        <f>+VLOOKUP(M325,Listados!$K$8:$L$12,2,0)</f>
        <v>#N/A</v>
      </c>
      <c r="O325" s="351"/>
      <c r="P325" s="348" t="e">
        <f>+VLOOKUP(O325,Listados!$K$13:$L$17,2,0)</f>
        <v>#N/A</v>
      </c>
      <c r="Q325" s="347" t="str">
        <f>IF(AND(M325&lt;&gt;"",O325&lt;&gt;""),VLOOKUP(M325&amp;O325,Listados!$M$3:$N$27,2,FALSE),"")</f>
        <v/>
      </c>
      <c r="R325" s="345" t="e">
        <f>+VLOOKUP(Q325,Listados!$P$3:$Q$6,2,FALSE)</f>
        <v>#N/A</v>
      </c>
      <c r="S325" s="208"/>
      <c r="T325" s="94"/>
      <c r="U325" s="47" t="s">
        <v>627</v>
      </c>
      <c r="V325" s="215"/>
      <c r="W325" s="215"/>
      <c r="X325" s="215"/>
      <c r="Y325" s="95" t="str">
        <f t="shared" si="49"/>
        <v/>
      </c>
      <c r="Z325" s="215"/>
      <c r="AA325" s="95" t="str">
        <f t="shared" si="50"/>
        <v/>
      </c>
      <c r="AB325" s="208"/>
      <c r="AC325" s="95" t="str">
        <f t="shared" si="51"/>
        <v/>
      </c>
      <c r="AD325" s="208"/>
      <c r="AE325" s="95" t="str">
        <f t="shared" si="52"/>
        <v/>
      </c>
      <c r="AF325" s="208"/>
      <c r="AG325" s="95" t="str">
        <f t="shared" si="53"/>
        <v/>
      </c>
      <c r="AH325" s="208"/>
      <c r="AI325" s="95" t="str">
        <f t="shared" si="54"/>
        <v/>
      </c>
      <c r="AJ325" s="208"/>
      <c r="AK325" s="27" t="str">
        <f t="shared" si="55"/>
        <v/>
      </c>
      <c r="AL325" s="48" t="str">
        <f t="shared" si="56"/>
        <v/>
      </c>
      <c r="AM325" s="48" t="str">
        <f t="shared" si="57"/>
        <v/>
      </c>
      <c r="AN325" s="293"/>
      <c r="AO325" s="293"/>
      <c r="AP325" s="293"/>
      <c r="AQ325" s="293"/>
      <c r="AR325" s="293"/>
      <c r="AS325" s="293"/>
      <c r="AT325" s="293"/>
      <c r="AU325" s="294" t="str">
        <f>IFERROR(VLOOKUP(AT325,'Seguridad Información'!$I$61:$J$65,2,0),"")</f>
        <v/>
      </c>
      <c r="AV325" s="79"/>
      <c r="AW325" s="78" t="str">
        <f t="shared" si="48"/>
        <v/>
      </c>
      <c r="AX325" s="77" t="str">
        <f t="shared" si="58"/>
        <v/>
      </c>
      <c r="AY325" s="21" t="str">
        <f>IFERROR(VLOOKUP((CONCATENATE(AM325,AX325)),Listados!$U$3:$V$11,2,FALSE),"")</f>
        <v/>
      </c>
      <c r="AZ325" s="48">
        <f t="shared" si="59"/>
        <v>100</v>
      </c>
      <c r="BA325" s="354">
        <f>AVERAGE(AZ325:AZ330)</f>
        <v>100</v>
      </c>
      <c r="BB325" s="356" t="str">
        <f>IF(BA325&lt;=50, "Débil", IF(BA325&lt;=99,"Moderado","Fuerte"))</f>
        <v>Fuerte</v>
      </c>
      <c r="BC325" s="173">
        <f>+IF(AND(W325="Preventivo",BB325="Fuerte"),2,IF(AND(W325="Preventivo",BB325="Moderado"),1,0))</f>
        <v>0</v>
      </c>
      <c r="BD325" s="64">
        <f>+IF(AND(W325="Detectivo/Correctivo",$BB325="Fuerte"),2,IF(AND(W325="Detectivo/Correctivo",$BB325="Moderado"),1,IF(AND(W325="Preventivo",$BB325="Fuerte"),1,0)))</f>
        <v>0</v>
      </c>
      <c r="BE325" s="173" t="e">
        <f>+N325-BC325</f>
        <v>#N/A</v>
      </c>
      <c r="BF325" s="173" t="e">
        <f>+P325-BD325</f>
        <v>#N/A</v>
      </c>
      <c r="BG325" s="345" t="e">
        <f>+VLOOKUP(MIN(BE325,BE326,BE327,BE328,BE329,BE330),Listados!$J$18:$K$24,2,TRUE)</f>
        <v>#N/A</v>
      </c>
      <c r="BH325" s="345" t="e">
        <f>+VLOOKUP(MIN(BF325,BF326,BF327,BF328,BF329,BF330),Listados!$J$27:$K$32,2,TRUE)</f>
        <v>#N/A</v>
      </c>
      <c r="BI325" s="345" t="e">
        <f>IF(AND(BG325&lt;&gt;"",BH325&lt;&gt;""),VLOOKUP(BG325&amp;BH325,Listados!$M$3:$N$27,2,FALSE),"")</f>
        <v>#N/A</v>
      </c>
      <c r="BJ325" s="537" t="e">
        <f>+IF($R325="Asumir el riesgo","NA","")</f>
        <v>#N/A</v>
      </c>
      <c r="BK325" s="537" t="e">
        <f>+IF($R325="Asumir el riesgo","NA","")</f>
        <v>#N/A</v>
      </c>
      <c r="BL325" s="537" t="e">
        <f>+IF($R325="Asumir el riesgo","NA","")</f>
        <v>#N/A</v>
      </c>
      <c r="BM325" s="537" t="e">
        <f>+IF($R325="Asumir el riesgo","NA","")</f>
        <v>#N/A</v>
      </c>
    </row>
    <row r="326" spans="1:65" ht="65.099999999999994" customHeight="1" thickBot="1">
      <c r="A326" s="329"/>
      <c r="B326" s="514"/>
      <c r="C326" s="364"/>
      <c r="D326" s="233"/>
      <c r="E326" s="233"/>
      <c r="F326" s="433"/>
      <c r="G326" s="367"/>
      <c r="H326" s="100"/>
      <c r="I326" s="237"/>
      <c r="J326" s="100"/>
      <c r="K326" s="236"/>
      <c r="L326" s="222"/>
      <c r="M326" s="370"/>
      <c r="N326" s="349"/>
      <c r="O326" s="352"/>
      <c r="P326" s="349"/>
      <c r="Q326" s="353"/>
      <c r="R326" s="346"/>
      <c r="S326" s="208"/>
      <c r="T326" s="195"/>
      <c r="U326" s="47" t="s">
        <v>627</v>
      </c>
      <c r="V326" s="215"/>
      <c r="W326" s="215"/>
      <c r="X326" s="215"/>
      <c r="Y326" s="95" t="str">
        <f t="shared" si="49"/>
        <v/>
      </c>
      <c r="Z326" s="215"/>
      <c r="AA326" s="95" t="str">
        <f t="shared" si="50"/>
        <v/>
      </c>
      <c r="AB326" s="208"/>
      <c r="AC326" s="95" t="str">
        <f t="shared" si="51"/>
        <v/>
      </c>
      <c r="AD326" s="208"/>
      <c r="AE326" s="95" t="str">
        <f t="shared" si="52"/>
        <v/>
      </c>
      <c r="AF326" s="208"/>
      <c r="AG326" s="95" t="str">
        <f t="shared" si="53"/>
        <v/>
      </c>
      <c r="AH326" s="208"/>
      <c r="AI326" s="95" t="str">
        <f t="shared" si="54"/>
        <v/>
      </c>
      <c r="AJ326" s="208"/>
      <c r="AK326" s="27" t="str">
        <f t="shared" si="55"/>
        <v/>
      </c>
      <c r="AL326" s="48" t="str">
        <f t="shared" si="56"/>
        <v/>
      </c>
      <c r="AM326" s="48" t="str">
        <f t="shared" si="57"/>
        <v/>
      </c>
      <c r="AN326" s="293"/>
      <c r="AO326" s="293"/>
      <c r="AP326" s="293"/>
      <c r="AQ326" s="293"/>
      <c r="AR326" s="293"/>
      <c r="AS326" s="293"/>
      <c r="AT326" s="293"/>
      <c r="AU326" s="294" t="str">
        <f>IFERROR(VLOOKUP(AT326,'Seguridad Información'!$I$61:$J$65,2,0),"")</f>
        <v/>
      </c>
      <c r="AV326" s="79"/>
      <c r="AW326" s="78" t="str">
        <f t="shared" si="48"/>
        <v/>
      </c>
      <c r="AX326" s="77" t="str">
        <f t="shared" si="58"/>
        <v/>
      </c>
      <c r="AY326" s="21" t="str">
        <f>IFERROR(VLOOKUP((CONCATENATE(AM326,AX326)),Listados!$U$3:$V$11,2,FALSE),"")</f>
        <v/>
      </c>
      <c r="AZ326" s="48">
        <f t="shared" si="59"/>
        <v>100</v>
      </c>
      <c r="BA326" s="355"/>
      <c r="BB326" s="357"/>
      <c r="BC326" s="173">
        <f>+IF(AND(W326="Preventivo",BB325="Fuerte"),2,IF(AND(W326="Preventivo",BB325="Moderado"),1,0))</f>
        <v>0</v>
      </c>
      <c r="BD326" s="64">
        <f>+IF(AND(W326="Detectivo/Correctivo",$BB325="Fuerte"),2,IF(AND(W326="Detectivo/Correctivo",$BB326="Moderado"),1,IF(AND(W326="Preventivo",$BB325="Fuerte"),1,0)))</f>
        <v>0</v>
      </c>
      <c r="BE326" s="173" t="e">
        <f>+N325-BC326</f>
        <v>#N/A</v>
      </c>
      <c r="BF326" s="173" t="e">
        <f>+P325-BD326</f>
        <v>#N/A</v>
      </c>
      <c r="BG326" s="346"/>
      <c r="BH326" s="346"/>
      <c r="BI326" s="346"/>
      <c r="BJ326" s="538"/>
      <c r="BK326" s="538"/>
      <c r="BL326" s="538"/>
      <c r="BM326" s="538"/>
    </row>
    <row r="327" spans="1:65" ht="65.099999999999994" customHeight="1" thickBot="1">
      <c r="A327" s="329"/>
      <c r="B327" s="514"/>
      <c r="C327" s="364"/>
      <c r="D327" s="233"/>
      <c r="E327" s="233"/>
      <c r="F327" s="433"/>
      <c r="G327" s="367"/>
      <c r="H327" s="100"/>
      <c r="I327" s="237"/>
      <c r="J327" s="100"/>
      <c r="K327" s="236"/>
      <c r="L327" s="222"/>
      <c r="M327" s="370"/>
      <c r="N327" s="349"/>
      <c r="O327" s="352"/>
      <c r="P327" s="349"/>
      <c r="Q327" s="353"/>
      <c r="R327" s="346"/>
      <c r="S327" s="208"/>
      <c r="T327" s="96"/>
      <c r="U327" s="47" t="s">
        <v>627</v>
      </c>
      <c r="V327" s="215"/>
      <c r="W327" s="215"/>
      <c r="X327" s="215"/>
      <c r="Y327" s="95" t="str">
        <f t="shared" si="49"/>
        <v/>
      </c>
      <c r="Z327" s="215"/>
      <c r="AA327" s="95" t="str">
        <f t="shared" si="50"/>
        <v/>
      </c>
      <c r="AB327" s="208"/>
      <c r="AC327" s="95" t="str">
        <f t="shared" si="51"/>
        <v/>
      </c>
      <c r="AD327" s="208"/>
      <c r="AE327" s="95" t="str">
        <f t="shared" si="52"/>
        <v/>
      </c>
      <c r="AF327" s="208"/>
      <c r="AG327" s="95" t="str">
        <f t="shared" si="53"/>
        <v/>
      </c>
      <c r="AH327" s="208"/>
      <c r="AI327" s="95" t="str">
        <f t="shared" si="54"/>
        <v/>
      </c>
      <c r="AJ327" s="208"/>
      <c r="AK327" s="27" t="str">
        <f t="shared" si="55"/>
        <v/>
      </c>
      <c r="AL327" s="48" t="str">
        <f t="shared" si="56"/>
        <v/>
      </c>
      <c r="AM327" s="48" t="str">
        <f t="shared" si="57"/>
        <v/>
      </c>
      <c r="AN327" s="293"/>
      <c r="AO327" s="293"/>
      <c r="AP327" s="293"/>
      <c r="AQ327" s="293"/>
      <c r="AR327" s="293"/>
      <c r="AS327" s="293"/>
      <c r="AT327" s="293"/>
      <c r="AU327" s="294" t="str">
        <f>IFERROR(VLOOKUP(AT327,'Seguridad Información'!$I$61:$J$65,2,0),"")</f>
        <v/>
      </c>
      <c r="AV327" s="79"/>
      <c r="AW327" s="78" t="str">
        <f t="shared" ref="AW327:AW366" si="60">IFERROR(AVERAGE(AO327,AQ327,AS327,AU327),"")</f>
        <v/>
      </c>
      <c r="AX327" s="77" t="str">
        <f t="shared" si="58"/>
        <v/>
      </c>
      <c r="AY327" s="21" t="str">
        <f>IFERROR(VLOOKUP((CONCATENATE(AM327,AX327)),Listados!$U$3:$V$11,2,FALSE),"")</f>
        <v/>
      </c>
      <c r="AZ327" s="48">
        <f t="shared" si="59"/>
        <v>100</v>
      </c>
      <c r="BA327" s="355"/>
      <c r="BB327" s="357"/>
      <c r="BC327" s="173">
        <f>+IF(AND(W327="Preventivo",BB325="Fuerte"),2,IF(AND(W327="Preventivo",BB325="Moderado"),1,0))</f>
        <v>0</v>
      </c>
      <c r="BD327" s="64">
        <f>+IF(AND(W327="Detectivo/Correctivo",$BB325="Fuerte"),2,IF(AND(W327="Detectivo/Correctivo",$BB327="Moderado"),1,IF(AND(W327="Preventivo",$BB325="Fuerte"),1,0)))</f>
        <v>0</v>
      </c>
      <c r="BE327" s="173" t="e">
        <f>+N325-BC327</f>
        <v>#N/A</v>
      </c>
      <c r="BF327" s="173" t="e">
        <f>+P325-BD327</f>
        <v>#N/A</v>
      </c>
      <c r="BG327" s="346"/>
      <c r="BH327" s="346"/>
      <c r="BI327" s="346"/>
      <c r="BJ327" s="538"/>
      <c r="BK327" s="538"/>
      <c r="BL327" s="538"/>
      <c r="BM327" s="538"/>
    </row>
    <row r="328" spans="1:65" ht="65.099999999999994" customHeight="1" thickBot="1">
      <c r="A328" s="329"/>
      <c r="B328" s="514"/>
      <c r="C328" s="364"/>
      <c r="D328" s="233"/>
      <c r="E328" s="233"/>
      <c r="F328" s="433"/>
      <c r="G328" s="367"/>
      <c r="H328" s="100"/>
      <c r="I328" s="237"/>
      <c r="J328" s="100"/>
      <c r="K328" s="236"/>
      <c r="L328" s="222"/>
      <c r="M328" s="370"/>
      <c r="N328" s="349"/>
      <c r="O328" s="352"/>
      <c r="P328" s="349"/>
      <c r="Q328" s="353"/>
      <c r="R328" s="346"/>
      <c r="S328" s="208"/>
      <c r="T328" s="97"/>
      <c r="U328" s="47" t="s">
        <v>627</v>
      </c>
      <c r="V328" s="215"/>
      <c r="W328" s="215"/>
      <c r="X328" s="215"/>
      <c r="Y328" s="95" t="str">
        <f t="shared" ref="Y328:Y366" si="61">+IF(X328="si",15,"")</f>
        <v/>
      </c>
      <c r="Z328" s="215"/>
      <c r="AA328" s="95" t="str">
        <f t="shared" ref="AA328:AA366" si="62">+IF(Z328="si",15,"")</f>
        <v/>
      </c>
      <c r="AB328" s="208"/>
      <c r="AC328" s="95" t="str">
        <f t="shared" ref="AC328:AC366" si="63">+IF(AB328="si",15,"")</f>
        <v/>
      </c>
      <c r="AD328" s="208"/>
      <c r="AE328" s="95" t="str">
        <f t="shared" ref="AE328:AE366" si="64">+IF(AD328="si",15,"")</f>
        <v/>
      </c>
      <c r="AF328" s="208"/>
      <c r="AG328" s="95" t="str">
        <f t="shared" ref="AG328:AG366" si="65">+IF(AF328="si",15,"")</f>
        <v/>
      </c>
      <c r="AH328" s="208"/>
      <c r="AI328" s="95" t="str">
        <f t="shared" ref="AI328:AI366" si="66">+IF(AH328="si",15,"")</f>
        <v/>
      </c>
      <c r="AJ328" s="208"/>
      <c r="AK328" s="27" t="str">
        <f t="shared" ref="AK328:AK366" si="67">+IF(AJ328="Completa",10,IF(AJ328="Incompleta",5,""))</f>
        <v/>
      </c>
      <c r="AL328" s="48" t="str">
        <f t="shared" ref="AL328:AL366" si="68">IF((SUM(Y328,AA328,AC328,AE328,AG328,AI328,AK328)=0),"",(SUM(Y328,AA328,AC328,AE328,AG328,AI328,AK328)))</f>
        <v/>
      </c>
      <c r="AM328" s="48" t="str">
        <f t="shared" ref="AM328:AM366" si="69">IF(AL328&lt;=85,"Débil",IF(AL328&lt;=95,"Moderado",IF(AL328=100,"Fuerte","")))</f>
        <v/>
      </c>
      <c r="AN328" s="293"/>
      <c r="AO328" s="293"/>
      <c r="AP328" s="293"/>
      <c r="AQ328" s="293"/>
      <c r="AR328" s="293"/>
      <c r="AS328" s="293"/>
      <c r="AT328" s="293"/>
      <c r="AU328" s="294" t="str">
        <f>IFERROR(VLOOKUP(AT328,'Seguridad Información'!$I$61:$J$65,2,0),"")</f>
        <v/>
      </c>
      <c r="AV328" s="79"/>
      <c r="AW328" s="78" t="str">
        <f t="shared" si="60"/>
        <v/>
      </c>
      <c r="AX328" s="77" t="str">
        <f t="shared" ref="AX328:AX366" si="70">IF(AW328&lt;=80,"Débil",IF(AW328&lt;=90,"Moderado",IF(AW328=100,"Fuerte","")))</f>
        <v/>
      </c>
      <c r="AY328" s="21" t="str">
        <f>IFERROR(VLOOKUP((CONCATENATE(AM328,AX328)),Listados!$U$3:$V$11,2,FALSE),"")</f>
        <v/>
      </c>
      <c r="AZ328" s="48">
        <f t="shared" si="59"/>
        <v>100</v>
      </c>
      <c r="BA328" s="355"/>
      <c r="BB328" s="357"/>
      <c r="BC328" s="173">
        <f>+IF(AND(W328="Preventivo",BB325="Fuerte"),2,IF(AND(W328="Preventivo",BB325="Moderado"),1,0))</f>
        <v>0</v>
      </c>
      <c r="BD328" s="64">
        <f>+IF(AND(W328="Detectivo/Correctivo",$BB325="Fuerte"),2,IF(AND(W328="Detectivo/Correctivo",$BB328="Moderado"),1,IF(AND(W328="Preventivo",$BB325="Fuerte"),1,0)))</f>
        <v>0</v>
      </c>
      <c r="BE328" s="173" t="e">
        <f>+N325-BC328</f>
        <v>#N/A</v>
      </c>
      <c r="BF328" s="173" t="e">
        <f>+P325-BD328</f>
        <v>#N/A</v>
      </c>
      <c r="BG328" s="346"/>
      <c r="BH328" s="346"/>
      <c r="BI328" s="346"/>
      <c r="BJ328" s="538"/>
      <c r="BK328" s="538"/>
      <c r="BL328" s="538"/>
      <c r="BM328" s="538"/>
    </row>
    <row r="329" spans="1:65" ht="65.099999999999994" customHeight="1" thickBot="1">
      <c r="A329" s="329"/>
      <c r="B329" s="514"/>
      <c r="C329" s="364"/>
      <c r="D329" s="109"/>
      <c r="E329" s="109"/>
      <c r="F329" s="433"/>
      <c r="G329" s="367"/>
      <c r="H329" s="100"/>
      <c r="I329" s="237"/>
      <c r="J329" s="100"/>
      <c r="K329" s="29"/>
      <c r="L329" s="222"/>
      <c r="M329" s="370"/>
      <c r="N329" s="349"/>
      <c r="O329" s="352"/>
      <c r="P329" s="349"/>
      <c r="Q329" s="353"/>
      <c r="R329" s="346"/>
      <c r="S329" s="208"/>
      <c r="T329" s="195"/>
      <c r="U329" s="47" t="s">
        <v>627</v>
      </c>
      <c r="V329" s="215"/>
      <c r="W329" s="215"/>
      <c r="X329" s="215"/>
      <c r="Y329" s="95" t="str">
        <f t="shared" si="61"/>
        <v/>
      </c>
      <c r="Z329" s="215"/>
      <c r="AA329" s="95" t="str">
        <f t="shared" si="62"/>
        <v/>
      </c>
      <c r="AB329" s="208"/>
      <c r="AC329" s="95" t="str">
        <f t="shared" si="63"/>
        <v/>
      </c>
      <c r="AD329" s="208"/>
      <c r="AE329" s="95" t="str">
        <f t="shared" si="64"/>
        <v/>
      </c>
      <c r="AF329" s="208"/>
      <c r="AG329" s="95" t="str">
        <f t="shared" si="65"/>
        <v/>
      </c>
      <c r="AH329" s="208"/>
      <c r="AI329" s="95" t="str">
        <f t="shared" si="66"/>
        <v/>
      </c>
      <c r="AJ329" s="208"/>
      <c r="AK329" s="27" t="str">
        <f t="shared" si="67"/>
        <v/>
      </c>
      <c r="AL329" s="48" t="str">
        <f t="shared" si="68"/>
        <v/>
      </c>
      <c r="AM329" s="48" t="str">
        <f t="shared" si="69"/>
        <v/>
      </c>
      <c r="AN329" s="293"/>
      <c r="AO329" s="293"/>
      <c r="AP329" s="293"/>
      <c r="AQ329" s="293"/>
      <c r="AR329" s="293"/>
      <c r="AS329" s="293"/>
      <c r="AT329" s="293"/>
      <c r="AU329" s="294" t="str">
        <f>IFERROR(VLOOKUP(AT329,'Seguridad Información'!$I$61:$J$65,2,0),"")</f>
        <v/>
      </c>
      <c r="AV329" s="79"/>
      <c r="AW329" s="78" t="str">
        <f t="shared" si="60"/>
        <v/>
      </c>
      <c r="AX329" s="77" t="str">
        <f t="shared" si="70"/>
        <v/>
      </c>
      <c r="AY329" s="21" t="str">
        <f>IFERROR(VLOOKUP((CONCATENATE(AM329,AX329)),Listados!$U$3:$V$11,2,FALSE),"")</f>
        <v/>
      </c>
      <c r="AZ329" s="48">
        <f t="shared" ref="AZ329:AZ366" si="71">IF(ISBLANK(AY329),"",IF(AY329="Débil", 0, IF(AY329="Moderado",50,100)))</f>
        <v>100</v>
      </c>
      <c r="BA329" s="355"/>
      <c r="BB329" s="357"/>
      <c r="BC329" s="173">
        <f>+IF(AND(W329="Preventivo",BB325="Fuerte"),2,IF(AND(W329="Preventivo",BB325="Moderado"),1,0))</f>
        <v>0</v>
      </c>
      <c r="BD329" s="64">
        <f>+IF(AND(W329="Detectivo/Correctivo",$BB325="Fuerte"),2,IF(AND(W329="Detectivo/Correctivo",$BB329="Moderado"),1,IF(AND(W329="Preventivo",$BB325="Fuerte"),1,0)))</f>
        <v>0</v>
      </c>
      <c r="BE329" s="173" t="e">
        <f>+N325-BC329</f>
        <v>#N/A</v>
      </c>
      <c r="BF329" s="173" t="e">
        <f>+P325-BD329</f>
        <v>#N/A</v>
      </c>
      <c r="BG329" s="346"/>
      <c r="BH329" s="346"/>
      <c r="BI329" s="346"/>
      <c r="BJ329" s="538"/>
      <c r="BK329" s="538"/>
      <c r="BL329" s="538"/>
      <c r="BM329" s="538"/>
    </row>
    <row r="330" spans="1:65" ht="65.099999999999994" customHeight="1" thickBot="1">
      <c r="A330" s="330"/>
      <c r="B330" s="514"/>
      <c r="C330" s="365"/>
      <c r="D330" s="106"/>
      <c r="E330" s="106"/>
      <c r="F330" s="434"/>
      <c r="G330" s="368"/>
      <c r="H330" s="100"/>
      <c r="I330" s="237"/>
      <c r="J330" s="100"/>
      <c r="K330" s="31"/>
      <c r="L330" s="222"/>
      <c r="M330" s="370"/>
      <c r="N330" s="350"/>
      <c r="O330" s="352"/>
      <c r="P330" s="350"/>
      <c r="Q330" s="353"/>
      <c r="R330" s="347"/>
      <c r="S330" s="208"/>
      <c r="T330" s="98"/>
      <c r="U330" s="47" t="s">
        <v>627</v>
      </c>
      <c r="V330" s="215"/>
      <c r="W330" s="215"/>
      <c r="X330" s="215"/>
      <c r="Y330" s="95" t="str">
        <f t="shared" si="61"/>
        <v/>
      </c>
      <c r="Z330" s="215"/>
      <c r="AA330" s="95" t="str">
        <f t="shared" si="62"/>
        <v/>
      </c>
      <c r="AB330" s="208"/>
      <c r="AC330" s="95" t="str">
        <f t="shared" si="63"/>
        <v/>
      </c>
      <c r="AD330" s="208"/>
      <c r="AE330" s="95" t="str">
        <f t="shared" si="64"/>
        <v/>
      </c>
      <c r="AF330" s="208"/>
      <c r="AG330" s="95" t="str">
        <f t="shared" si="65"/>
        <v/>
      </c>
      <c r="AH330" s="208"/>
      <c r="AI330" s="95" t="str">
        <f t="shared" si="66"/>
        <v/>
      </c>
      <c r="AJ330" s="208"/>
      <c r="AK330" s="27" t="str">
        <f t="shared" si="67"/>
        <v/>
      </c>
      <c r="AL330" s="48" t="str">
        <f t="shared" si="68"/>
        <v/>
      </c>
      <c r="AM330" s="48" t="str">
        <f t="shared" si="69"/>
        <v/>
      </c>
      <c r="AN330" s="293"/>
      <c r="AO330" s="293"/>
      <c r="AP330" s="293"/>
      <c r="AQ330" s="293"/>
      <c r="AR330" s="293"/>
      <c r="AS330" s="293"/>
      <c r="AT330" s="293"/>
      <c r="AU330" s="294" t="str">
        <f>IFERROR(VLOOKUP(AT330,'Seguridad Información'!$I$61:$J$65,2,0),"")</f>
        <v/>
      </c>
      <c r="AV330" s="79"/>
      <c r="AW330" s="78" t="str">
        <f t="shared" si="60"/>
        <v/>
      </c>
      <c r="AX330" s="77" t="str">
        <f t="shared" si="70"/>
        <v/>
      </c>
      <c r="AY330" s="21" t="str">
        <f>IFERROR(VLOOKUP((CONCATENATE(AM330,AX330)),Listados!$U$3:$V$11,2,FALSE),"")</f>
        <v/>
      </c>
      <c r="AZ330" s="48">
        <f t="shared" si="71"/>
        <v>100</v>
      </c>
      <c r="BA330" s="356"/>
      <c r="BB330" s="357"/>
      <c r="BC330" s="173">
        <f>+IF(AND(W330="Preventivo",BB325="Fuerte"),2,IF(AND(W330="Preventivo",BB325="Moderado"),1,0))</f>
        <v>0</v>
      </c>
      <c r="BD330" s="64">
        <f>+IF(AND(W330="Detectivo/Correctivo",$BB325="Fuerte"),2,IF(AND(W330="Detectivo/Correctivo",$BB330="Moderado"),1,IF(AND(W330="Preventivo",$BB325="Fuerte"),1,0)))</f>
        <v>0</v>
      </c>
      <c r="BE330" s="173" t="e">
        <f>+N325-BC330</f>
        <v>#N/A</v>
      </c>
      <c r="BF330" s="173" t="e">
        <f>+P325-BD330</f>
        <v>#N/A</v>
      </c>
      <c r="BG330" s="347"/>
      <c r="BH330" s="347"/>
      <c r="BI330" s="347"/>
      <c r="BJ330" s="539"/>
      <c r="BK330" s="539"/>
      <c r="BL330" s="539"/>
      <c r="BM330" s="539"/>
    </row>
    <row r="331" spans="1:65" ht="65.099999999999994" customHeight="1" thickBot="1">
      <c r="A331" s="328">
        <v>55</v>
      </c>
      <c r="B331" s="519"/>
      <c r="C331" s="371" t="str">
        <f>IFERROR(VLOOKUP(B331,Listados!B$3:C$20,2,FALSE),"")</f>
        <v/>
      </c>
      <c r="D331" s="107"/>
      <c r="E331" s="107"/>
      <c r="F331" s="432"/>
      <c r="G331" s="372"/>
      <c r="H331" s="100"/>
      <c r="I331" s="237"/>
      <c r="J331" s="100"/>
      <c r="K331" s="103"/>
      <c r="L331" s="17"/>
      <c r="M331" s="369"/>
      <c r="N331" s="348" t="e">
        <f>+VLOOKUP(M331,Listados!$K$8:$L$12,2,0)</f>
        <v>#N/A</v>
      </c>
      <c r="O331" s="351"/>
      <c r="P331" s="348" t="e">
        <f>+VLOOKUP(O331,Listados!$K$13:$L$17,2,0)</f>
        <v>#N/A</v>
      </c>
      <c r="Q331" s="347" t="str">
        <f>IF(AND(M331&lt;&gt;"",O331&lt;&gt;""),VLOOKUP(M331&amp;O331,Listados!$M$3:$N$27,2,FALSE),"")</f>
        <v/>
      </c>
      <c r="R331" s="345" t="e">
        <f>+VLOOKUP(Q331,Listados!$P$3:$Q$6,2,FALSE)</f>
        <v>#N/A</v>
      </c>
      <c r="S331" s="208"/>
      <c r="T331" s="94"/>
      <c r="U331" s="47" t="s">
        <v>627</v>
      </c>
      <c r="V331" s="215"/>
      <c r="W331" s="215"/>
      <c r="X331" s="215"/>
      <c r="Y331" s="95" t="str">
        <f t="shared" si="61"/>
        <v/>
      </c>
      <c r="Z331" s="215"/>
      <c r="AA331" s="95" t="str">
        <f t="shared" si="62"/>
        <v/>
      </c>
      <c r="AB331" s="208"/>
      <c r="AC331" s="95" t="str">
        <f t="shared" si="63"/>
        <v/>
      </c>
      <c r="AD331" s="208"/>
      <c r="AE331" s="95" t="str">
        <f t="shared" si="64"/>
        <v/>
      </c>
      <c r="AF331" s="208"/>
      <c r="AG331" s="95" t="str">
        <f t="shared" si="65"/>
        <v/>
      </c>
      <c r="AH331" s="208"/>
      <c r="AI331" s="95" t="str">
        <f t="shared" si="66"/>
        <v/>
      </c>
      <c r="AJ331" s="208"/>
      <c r="AK331" s="27" t="str">
        <f t="shared" si="67"/>
        <v/>
      </c>
      <c r="AL331" s="48" t="str">
        <f t="shared" si="68"/>
        <v/>
      </c>
      <c r="AM331" s="48" t="str">
        <f t="shared" si="69"/>
        <v/>
      </c>
      <c r="AN331" s="293"/>
      <c r="AO331" s="293"/>
      <c r="AP331" s="293"/>
      <c r="AQ331" s="293"/>
      <c r="AR331" s="293"/>
      <c r="AS331" s="293"/>
      <c r="AT331" s="293"/>
      <c r="AU331" s="294" t="str">
        <f>IFERROR(VLOOKUP(AT331,'Seguridad Información'!$I$61:$J$65,2,0),"")</f>
        <v/>
      </c>
      <c r="AV331" s="79"/>
      <c r="AW331" s="78" t="str">
        <f t="shared" si="60"/>
        <v/>
      </c>
      <c r="AX331" s="77" t="str">
        <f t="shared" si="70"/>
        <v/>
      </c>
      <c r="AY331" s="21" t="str">
        <f>IFERROR(VLOOKUP((CONCATENATE(AM331,AX331)),Listados!$U$3:$V$11,2,FALSE),"")</f>
        <v/>
      </c>
      <c r="AZ331" s="48">
        <f t="shared" si="71"/>
        <v>100</v>
      </c>
      <c r="BA331" s="354">
        <f>AVERAGE(AZ331:AZ336)</f>
        <v>100</v>
      </c>
      <c r="BB331" s="356" t="str">
        <f>IF(BA331&lt;=50, "Débil", IF(BA331&lt;=99,"Moderado","Fuerte"))</f>
        <v>Fuerte</v>
      </c>
      <c r="BC331" s="173">
        <f>+IF(AND(W331="Preventivo",BB331="Fuerte"),2,IF(AND(W331="Preventivo",BB331="Moderado"),1,0))</f>
        <v>0</v>
      </c>
      <c r="BD331" s="64">
        <f>+IF(AND(W331="Detectivo/Correctivo",$BB331="Fuerte"),2,IF(AND(W331="Detectivo/Correctivo",$BB331="Moderado"),1,IF(AND(W331="Preventivo",$BB331="Fuerte"),1,0)))</f>
        <v>0</v>
      </c>
      <c r="BE331" s="173" t="e">
        <f>+N331-BC331</f>
        <v>#N/A</v>
      </c>
      <c r="BF331" s="173" t="e">
        <f>+P331-BD331</f>
        <v>#N/A</v>
      </c>
      <c r="BG331" s="345" t="e">
        <f>+VLOOKUP(MIN(BE331,BE332,BE333,BE334,BE335,BE336),Listados!$J$18:$K$24,2,TRUE)</f>
        <v>#N/A</v>
      </c>
      <c r="BH331" s="345" t="e">
        <f>+VLOOKUP(MIN(BF331,BF332,BF333,BF334,BF335,BF336),Listados!$J$27:$K$32,2,TRUE)</f>
        <v>#N/A</v>
      </c>
      <c r="BI331" s="345" t="e">
        <f>IF(AND(BG331&lt;&gt;"",BH331&lt;&gt;""),VLOOKUP(BG331&amp;BH331,Listados!$M$3:$N$27,2,FALSE),"")</f>
        <v>#N/A</v>
      </c>
      <c r="BJ331" s="537" t="e">
        <f>+IF($R331="Asumir el riesgo","NA","")</f>
        <v>#N/A</v>
      </c>
      <c r="BK331" s="537" t="e">
        <f>+IF($R331="Asumir el riesgo","NA","")</f>
        <v>#N/A</v>
      </c>
      <c r="BL331" s="537" t="e">
        <f>+IF($R331="Asumir el riesgo","NA","")</f>
        <v>#N/A</v>
      </c>
      <c r="BM331" s="537" t="e">
        <f>+IF($R331="Asumir el riesgo","NA","")</f>
        <v>#N/A</v>
      </c>
    </row>
    <row r="332" spans="1:65" ht="65.099999999999994" customHeight="1" thickBot="1">
      <c r="A332" s="329"/>
      <c r="B332" s="514"/>
      <c r="C332" s="364"/>
      <c r="D332" s="233"/>
      <c r="E332" s="233"/>
      <c r="F332" s="433"/>
      <c r="G332" s="367"/>
      <c r="H332" s="100"/>
      <c r="I332" s="237"/>
      <c r="J332" s="100"/>
      <c r="K332" s="236"/>
      <c r="L332" s="222"/>
      <c r="M332" s="370"/>
      <c r="N332" s="349"/>
      <c r="O332" s="352"/>
      <c r="P332" s="349"/>
      <c r="Q332" s="353"/>
      <c r="R332" s="346"/>
      <c r="S332" s="208"/>
      <c r="T332" s="195"/>
      <c r="U332" s="47" t="s">
        <v>627</v>
      </c>
      <c r="V332" s="215"/>
      <c r="W332" s="215"/>
      <c r="X332" s="215"/>
      <c r="Y332" s="95" t="str">
        <f t="shared" si="61"/>
        <v/>
      </c>
      <c r="Z332" s="215"/>
      <c r="AA332" s="95" t="str">
        <f t="shared" si="62"/>
        <v/>
      </c>
      <c r="AB332" s="208"/>
      <c r="AC332" s="95" t="str">
        <f t="shared" si="63"/>
        <v/>
      </c>
      <c r="AD332" s="208"/>
      <c r="AE332" s="95" t="str">
        <f t="shared" si="64"/>
        <v/>
      </c>
      <c r="AF332" s="208"/>
      <c r="AG332" s="95" t="str">
        <f t="shared" si="65"/>
        <v/>
      </c>
      <c r="AH332" s="208"/>
      <c r="AI332" s="95" t="str">
        <f t="shared" si="66"/>
        <v/>
      </c>
      <c r="AJ332" s="208"/>
      <c r="AK332" s="27" t="str">
        <f t="shared" si="67"/>
        <v/>
      </c>
      <c r="AL332" s="48" t="str">
        <f t="shared" si="68"/>
        <v/>
      </c>
      <c r="AM332" s="48" t="str">
        <f t="shared" si="69"/>
        <v/>
      </c>
      <c r="AN332" s="293"/>
      <c r="AO332" s="293"/>
      <c r="AP332" s="293"/>
      <c r="AQ332" s="293"/>
      <c r="AR332" s="293"/>
      <c r="AS332" s="293"/>
      <c r="AT332" s="293"/>
      <c r="AU332" s="294" t="str">
        <f>IFERROR(VLOOKUP(AT332,'Seguridad Información'!$I$61:$J$65,2,0),"")</f>
        <v/>
      </c>
      <c r="AV332" s="79"/>
      <c r="AW332" s="78" t="str">
        <f t="shared" si="60"/>
        <v/>
      </c>
      <c r="AX332" s="77" t="str">
        <f t="shared" si="70"/>
        <v/>
      </c>
      <c r="AY332" s="21" t="str">
        <f>IFERROR(VLOOKUP((CONCATENATE(AM332,AX332)),Listados!$U$3:$V$11,2,FALSE),"")</f>
        <v/>
      </c>
      <c r="AZ332" s="48">
        <f t="shared" si="71"/>
        <v>100</v>
      </c>
      <c r="BA332" s="355"/>
      <c r="BB332" s="357"/>
      <c r="BC332" s="173">
        <f>+IF(AND(W332="Preventivo",BB331="Fuerte"),2,IF(AND(W332="Preventivo",BB331="Moderado"),1,0))</f>
        <v>0</v>
      </c>
      <c r="BD332" s="64">
        <f>+IF(AND(W332="Detectivo/Correctivo",$BB331="Fuerte"),2,IF(AND(W332="Detectivo/Correctivo",$BB332="Moderado"),1,IF(AND(W332="Preventivo",$BB331="Fuerte"),1,0)))</f>
        <v>0</v>
      </c>
      <c r="BE332" s="173" t="e">
        <f>+N331-BC332</f>
        <v>#N/A</v>
      </c>
      <c r="BF332" s="173" t="e">
        <f>+P331-BD332</f>
        <v>#N/A</v>
      </c>
      <c r="BG332" s="346"/>
      <c r="BH332" s="346"/>
      <c r="BI332" s="346"/>
      <c r="BJ332" s="538"/>
      <c r="BK332" s="538"/>
      <c r="BL332" s="538"/>
      <c r="BM332" s="538"/>
    </row>
    <row r="333" spans="1:65" ht="65.099999999999994" customHeight="1" thickBot="1">
      <c r="A333" s="329"/>
      <c r="B333" s="514"/>
      <c r="C333" s="364"/>
      <c r="D333" s="233"/>
      <c r="E333" s="233"/>
      <c r="F333" s="433"/>
      <c r="G333" s="367"/>
      <c r="H333" s="100"/>
      <c r="I333" s="237"/>
      <c r="J333" s="100"/>
      <c r="K333" s="236"/>
      <c r="L333" s="222"/>
      <c r="M333" s="370"/>
      <c r="N333" s="349"/>
      <c r="O333" s="352"/>
      <c r="P333" s="349"/>
      <c r="Q333" s="353"/>
      <c r="R333" s="346"/>
      <c r="S333" s="208"/>
      <c r="T333" s="96"/>
      <c r="U333" s="47" t="s">
        <v>627</v>
      </c>
      <c r="V333" s="215"/>
      <c r="W333" s="215"/>
      <c r="X333" s="215"/>
      <c r="Y333" s="95" t="str">
        <f t="shared" si="61"/>
        <v/>
      </c>
      <c r="Z333" s="215"/>
      <c r="AA333" s="95" t="str">
        <f t="shared" si="62"/>
        <v/>
      </c>
      <c r="AB333" s="208"/>
      <c r="AC333" s="95" t="str">
        <f t="shared" si="63"/>
        <v/>
      </c>
      <c r="AD333" s="208"/>
      <c r="AE333" s="95" t="str">
        <f t="shared" si="64"/>
        <v/>
      </c>
      <c r="AF333" s="208"/>
      <c r="AG333" s="95" t="str">
        <f t="shared" si="65"/>
        <v/>
      </c>
      <c r="AH333" s="208"/>
      <c r="AI333" s="95" t="str">
        <f t="shared" si="66"/>
        <v/>
      </c>
      <c r="AJ333" s="208"/>
      <c r="AK333" s="27" t="str">
        <f t="shared" si="67"/>
        <v/>
      </c>
      <c r="AL333" s="48" t="str">
        <f t="shared" si="68"/>
        <v/>
      </c>
      <c r="AM333" s="48" t="str">
        <f t="shared" si="69"/>
        <v/>
      </c>
      <c r="AN333" s="293"/>
      <c r="AO333" s="293"/>
      <c r="AP333" s="293"/>
      <c r="AQ333" s="293"/>
      <c r="AR333" s="293"/>
      <c r="AS333" s="293"/>
      <c r="AT333" s="293"/>
      <c r="AU333" s="294" t="str">
        <f>IFERROR(VLOOKUP(AT333,'Seguridad Información'!$I$61:$J$65,2,0),"")</f>
        <v/>
      </c>
      <c r="AV333" s="79"/>
      <c r="AW333" s="78" t="str">
        <f t="shared" si="60"/>
        <v/>
      </c>
      <c r="AX333" s="77" t="str">
        <f t="shared" si="70"/>
        <v/>
      </c>
      <c r="AY333" s="21" t="str">
        <f>IFERROR(VLOOKUP((CONCATENATE(AM333,AX333)),Listados!$U$3:$V$11,2,FALSE),"")</f>
        <v/>
      </c>
      <c r="AZ333" s="48">
        <f t="shared" si="71"/>
        <v>100</v>
      </c>
      <c r="BA333" s="355"/>
      <c r="BB333" s="357"/>
      <c r="BC333" s="173">
        <f>+IF(AND(W333="Preventivo",BB331="Fuerte"),2,IF(AND(W333="Preventivo",BB331="Moderado"),1,0))</f>
        <v>0</v>
      </c>
      <c r="BD333" s="64">
        <f>+IF(AND(W333="Detectivo/Correctivo",$BB331="Fuerte"),2,IF(AND(W333="Detectivo/Correctivo",$BB333="Moderado"),1,IF(AND(W333="Preventivo",$BB331="Fuerte"),1,0)))</f>
        <v>0</v>
      </c>
      <c r="BE333" s="173" t="e">
        <f>+N331-BC333</f>
        <v>#N/A</v>
      </c>
      <c r="BF333" s="173" t="e">
        <f>+P331-BD333</f>
        <v>#N/A</v>
      </c>
      <c r="BG333" s="346"/>
      <c r="BH333" s="346"/>
      <c r="BI333" s="346"/>
      <c r="BJ333" s="538"/>
      <c r="BK333" s="538"/>
      <c r="BL333" s="538"/>
      <c r="BM333" s="538"/>
    </row>
    <row r="334" spans="1:65" ht="65.099999999999994" customHeight="1" thickBot="1">
      <c r="A334" s="329"/>
      <c r="B334" s="514"/>
      <c r="C334" s="364"/>
      <c r="D334" s="233"/>
      <c r="E334" s="233"/>
      <c r="F334" s="433"/>
      <c r="G334" s="367"/>
      <c r="H334" s="100"/>
      <c r="I334" s="237"/>
      <c r="J334" s="100"/>
      <c r="K334" s="236"/>
      <c r="L334" s="222"/>
      <c r="M334" s="370"/>
      <c r="N334" s="349"/>
      <c r="O334" s="352"/>
      <c r="P334" s="349"/>
      <c r="Q334" s="353"/>
      <c r="R334" s="346"/>
      <c r="S334" s="208"/>
      <c r="T334" s="97"/>
      <c r="U334" s="47" t="s">
        <v>627</v>
      </c>
      <c r="V334" s="215"/>
      <c r="W334" s="215"/>
      <c r="X334" s="215"/>
      <c r="Y334" s="95" t="str">
        <f t="shared" si="61"/>
        <v/>
      </c>
      <c r="Z334" s="215"/>
      <c r="AA334" s="95" t="str">
        <f t="shared" si="62"/>
        <v/>
      </c>
      <c r="AB334" s="208"/>
      <c r="AC334" s="95" t="str">
        <f t="shared" si="63"/>
        <v/>
      </c>
      <c r="AD334" s="208"/>
      <c r="AE334" s="95" t="str">
        <f t="shared" si="64"/>
        <v/>
      </c>
      <c r="AF334" s="208"/>
      <c r="AG334" s="95" t="str">
        <f t="shared" si="65"/>
        <v/>
      </c>
      <c r="AH334" s="208"/>
      <c r="AI334" s="95" t="str">
        <f t="shared" si="66"/>
        <v/>
      </c>
      <c r="AJ334" s="208"/>
      <c r="AK334" s="27" t="str">
        <f t="shared" si="67"/>
        <v/>
      </c>
      <c r="AL334" s="48" t="str">
        <f t="shared" si="68"/>
        <v/>
      </c>
      <c r="AM334" s="48" t="str">
        <f t="shared" si="69"/>
        <v/>
      </c>
      <c r="AN334" s="293"/>
      <c r="AO334" s="293"/>
      <c r="AP334" s="293"/>
      <c r="AQ334" s="293"/>
      <c r="AR334" s="293"/>
      <c r="AS334" s="293"/>
      <c r="AT334" s="293"/>
      <c r="AU334" s="294" t="str">
        <f>IFERROR(VLOOKUP(AT334,'Seguridad Información'!$I$61:$J$65,2,0),"")</f>
        <v/>
      </c>
      <c r="AV334" s="79"/>
      <c r="AW334" s="78" t="str">
        <f t="shared" si="60"/>
        <v/>
      </c>
      <c r="AX334" s="77" t="str">
        <f t="shared" si="70"/>
        <v/>
      </c>
      <c r="AY334" s="21" t="str">
        <f>IFERROR(VLOOKUP((CONCATENATE(AM334,AX334)),Listados!$U$3:$V$11,2,FALSE),"")</f>
        <v/>
      </c>
      <c r="AZ334" s="48">
        <f t="shared" si="71"/>
        <v>100</v>
      </c>
      <c r="BA334" s="355"/>
      <c r="BB334" s="357"/>
      <c r="BC334" s="173">
        <f>+IF(AND(W334="Preventivo",BB331="Fuerte"),2,IF(AND(W334="Preventivo",BB331="Moderado"),1,0))</f>
        <v>0</v>
      </c>
      <c r="BD334" s="64">
        <f>+IF(AND(W334="Detectivo/Correctivo",$BB331="Fuerte"),2,IF(AND(W334="Detectivo/Correctivo",$BB334="Moderado"),1,IF(AND(W334="Preventivo",$BB331="Fuerte"),1,0)))</f>
        <v>0</v>
      </c>
      <c r="BE334" s="173" t="e">
        <f>+N331-BC334</f>
        <v>#N/A</v>
      </c>
      <c r="BF334" s="173" t="e">
        <f>+P331-BD334</f>
        <v>#N/A</v>
      </c>
      <c r="BG334" s="346"/>
      <c r="BH334" s="346"/>
      <c r="BI334" s="346"/>
      <c r="BJ334" s="538"/>
      <c r="BK334" s="538"/>
      <c r="BL334" s="538"/>
      <c r="BM334" s="538"/>
    </row>
    <row r="335" spans="1:65" ht="65.099999999999994" customHeight="1" thickBot="1">
      <c r="A335" s="329"/>
      <c r="B335" s="514"/>
      <c r="C335" s="364"/>
      <c r="D335" s="109"/>
      <c r="E335" s="109"/>
      <c r="F335" s="433"/>
      <c r="G335" s="367"/>
      <c r="H335" s="100"/>
      <c r="I335" s="237"/>
      <c r="J335" s="100"/>
      <c r="K335" s="29"/>
      <c r="L335" s="222"/>
      <c r="M335" s="370"/>
      <c r="N335" s="349"/>
      <c r="O335" s="352"/>
      <c r="P335" s="349"/>
      <c r="Q335" s="353"/>
      <c r="R335" s="346"/>
      <c r="S335" s="208"/>
      <c r="T335" s="195"/>
      <c r="U335" s="47" t="s">
        <v>627</v>
      </c>
      <c r="V335" s="215"/>
      <c r="W335" s="215"/>
      <c r="X335" s="215"/>
      <c r="Y335" s="95" t="str">
        <f t="shared" si="61"/>
        <v/>
      </c>
      <c r="Z335" s="215"/>
      <c r="AA335" s="95" t="str">
        <f t="shared" si="62"/>
        <v/>
      </c>
      <c r="AB335" s="208"/>
      <c r="AC335" s="95" t="str">
        <f t="shared" si="63"/>
        <v/>
      </c>
      <c r="AD335" s="208"/>
      <c r="AE335" s="95" t="str">
        <f t="shared" si="64"/>
        <v/>
      </c>
      <c r="AF335" s="208"/>
      <c r="AG335" s="95" t="str">
        <f t="shared" si="65"/>
        <v/>
      </c>
      <c r="AH335" s="208"/>
      <c r="AI335" s="95" t="str">
        <f t="shared" si="66"/>
        <v/>
      </c>
      <c r="AJ335" s="208"/>
      <c r="AK335" s="27" t="str">
        <f t="shared" si="67"/>
        <v/>
      </c>
      <c r="AL335" s="48" t="str">
        <f t="shared" si="68"/>
        <v/>
      </c>
      <c r="AM335" s="48" t="str">
        <f t="shared" si="69"/>
        <v/>
      </c>
      <c r="AN335" s="293"/>
      <c r="AO335" s="293"/>
      <c r="AP335" s="293"/>
      <c r="AQ335" s="293"/>
      <c r="AR335" s="293"/>
      <c r="AS335" s="293"/>
      <c r="AT335" s="293"/>
      <c r="AU335" s="294" t="str">
        <f>IFERROR(VLOOKUP(AT335,'Seguridad Información'!$I$61:$J$65,2,0),"")</f>
        <v/>
      </c>
      <c r="AV335" s="79"/>
      <c r="AW335" s="78" t="str">
        <f t="shared" si="60"/>
        <v/>
      </c>
      <c r="AX335" s="77" t="str">
        <f t="shared" si="70"/>
        <v/>
      </c>
      <c r="AY335" s="21" t="str">
        <f>IFERROR(VLOOKUP((CONCATENATE(AM335,AX335)),Listados!$U$3:$V$11,2,FALSE),"")</f>
        <v/>
      </c>
      <c r="AZ335" s="48">
        <f t="shared" si="71"/>
        <v>100</v>
      </c>
      <c r="BA335" s="355"/>
      <c r="BB335" s="357"/>
      <c r="BC335" s="173">
        <f>+IF(AND(W335="Preventivo",BB331="Fuerte"),2,IF(AND(W335="Preventivo",BB331="Moderado"),1,0))</f>
        <v>0</v>
      </c>
      <c r="BD335" s="64">
        <f>+IF(AND(W335="Detectivo/Correctivo",$BB331="Fuerte"),2,IF(AND(W335="Detectivo/Correctivo",$BB335="Moderado"),1,IF(AND(W335="Preventivo",$BB331="Fuerte"),1,0)))</f>
        <v>0</v>
      </c>
      <c r="BE335" s="173" t="e">
        <f>+N331-BC335</f>
        <v>#N/A</v>
      </c>
      <c r="BF335" s="173" t="e">
        <f>+P331-BD335</f>
        <v>#N/A</v>
      </c>
      <c r="BG335" s="346"/>
      <c r="BH335" s="346"/>
      <c r="BI335" s="346"/>
      <c r="BJ335" s="538"/>
      <c r="BK335" s="538"/>
      <c r="BL335" s="538"/>
      <c r="BM335" s="538"/>
    </row>
    <row r="336" spans="1:65" ht="65.099999999999994" customHeight="1" thickBot="1">
      <c r="A336" s="330"/>
      <c r="B336" s="514"/>
      <c r="C336" s="365"/>
      <c r="D336" s="106"/>
      <c r="E336" s="106"/>
      <c r="F336" s="434"/>
      <c r="G336" s="368"/>
      <c r="H336" s="100"/>
      <c r="I336" s="237"/>
      <c r="J336" s="100"/>
      <c r="K336" s="31"/>
      <c r="L336" s="222"/>
      <c r="M336" s="370"/>
      <c r="N336" s="350"/>
      <c r="O336" s="352"/>
      <c r="P336" s="350"/>
      <c r="Q336" s="353"/>
      <c r="R336" s="347"/>
      <c r="S336" s="208"/>
      <c r="T336" s="98"/>
      <c r="U336" s="47" t="s">
        <v>627</v>
      </c>
      <c r="V336" s="215"/>
      <c r="W336" s="215"/>
      <c r="X336" s="215"/>
      <c r="Y336" s="95" t="str">
        <f t="shared" si="61"/>
        <v/>
      </c>
      <c r="Z336" s="215"/>
      <c r="AA336" s="95" t="str">
        <f t="shared" si="62"/>
        <v/>
      </c>
      <c r="AB336" s="208"/>
      <c r="AC336" s="95" t="str">
        <f t="shared" si="63"/>
        <v/>
      </c>
      <c r="AD336" s="208"/>
      <c r="AE336" s="95" t="str">
        <f t="shared" si="64"/>
        <v/>
      </c>
      <c r="AF336" s="208"/>
      <c r="AG336" s="95" t="str">
        <f t="shared" si="65"/>
        <v/>
      </c>
      <c r="AH336" s="208"/>
      <c r="AI336" s="95" t="str">
        <f t="shared" si="66"/>
        <v/>
      </c>
      <c r="AJ336" s="208"/>
      <c r="AK336" s="27" t="str">
        <f t="shared" si="67"/>
        <v/>
      </c>
      <c r="AL336" s="48" t="str">
        <f t="shared" si="68"/>
        <v/>
      </c>
      <c r="AM336" s="48" t="str">
        <f t="shared" si="69"/>
        <v/>
      </c>
      <c r="AN336" s="293"/>
      <c r="AO336" s="293"/>
      <c r="AP336" s="293"/>
      <c r="AQ336" s="293"/>
      <c r="AR336" s="293"/>
      <c r="AS336" s="293"/>
      <c r="AT336" s="293"/>
      <c r="AU336" s="294" t="str">
        <f>IFERROR(VLOOKUP(AT336,'Seguridad Información'!$I$61:$J$65,2,0),"")</f>
        <v/>
      </c>
      <c r="AV336" s="79"/>
      <c r="AW336" s="78" t="str">
        <f t="shared" si="60"/>
        <v/>
      </c>
      <c r="AX336" s="77" t="str">
        <f t="shared" si="70"/>
        <v/>
      </c>
      <c r="AY336" s="21" t="str">
        <f>IFERROR(VLOOKUP((CONCATENATE(AM336,AX336)),Listados!$U$3:$V$11,2,FALSE),"")</f>
        <v/>
      </c>
      <c r="AZ336" s="48">
        <f t="shared" si="71"/>
        <v>100</v>
      </c>
      <c r="BA336" s="356"/>
      <c r="BB336" s="357"/>
      <c r="BC336" s="173">
        <f>+IF(AND(W336="Preventivo",BB331="Fuerte"),2,IF(AND(W336="Preventivo",BB331="Moderado"),1,0))</f>
        <v>0</v>
      </c>
      <c r="BD336" s="64">
        <f>+IF(AND(W336="Detectivo/Correctivo",$BB331="Fuerte"),2,IF(AND(W336="Detectivo/Correctivo",$BB336="Moderado"),1,IF(AND(W336="Preventivo",$BB331="Fuerte"),1,0)))</f>
        <v>0</v>
      </c>
      <c r="BE336" s="173" t="e">
        <f>+N331-BC336</f>
        <v>#N/A</v>
      </c>
      <c r="BF336" s="173" t="e">
        <f>+P331-BD336</f>
        <v>#N/A</v>
      </c>
      <c r="BG336" s="347"/>
      <c r="BH336" s="347"/>
      <c r="BI336" s="347"/>
      <c r="BJ336" s="539"/>
      <c r="BK336" s="539"/>
      <c r="BL336" s="539"/>
      <c r="BM336" s="539"/>
    </row>
    <row r="337" spans="1:65" ht="65.099999999999994" customHeight="1" thickBot="1">
      <c r="A337" s="328">
        <v>56</v>
      </c>
      <c r="B337" s="519"/>
      <c r="C337" s="371" t="str">
        <f>IFERROR(VLOOKUP(B337,Listados!B$3:C$20,2,FALSE),"")</f>
        <v/>
      </c>
      <c r="D337" s="107"/>
      <c r="E337" s="107"/>
      <c r="F337" s="432"/>
      <c r="G337" s="372"/>
      <c r="H337" s="100"/>
      <c r="I337" s="237"/>
      <c r="J337" s="100"/>
      <c r="K337" s="103"/>
      <c r="L337" s="17"/>
      <c r="M337" s="369"/>
      <c r="N337" s="348" t="e">
        <f>+VLOOKUP(M337,Listados!$K$8:$L$12,2,0)</f>
        <v>#N/A</v>
      </c>
      <c r="O337" s="351"/>
      <c r="P337" s="348" t="e">
        <f>+VLOOKUP(O337,Listados!$K$13:$L$17,2,0)</f>
        <v>#N/A</v>
      </c>
      <c r="Q337" s="347" t="str">
        <f>IF(AND(M337&lt;&gt;"",O337&lt;&gt;""),VLOOKUP(M337&amp;O337,Listados!$M$3:$N$27,2,FALSE),"")</f>
        <v/>
      </c>
      <c r="R337" s="345" t="e">
        <f>+VLOOKUP(Q337,Listados!$P$3:$Q$6,2,FALSE)</f>
        <v>#N/A</v>
      </c>
      <c r="S337" s="208"/>
      <c r="T337" s="94"/>
      <c r="U337" s="47" t="s">
        <v>627</v>
      </c>
      <c r="V337" s="215"/>
      <c r="W337" s="215"/>
      <c r="X337" s="215"/>
      <c r="Y337" s="95" t="str">
        <f t="shared" si="61"/>
        <v/>
      </c>
      <c r="Z337" s="215"/>
      <c r="AA337" s="95" t="str">
        <f t="shared" si="62"/>
        <v/>
      </c>
      <c r="AB337" s="208"/>
      <c r="AC337" s="95" t="str">
        <f t="shared" si="63"/>
        <v/>
      </c>
      <c r="AD337" s="208"/>
      <c r="AE337" s="95" t="str">
        <f t="shared" si="64"/>
        <v/>
      </c>
      <c r="AF337" s="208"/>
      <c r="AG337" s="95" t="str">
        <f t="shared" si="65"/>
        <v/>
      </c>
      <c r="AH337" s="208"/>
      <c r="AI337" s="95" t="str">
        <f t="shared" si="66"/>
        <v/>
      </c>
      <c r="AJ337" s="208"/>
      <c r="AK337" s="27" t="str">
        <f t="shared" si="67"/>
        <v/>
      </c>
      <c r="AL337" s="48" t="str">
        <f t="shared" si="68"/>
        <v/>
      </c>
      <c r="AM337" s="48" t="str">
        <f t="shared" si="69"/>
        <v/>
      </c>
      <c r="AN337" s="293"/>
      <c r="AO337" s="293"/>
      <c r="AP337" s="293"/>
      <c r="AQ337" s="293"/>
      <c r="AR337" s="293"/>
      <c r="AS337" s="293"/>
      <c r="AT337" s="293"/>
      <c r="AU337" s="294" t="str">
        <f>IFERROR(VLOOKUP(AT337,'Seguridad Información'!$I$61:$J$65,2,0),"")</f>
        <v/>
      </c>
      <c r="AV337" s="79"/>
      <c r="AW337" s="78" t="str">
        <f t="shared" si="60"/>
        <v/>
      </c>
      <c r="AX337" s="77" t="str">
        <f t="shared" si="70"/>
        <v/>
      </c>
      <c r="AY337" s="21" t="str">
        <f>IFERROR(VLOOKUP((CONCATENATE(AM337,AX337)),Listados!$U$3:$V$11,2,FALSE),"")</f>
        <v/>
      </c>
      <c r="AZ337" s="48">
        <f t="shared" si="71"/>
        <v>100</v>
      </c>
      <c r="BA337" s="354">
        <f>AVERAGE(AZ337:AZ342)</f>
        <v>100</v>
      </c>
      <c r="BB337" s="356" t="str">
        <f>IF(BA337&lt;=50, "Débil", IF(BA337&lt;=99,"Moderado","Fuerte"))</f>
        <v>Fuerte</v>
      </c>
      <c r="BC337" s="173">
        <f>+IF(AND(W337="Preventivo",BB337="Fuerte"),2,IF(AND(W337="Preventivo",BB337="Moderado"),1,0))</f>
        <v>0</v>
      </c>
      <c r="BD337" s="64">
        <f>+IF(AND(W337="Detectivo/Correctivo",$BB337="Fuerte"),2,IF(AND(W337="Detectivo/Correctivo",$BB337="Moderado"),1,IF(AND(W337="Preventivo",$BB337="Fuerte"),1,0)))</f>
        <v>0</v>
      </c>
      <c r="BE337" s="173" t="e">
        <f>+N337-BC337</f>
        <v>#N/A</v>
      </c>
      <c r="BF337" s="173" t="e">
        <f>+P337-BD337</f>
        <v>#N/A</v>
      </c>
      <c r="BG337" s="345" t="e">
        <f>+VLOOKUP(MIN(BE337,BE338,BE339,BE340,BE341,BE342),Listados!$J$18:$K$24,2,TRUE)</f>
        <v>#N/A</v>
      </c>
      <c r="BH337" s="345" t="e">
        <f>+VLOOKUP(MIN(BF337,BF338,BF339,BF340,BF341,BF342),Listados!$J$27:$K$32,2,TRUE)</f>
        <v>#N/A</v>
      </c>
      <c r="BI337" s="345" t="e">
        <f>IF(AND(BG337&lt;&gt;"",BH337&lt;&gt;""),VLOOKUP(BG337&amp;BH337,Listados!$M$3:$N$27,2,FALSE),"")</f>
        <v>#N/A</v>
      </c>
      <c r="BJ337" s="537" t="e">
        <f>+IF($R337="Asumir el riesgo","NA","")</f>
        <v>#N/A</v>
      </c>
      <c r="BK337" s="537" t="e">
        <f>+IF($R337="Asumir el riesgo","NA","")</f>
        <v>#N/A</v>
      </c>
      <c r="BL337" s="537" t="e">
        <f>+IF($R337="Asumir el riesgo","NA","")</f>
        <v>#N/A</v>
      </c>
      <c r="BM337" s="537" t="e">
        <f>+IF($R337="Asumir el riesgo","NA","")</f>
        <v>#N/A</v>
      </c>
    </row>
    <row r="338" spans="1:65" ht="65.099999999999994" customHeight="1" thickBot="1">
      <c r="A338" s="329"/>
      <c r="B338" s="514"/>
      <c r="C338" s="364"/>
      <c r="D338" s="233"/>
      <c r="E338" s="233"/>
      <c r="F338" s="433"/>
      <c r="G338" s="367"/>
      <c r="H338" s="100"/>
      <c r="I338" s="237"/>
      <c r="J338" s="100"/>
      <c r="K338" s="236"/>
      <c r="L338" s="222"/>
      <c r="M338" s="370"/>
      <c r="N338" s="349"/>
      <c r="O338" s="352"/>
      <c r="P338" s="349"/>
      <c r="Q338" s="353"/>
      <c r="R338" s="346"/>
      <c r="S338" s="208"/>
      <c r="T338" s="195"/>
      <c r="U338" s="47" t="s">
        <v>627</v>
      </c>
      <c r="V338" s="215"/>
      <c r="W338" s="215"/>
      <c r="X338" s="215"/>
      <c r="Y338" s="95" t="str">
        <f t="shared" si="61"/>
        <v/>
      </c>
      <c r="Z338" s="215"/>
      <c r="AA338" s="95" t="str">
        <f t="shared" si="62"/>
        <v/>
      </c>
      <c r="AB338" s="208"/>
      <c r="AC338" s="95" t="str">
        <f t="shared" si="63"/>
        <v/>
      </c>
      <c r="AD338" s="208"/>
      <c r="AE338" s="95" t="str">
        <f t="shared" si="64"/>
        <v/>
      </c>
      <c r="AF338" s="208"/>
      <c r="AG338" s="95" t="str">
        <f t="shared" si="65"/>
        <v/>
      </c>
      <c r="AH338" s="208"/>
      <c r="AI338" s="95" t="str">
        <f t="shared" si="66"/>
        <v/>
      </c>
      <c r="AJ338" s="208"/>
      <c r="AK338" s="27" t="str">
        <f t="shared" si="67"/>
        <v/>
      </c>
      <c r="AL338" s="48" t="str">
        <f t="shared" si="68"/>
        <v/>
      </c>
      <c r="AM338" s="48" t="str">
        <f t="shared" si="69"/>
        <v/>
      </c>
      <c r="AN338" s="293"/>
      <c r="AO338" s="293"/>
      <c r="AP338" s="293"/>
      <c r="AQ338" s="293"/>
      <c r="AR338" s="293"/>
      <c r="AS338" s="293"/>
      <c r="AT338" s="293"/>
      <c r="AU338" s="294" t="str">
        <f>IFERROR(VLOOKUP(AT338,'Seguridad Información'!$I$61:$J$65,2,0),"")</f>
        <v/>
      </c>
      <c r="AV338" s="79"/>
      <c r="AW338" s="78" t="str">
        <f t="shared" si="60"/>
        <v/>
      </c>
      <c r="AX338" s="77" t="str">
        <f t="shared" si="70"/>
        <v/>
      </c>
      <c r="AY338" s="21" t="str">
        <f>IFERROR(VLOOKUP((CONCATENATE(AM338,AX338)),Listados!$U$3:$V$11,2,FALSE),"")</f>
        <v/>
      </c>
      <c r="AZ338" s="48">
        <f t="shared" si="71"/>
        <v>100</v>
      </c>
      <c r="BA338" s="355"/>
      <c r="BB338" s="357"/>
      <c r="BC338" s="173">
        <f>+IF(AND(W338="Preventivo",BB337="Fuerte"),2,IF(AND(W338="Preventivo",BB337="Moderado"),1,0))</f>
        <v>0</v>
      </c>
      <c r="BD338" s="64">
        <f>+IF(AND(W338="Detectivo/Correctivo",$BB337="Fuerte"),2,IF(AND(W338="Detectivo/Correctivo",$BB338="Moderado"),1,IF(AND(W338="Preventivo",$BB337="Fuerte"),1,0)))</f>
        <v>0</v>
      </c>
      <c r="BE338" s="173" t="e">
        <f>+N337-BC338</f>
        <v>#N/A</v>
      </c>
      <c r="BF338" s="173" t="e">
        <f>+P337-BD338</f>
        <v>#N/A</v>
      </c>
      <c r="BG338" s="346"/>
      <c r="BH338" s="346"/>
      <c r="BI338" s="346"/>
      <c r="BJ338" s="538"/>
      <c r="BK338" s="538"/>
      <c r="BL338" s="538"/>
      <c r="BM338" s="538"/>
    </row>
    <row r="339" spans="1:65" ht="65.099999999999994" customHeight="1" thickBot="1">
      <c r="A339" s="329"/>
      <c r="B339" s="514"/>
      <c r="C339" s="364"/>
      <c r="D339" s="233"/>
      <c r="E339" s="233"/>
      <c r="F339" s="433"/>
      <c r="G339" s="367"/>
      <c r="H339" s="100"/>
      <c r="I339" s="237"/>
      <c r="J339" s="100"/>
      <c r="K339" s="236"/>
      <c r="L339" s="222"/>
      <c r="M339" s="370"/>
      <c r="N339" s="349"/>
      <c r="O339" s="352"/>
      <c r="P339" s="349"/>
      <c r="Q339" s="353"/>
      <c r="R339" s="346"/>
      <c r="S339" s="208"/>
      <c r="T339" s="96"/>
      <c r="U339" s="47" t="s">
        <v>627</v>
      </c>
      <c r="V339" s="215"/>
      <c r="W339" s="215"/>
      <c r="X339" s="215"/>
      <c r="Y339" s="95" t="str">
        <f t="shared" si="61"/>
        <v/>
      </c>
      <c r="Z339" s="215"/>
      <c r="AA339" s="95" t="str">
        <f t="shared" si="62"/>
        <v/>
      </c>
      <c r="AB339" s="208"/>
      <c r="AC339" s="95" t="str">
        <f t="shared" si="63"/>
        <v/>
      </c>
      <c r="AD339" s="208"/>
      <c r="AE339" s="95" t="str">
        <f t="shared" si="64"/>
        <v/>
      </c>
      <c r="AF339" s="208"/>
      <c r="AG339" s="95" t="str">
        <f t="shared" si="65"/>
        <v/>
      </c>
      <c r="AH339" s="208"/>
      <c r="AI339" s="95" t="str">
        <f t="shared" si="66"/>
        <v/>
      </c>
      <c r="AJ339" s="208"/>
      <c r="AK339" s="27" t="str">
        <f t="shared" si="67"/>
        <v/>
      </c>
      <c r="AL339" s="48" t="str">
        <f t="shared" si="68"/>
        <v/>
      </c>
      <c r="AM339" s="48" t="str">
        <f t="shared" si="69"/>
        <v/>
      </c>
      <c r="AN339" s="293"/>
      <c r="AO339" s="293"/>
      <c r="AP339" s="293"/>
      <c r="AQ339" s="293"/>
      <c r="AR339" s="293"/>
      <c r="AS339" s="293"/>
      <c r="AT339" s="293"/>
      <c r="AU339" s="294" t="str">
        <f>IFERROR(VLOOKUP(AT339,'Seguridad Información'!$I$61:$J$65,2,0),"")</f>
        <v/>
      </c>
      <c r="AV339" s="79"/>
      <c r="AW339" s="78" t="str">
        <f t="shared" si="60"/>
        <v/>
      </c>
      <c r="AX339" s="77" t="str">
        <f t="shared" si="70"/>
        <v/>
      </c>
      <c r="AY339" s="21" t="str">
        <f>IFERROR(VLOOKUP((CONCATENATE(AM339,AX339)),Listados!$U$3:$V$11,2,FALSE),"")</f>
        <v/>
      </c>
      <c r="AZ339" s="48">
        <f t="shared" si="71"/>
        <v>100</v>
      </c>
      <c r="BA339" s="355"/>
      <c r="BB339" s="357"/>
      <c r="BC339" s="173">
        <f>+IF(AND(W339="Preventivo",BB337="Fuerte"),2,IF(AND(W339="Preventivo",BB337="Moderado"),1,0))</f>
        <v>0</v>
      </c>
      <c r="BD339" s="64">
        <f>+IF(AND(W339="Detectivo/Correctivo",$BB337="Fuerte"),2,IF(AND(W339="Detectivo/Correctivo",$BB339="Moderado"),1,IF(AND(W339="Preventivo",$BB337="Fuerte"),1,0)))</f>
        <v>0</v>
      </c>
      <c r="BE339" s="173" t="e">
        <f>+N337-BC339</f>
        <v>#N/A</v>
      </c>
      <c r="BF339" s="173" t="e">
        <f>+P337-BD339</f>
        <v>#N/A</v>
      </c>
      <c r="BG339" s="346"/>
      <c r="BH339" s="346"/>
      <c r="BI339" s="346"/>
      <c r="BJ339" s="538"/>
      <c r="BK339" s="538"/>
      <c r="BL339" s="538"/>
      <c r="BM339" s="538"/>
    </row>
    <row r="340" spans="1:65" ht="65.099999999999994" customHeight="1" thickBot="1">
      <c r="A340" s="329"/>
      <c r="B340" s="514"/>
      <c r="C340" s="364"/>
      <c r="D340" s="233"/>
      <c r="E340" s="233"/>
      <c r="F340" s="433"/>
      <c r="G340" s="367"/>
      <c r="H340" s="100"/>
      <c r="I340" s="237"/>
      <c r="J340" s="100"/>
      <c r="K340" s="236"/>
      <c r="L340" s="222"/>
      <c r="M340" s="370"/>
      <c r="N340" s="349"/>
      <c r="O340" s="352"/>
      <c r="P340" s="349"/>
      <c r="Q340" s="353"/>
      <c r="R340" s="346"/>
      <c r="S340" s="208"/>
      <c r="T340" s="97"/>
      <c r="U340" s="47" t="s">
        <v>627</v>
      </c>
      <c r="V340" s="215"/>
      <c r="W340" s="215"/>
      <c r="X340" s="215"/>
      <c r="Y340" s="95" t="str">
        <f t="shared" si="61"/>
        <v/>
      </c>
      <c r="Z340" s="215"/>
      <c r="AA340" s="95" t="str">
        <f t="shared" si="62"/>
        <v/>
      </c>
      <c r="AB340" s="208"/>
      <c r="AC340" s="95" t="str">
        <f t="shared" si="63"/>
        <v/>
      </c>
      <c r="AD340" s="208"/>
      <c r="AE340" s="95" t="str">
        <f t="shared" si="64"/>
        <v/>
      </c>
      <c r="AF340" s="208"/>
      <c r="AG340" s="95" t="str">
        <f t="shared" si="65"/>
        <v/>
      </c>
      <c r="AH340" s="208"/>
      <c r="AI340" s="95" t="str">
        <f t="shared" si="66"/>
        <v/>
      </c>
      <c r="AJ340" s="208"/>
      <c r="AK340" s="27" t="str">
        <f t="shared" si="67"/>
        <v/>
      </c>
      <c r="AL340" s="48" t="str">
        <f t="shared" si="68"/>
        <v/>
      </c>
      <c r="AM340" s="48" t="str">
        <f t="shared" si="69"/>
        <v/>
      </c>
      <c r="AN340" s="293"/>
      <c r="AO340" s="293"/>
      <c r="AP340" s="293"/>
      <c r="AQ340" s="293"/>
      <c r="AR340" s="293"/>
      <c r="AS340" s="293"/>
      <c r="AT340" s="293"/>
      <c r="AU340" s="294" t="str">
        <f>IFERROR(VLOOKUP(AT340,'Seguridad Información'!$I$61:$J$65,2,0),"")</f>
        <v/>
      </c>
      <c r="AV340" s="79"/>
      <c r="AW340" s="78" t="str">
        <f t="shared" si="60"/>
        <v/>
      </c>
      <c r="AX340" s="77" t="str">
        <f t="shared" si="70"/>
        <v/>
      </c>
      <c r="AY340" s="21" t="str">
        <f>IFERROR(VLOOKUP((CONCATENATE(AM340,AX340)),Listados!$U$3:$V$11,2,FALSE),"")</f>
        <v/>
      </c>
      <c r="AZ340" s="48">
        <f t="shared" si="71"/>
        <v>100</v>
      </c>
      <c r="BA340" s="355"/>
      <c r="BB340" s="357"/>
      <c r="BC340" s="173">
        <f>+IF(AND(W340="Preventivo",BB337="Fuerte"),2,IF(AND(W340="Preventivo",BB337="Moderado"),1,0))</f>
        <v>0</v>
      </c>
      <c r="BD340" s="64">
        <f>+IF(AND(W340="Detectivo/Correctivo",$BB337="Fuerte"),2,IF(AND(W340="Detectivo/Correctivo",$BB340="Moderado"),1,IF(AND(W340="Preventivo",$BB337="Fuerte"),1,0)))</f>
        <v>0</v>
      </c>
      <c r="BE340" s="173" t="e">
        <f>+N337-BC340</f>
        <v>#N/A</v>
      </c>
      <c r="BF340" s="173" t="e">
        <f>+P337-BD340</f>
        <v>#N/A</v>
      </c>
      <c r="BG340" s="346"/>
      <c r="BH340" s="346"/>
      <c r="BI340" s="346"/>
      <c r="BJ340" s="538"/>
      <c r="BK340" s="538"/>
      <c r="BL340" s="538"/>
      <c r="BM340" s="538"/>
    </row>
    <row r="341" spans="1:65" ht="65.099999999999994" customHeight="1" thickBot="1">
      <c r="A341" s="329"/>
      <c r="B341" s="514"/>
      <c r="C341" s="364"/>
      <c r="D341" s="109"/>
      <c r="E341" s="109"/>
      <c r="F341" s="433"/>
      <c r="G341" s="367"/>
      <c r="H341" s="100"/>
      <c r="I341" s="237"/>
      <c r="J341" s="100"/>
      <c r="K341" s="29"/>
      <c r="L341" s="222"/>
      <c r="M341" s="370"/>
      <c r="N341" s="349"/>
      <c r="O341" s="352"/>
      <c r="P341" s="349"/>
      <c r="Q341" s="353"/>
      <c r="R341" s="346"/>
      <c r="S341" s="208"/>
      <c r="T341" s="195"/>
      <c r="U341" s="47" t="s">
        <v>627</v>
      </c>
      <c r="V341" s="215"/>
      <c r="W341" s="215"/>
      <c r="X341" s="215"/>
      <c r="Y341" s="95" t="str">
        <f t="shared" si="61"/>
        <v/>
      </c>
      <c r="Z341" s="215"/>
      <c r="AA341" s="95" t="str">
        <f t="shared" si="62"/>
        <v/>
      </c>
      <c r="AB341" s="208"/>
      <c r="AC341" s="95" t="str">
        <f t="shared" si="63"/>
        <v/>
      </c>
      <c r="AD341" s="208"/>
      <c r="AE341" s="95" t="str">
        <f t="shared" si="64"/>
        <v/>
      </c>
      <c r="AF341" s="208"/>
      <c r="AG341" s="95" t="str">
        <f t="shared" si="65"/>
        <v/>
      </c>
      <c r="AH341" s="208"/>
      <c r="AI341" s="95" t="str">
        <f t="shared" si="66"/>
        <v/>
      </c>
      <c r="AJ341" s="208"/>
      <c r="AK341" s="27" t="str">
        <f t="shared" si="67"/>
        <v/>
      </c>
      <c r="AL341" s="48" t="str">
        <f t="shared" si="68"/>
        <v/>
      </c>
      <c r="AM341" s="48" t="str">
        <f t="shared" si="69"/>
        <v/>
      </c>
      <c r="AN341" s="293"/>
      <c r="AO341" s="293"/>
      <c r="AP341" s="293"/>
      <c r="AQ341" s="293"/>
      <c r="AR341" s="293"/>
      <c r="AS341" s="293"/>
      <c r="AT341" s="293"/>
      <c r="AU341" s="294" t="str">
        <f>IFERROR(VLOOKUP(AT341,'Seguridad Información'!$I$61:$J$65,2,0),"")</f>
        <v/>
      </c>
      <c r="AV341" s="79"/>
      <c r="AW341" s="78" t="str">
        <f t="shared" si="60"/>
        <v/>
      </c>
      <c r="AX341" s="77" t="str">
        <f t="shared" si="70"/>
        <v/>
      </c>
      <c r="AY341" s="21" t="str">
        <f>IFERROR(VLOOKUP((CONCATENATE(AM341,AX341)),Listados!$U$3:$V$11,2,FALSE),"")</f>
        <v/>
      </c>
      <c r="AZ341" s="48">
        <f t="shared" si="71"/>
        <v>100</v>
      </c>
      <c r="BA341" s="355"/>
      <c r="BB341" s="357"/>
      <c r="BC341" s="173">
        <f>+IF(AND(W341="Preventivo",BB337="Fuerte"),2,IF(AND(W341="Preventivo",BB337="Moderado"),1,0))</f>
        <v>0</v>
      </c>
      <c r="BD341" s="64">
        <f>+IF(AND(W341="Detectivo/Correctivo",$BB337="Fuerte"),2,IF(AND(W341="Detectivo/Correctivo",$BB341="Moderado"),1,IF(AND(W341="Preventivo",$BB337="Fuerte"),1,0)))</f>
        <v>0</v>
      </c>
      <c r="BE341" s="173" t="e">
        <f>+N337-BC341</f>
        <v>#N/A</v>
      </c>
      <c r="BF341" s="173" t="e">
        <f>+P337-BD341</f>
        <v>#N/A</v>
      </c>
      <c r="BG341" s="346"/>
      <c r="BH341" s="346"/>
      <c r="BI341" s="346"/>
      <c r="BJ341" s="538"/>
      <c r="BK341" s="538"/>
      <c r="BL341" s="538"/>
      <c r="BM341" s="538"/>
    </row>
    <row r="342" spans="1:65" ht="65.099999999999994" customHeight="1" thickBot="1">
      <c r="A342" s="330"/>
      <c r="B342" s="514"/>
      <c r="C342" s="365"/>
      <c r="D342" s="106"/>
      <c r="E342" s="106"/>
      <c r="F342" s="434"/>
      <c r="G342" s="368"/>
      <c r="H342" s="100"/>
      <c r="I342" s="237"/>
      <c r="J342" s="100"/>
      <c r="K342" s="31"/>
      <c r="L342" s="222"/>
      <c r="M342" s="370"/>
      <c r="N342" s="350"/>
      <c r="O342" s="352"/>
      <c r="P342" s="350"/>
      <c r="Q342" s="353"/>
      <c r="R342" s="347"/>
      <c r="S342" s="208"/>
      <c r="T342" s="98"/>
      <c r="U342" s="47" t="s">
        <v>627</v>
      </c>
      <c r="V342" s="215"/>
      <c r="W342" s="215"/>
      <c r="X342" s="215"/>
      <c r="Y342" s="95" t="str">
        <f t="shared" si="61"/>
        <v/>
      </c>
      <c r="Z342" s="215"/>
      <c r="AA342" s="95" t="str">
        <f t="shared" si="62"/>
        <v/>
      </c>
      <c r="AB342" s="208"/>
      <c r="AC342" s="95" t="str">
        <f t="shared" si="63"/>
        <v/>
      </c>
      <c r="AD342" s="208"/>
      <c r="AE342" s="95" t="str">
        <f t="shared" si="64"/>
        <v/>
      </c>
      <c r="AF342" s="208"/>
      <c r="AG342" s="95" t="str">
        <f t="shared" si="65"/>
        <v/>
      </c>
      <c r="AH342" s="208"/>
      <c r="AI342" s="95" t="str">
        <f t="shared" si="66"/>
        <v/>
      </c>
      <c r="AJ342" s="208"/>
      <c r="AK342" s="27" t="str">
        <f t="shared" si="67"/>
        <v/>
      </c>
      <c r="AL342" s="48" t="str">
        <f t="shared" si="68"/>
        <v/>
      </c>
      <c r="AM342" s="48" t="str">
        <f t="shared" si="69"/>
        <v/>
      </c>
      <c r="AN342" s="293"/>
      <c r="AO342" s="293"/>
      <c r="AP342" s="293"/>
      <c r="AQ342" s="293"/>
      <c r="AR342" s="293"/>
      <c r="AS342" s="293"/>
      <c r="AT342" s="293"/>
      <c r="AU342" s="294" t="str">
        <f>IFERROR(VLOOKUP(AT342,'Seguridad Información'!$I$61:$J$65,2,0),"")</f>
        <v/>
      </c>
      <c r="AV342" s="79"/>
      <c r="AW342" s="78" t="str">
        <f t="shared" si="60"/>
        <v/>
      </c>
      <c r="AX342" s="77" t="str">
        <f t="shared" si="70"/>
        <v/>
      </c>
      <c r="AY342" s="21" t="str">
        <f>IFERROR(VLOOKUP((CONCATENATE(AM342,AX342)),Listados!$U$3:$V$11,2,FALSE),"")</f>
        <v/>
      </c>
      <c r="AZ342" s="48">
        <f t="shared" si="71"/>
        <v>100</v>
      </c>
      <c r="BA342" s="356"/>
      <c r="BB342" s="357"/>
      <c r="BC342" s="173">
        <f>+IF(AND(W342="Preventivo",BB337="Fuerte"),2,IF(AND(W342="Preventivo",BB337="Moderado"),1,0))</f>
        <v>0</v>
      </c>
      <c r="BD342" s="64">
        <f>+IF(AND(W342="Detectivo/Correctivo",$BB337="Fuerte"),2,IF(AND(W342="Detectivo/Correctivo",$BB342="Moderado"),1,IF(AND(W342="Preventivo",$BB337="Fuerte"),1,0)))</f>
        <v>0</v>
      </c>
      <c r="BE342" s="173" t="e">
        <f>+N337-BC342</f>
        <v>#N/A</v>
      </c>
      <c r="BF342" s="173" t="e">
        <f>+P337-BD342</f>
        <v>#N/A</v>
      </c>
      <c r="BG342" s="347"/>
      <c r="BH342" s="347"/>
      <c r="BI342" s="347"/>
      <c r="BJ342" s="539"/>
      <c r="BK342" s="539"/>
      <c r="BL342" s="539"/>
      <c r="BM342" s="539"/>
    </row>
    <row r="343" spans="1:65" ht="65.099999999999994" customHeight="1" thickBot="1">
      <c r="A343" s="328">
        <v>57</v>
      </c>
      <c r="B343" s="519"/>
      <c r="C343" s="371" t="str">
        <f>IFERROR(VLOOKUP(B343,Listados!B$3:C$20,2,FALSE),"")</f>
        <v/>
      </c>
      <c r="D343" s="107"/>
      <c r="E343" s="107"/>
      <c r="F343" s="432"/>
      <c r="G343" s="372"/>
      <c r="H343" s="100"/>
      <c r="I343" s="237"/>
      <c r="J343" s="100"/>
      <c r="K343" s="103"/>
      <c r="L343" s="17"/>
      <c r="M343" s="369"/>
      <c r="N343" s="348" t="e">
        <f>+VLOOKUP(M343,Listados!$K$8:$L$12,2,0)</f>
        <v>#N/A</v>
      </c>
      <c r="O343" s="351"/>
      <c r="P343" s="348" t="e">
        <f>+VLOOKUP(O343,Listados!$K$13:$L$17,2,0)</f>
        <v>#N/A</v>
      </c>
      <c r="Q343" s="347" t="str">
        <f>IF(AND(M343&lt;&gt;"",O343&lt;&gt;""),VLOOKUP(M343&amp;O343,Listados!$M$3:$N$27,2,FALSE),"")</f>
        <v/>
      </c>
      <c r="R343" s="345" t="e">
        <f>+VLOOKUP(Q343,Listados!$P$3:$Q$6,2,FALSE)</f>
        <v>#N/A</v>
      </c>
      <c r="S343" s="208"/>
      <c r="T343" s="94"/>
      <c r="U343" s="47" t="s">
        <v>627</v>
      </c>
      <c r="V343" s="215"/>
      <c r="W343" s="215"/>
      <c r="X343" s="215"/>
      <c r="Y343" s="95" t="str">
        <f t="shared" si="61"/>
        <v/>
      </c>
      <c r="Z343" s="215"/>
      <c r="AA343" s="95" t="str">
        <f t="shared" si="62"/>
        <v/>
      </c>
      <c r="AB343" s="208"/>
      <c r="AC343" s="95" t="str">
        <f t="shared" si="63"/>
        <v/>
      </c>
      <c r="AD343" s="208"/>
      <c r="AE343" s="95" t="str">
        <f t="shared" si="64"/>
        <v/>
      </c>
      <c r="AF343" s="208"/>
      <c r="AG343" s="95" t="str">
        <f t="shared" si="65"/>
        <v/>
      </c>
      <c r="AH343" s="208"/>
      <c r="AI343" s="95" t="str">
        <f t="shared" si="66"/>
        <v/>
      </c>
      <c r="AJ343" s="208"/>
      <c r="AK343" s="27" t="str">
        <f t="shared" si="67"/>
        <v/>
      </c>
      <c r="AL343" s="48" t="str">
        <f t="shared" si="68"/>
        <v/>
      </c>
      <c r="AM343" s="48" t="str">
        <f t="shared" si="69"/>
        <v/>
      </c>
      <c r="AN343" s="293"/>
      <c r="AO343" s="293"/>
      <c r="AP343" s="293"/>
      <c r="AQ343" s="293"/>
      <c r="AR343" s="293"/>
      <c r="AS343" s="293"/>
      <c r="AT343" s="293"/>
      <c r="AU343" s="294" t="str">
        <f>IFERROR(VLOOKUP(AT343,'Seguridad Información'!$I$61:$J$65,2,0),"")</f>
        <v/>
      </c>
      <c r="AV343" s="79"/>
      <c r="AW343" s="78" t="str">
        <f t="shared" si="60"/>
        <v/>
      </c>
      <c r="AX343" s="77" t="str">
        <f t="shared" si="70"/>
        <v/>
      </c>
      <c r="AY343" s="21" t="str">
        <f>IFERROR(VLOOKUP((CONCATENATE(AM343,AX343)),Listados!$U$3:$V$11,2,FALSE),"")</f>
        <v/>
      </c>
      <c r="AZ343" s="48">
        <f t="shared" si="71"/>
        <v>100</v>
      </c>
      <c r="BA343" s="354">
        <f>AVERAGE(AZ343:AZ348)</f>
        <v>100</v>
      </c>
      <c r="BB343" s="356" t="str">
        <f>IF(BA343&lt;=50, "Débil", IF(BA343&lt;=99,"Moderado","Fuerte"))</f>
        <v>Fuerte</v>
      </c>
      <c r="BC343" s="173">
        <f>+IF(AND(W343="Preventivo",BB343="Fuerte"),2,IF(AND(W343="Preventivo",BB343="Moderado"),1,0))</f>
        <v>0</v>
      </c>
      <c r="BD343" s="64">
        <f>+IF(AND(W343="Detectivo/Correctivo",$BB343="Fuerte"),2,IF(AND(W343="Detectivo/Correctivo",$BB343="Moderado"),1,IF(AND(W343="Preventivo",$BB343="Fuerte"),1,0)))</f>
        <v>0</v>
      </c>
      <c r="BE343" s="173" t="e">
        <f>+N343-BC343</f>
        <v>#N/A</v>
      </c>
      <c r="BF343" s="173" t="e">
        <f>+P343-BD343</f>
        <v>#N/A</v>
      </c>
      <c r="BG343" s="345" t="e">
        <f>+VLOOKUP(MIN(BE343,BE344,BE345,BE346,BE347,BE348),Listados!$J$18:$K$24,2,TRUE)</f>
        <v>#N/A</v>
      </c>
      <c r="BH343" s="345" t="e">
        <f>+VLOOKUP(MIN(BF343,BF344,BF345,BF346,BF347,BF348),Listados!$J$27:$K$32,2,TRUE)</f>
        <v>#N/A</v>
      </c>
      <c r="BI343" s="345" t="e">
        <f>IF(AND(BG343&lt;&gt;"",BH343&lt;&gt;""),VLOOKUP(BG343&amp;BH343,Listados!$M$3:$N$27,2,FALSE),"")</f>
        <v>#N/A</v>
      </c>
      <c r="BJ343" s="537" t="e">
        <f>+IF($R343="Asumir el riesgo","NA","")</f>
        <v>#N/A</v>
      </c>
      <c r="BK343" s="537" t="e">
        <f>+IF($R343="Asumir el riesgo","NA","")</f>
        <v>#N/A</v>
      </c>
      <c r="BL343" s="537" t="e">
        <f>+IF($R343="Asumir el riesgo","NA","")</f>
        <v>#N/A</v>
      </c>
      <c r="BM343" s="537" t="e">
        <f>+IF($R343="Asumir el riesgo","NA","")</f>
        <v>#N/A</v>
      </c>
    </row>
    <row r="344" spans="1:65" ht="65.099999999999994" customHeight="1" thickBot="1">
      <c r="A344" s="329"/>
      <c r="B344" s="514"/>
      <c r="C344" s="364"/>
      <c r="D344" s="233"/>
      <c r="E344" s="233"/>
      <c r="F344" s="433"/>
      <c r="G344" s="367"/>
      <c r="H344" s="100"/>
      <c r="I344" s="237"/>
      <c r="J344" s="100"/>
      <c r="K344" s="236"/>
      <c r="L344" s="222"/>
      <c r="M344" s="370"/>
      <c r="N344" s="349"/>
      <c r="O344" s="352"/>
      <c r="P344" s="349"/>
      <c r="Q344" s="353"/>
      <c r="R344" s="346"/>
      <c r="S344" s="208"/>
      <c r="T344" s="195"/>
      <c r="U344" s="47" t="s">
        <v>627</v>
      </c>
      <c r="V344" s="215"/>
      <c r="W344" s="215"/>
      <c r="X344" s="215"/>
      <c r="Y344" s="95" t="str">
        <f t="shared" si="61"/>
        <v/>
      </c>
      <c r="Z344" s="215"/>
      <c r="AA344" s="95" t="str">
        <f t="shared" si="62"/>
        <v/>
      </c>
      <c r="AB344" s="208"/>
      <c r="AC344" s="95" t="str">
        <f t="shared" si="63"/>
        <v/>
      </c>
      <c r="AD344" s="208"/>
      <c r="AE344" s="95" t="str">
        <f t="shared" si="64"/>
        <v/>
      </c>
      <c r="AF344" s="208"/>
      <c r="AG344" s="95" t="str">
        <f t="shared" si="65"/>
        <v/>
      </c>
      <c r="AH344" s="208"/>
      <c r="AI344" s="95" t="str">
        <f t="shared" si="66"/>
        <v/>
      </c>
      <c r="AJ344" s="208"/>
      <c r="AK344" s="27" t="str">
        <f t="shared" si="67"/>
        <v/>
      </c>
      <c r="AL344" s="48" t="str">
        <f t="shared" si="68"/>
        <v/>
      </c>
      <c r="AM344" s="48" t="str">
        <f t="shared" si="69"/>
        <v/>
      </c>
      <c r="AN344" s="293"/>
      <c r="AO344" s="293"/>
      <c r="AP344" s="293"/>
      <c r="AQ344" s="293"/>
      <c r="AR344" s="293"/>
      <c r="AS344" s="293"/>
      <c r="AT344" s="293"/>
      <c r="AU344" s="294" t="str">
        <f>IFERROR(VLOOKUP(AT344,'Seguridad Información'!$I$61:$J$65,2,0),"")</f>
        <v/>
      </c>
      <c r="AV344" s="79"/>
      <c r="AW344" s="78" t="str">
        <f t="shared" si="60"/>
        <v/>
      </c>
      <c r="AX344" s="77" t="str">
        <f t="shared" si="70"/>
        <v/>
      </c>
      <c r="AY344" s="21" t="str">
        <f>IFERROR(VLOOKUP((CONCATENATE(AM344,AX344)),Listados!$U$3:$V$11,2,FALSE),"")</f>
        <v/>
      </c>
      <c r="AZ344" s="48">
        <f t="shared" si="71"/>
        <v>100</v>
      </c>
      <c r="BA344" s="355"/>
      <c r="BB344" s="357"/>
      <c r="BC344" s="173">
        <f>+IF(AND(W344="Preventivo",BB343="Fuerte"),2,IF(AND(W344="Preventivo",BB343="Moderado"),1,0))</f>
        <v>0</v>
      </c>
      <c r="BD344" s="64">
        <f>+IF(AND(W344="Detectivo/Correctivo",$BB343="Fuerte"),2,IF(AND(W344="Detectivo/Correctivo",$BB344="Moderado"),1,IF(AND(W344="Preventivo",$BB343="Fuerte"),1,0)))</f>
        <v>0</v>
      </c>
      <c r="BE344" s="173" t="e">
        <f>+N343-BC344</f>
        <v>#N/A</v>
      </c>
      <c r="BF344" s="173" t="e">
        <f>+P343-BD344</f>
        <v>#N/A</v>
      </c>
      <c r="BG344" s="346"/>
      <c r="BH344" s="346"/>
      <c r="BI344" s="346"/>
      <c r="BJ344" s="538"/>
      <c r="BK344" s="538"/>
      <c r="BL344" s="538"/>
      <c r="BM344" s="538"/>
    </row>
    <row r="345" spans="1:65" ht="65.099999999999994" customHeight="1" thickBot="1">
      <c r="A345" s="329"/>
      <c r="B345" s="514"/>
      <c r="C345" s="364"/>
      <c r="D345" s="233"/>
      <c r="E345" s="233"/>
      <c r="F345" s="433"/>
      <c r="G345" s="367"/>
      <c r="H345" s="100"/>
      <c r="I345" s="237"/>
      <c r="J345" s="100"/>
      <c r="K345" s="236"/>
      <c r="L345" s="222"/>
      <c r="M345" s="370"/>
      <c r="N345" s="349"/>
      <c r="O345" s="352"/>
      <c r="P345" s="349"/>
      <c r="Q345" s="353"/>
      <c r="R345" s="346"/>
      <c r="S345" s="208"/>
      <c r="T345" s="96"/>
      <c r="U345" s="47" t="s">
        <v>627</v>
      </c>
      <c r="V345" s="215"/>
      <c r="W345" s="215"/>
      <c r="X345" s="215"/>
      <c r="Y345" s="95" t="str">
        <f t="shared" si="61"/>
        <v/>
      </c>
      <c r="Z345" s="215"/>
      <c r="AA345" s="95" t="str">
        <f t="shared" si="62"/>
        <v/>
      </c>
      <c r="AB345" s="208"/>
      <c r="AC345" s="95" t="str">
        <f t="shared" si="63"/>
        <v/>
      </c>
      <c r="AD345" s="208"/>
      <c r="AE345" s="95" t="str">
        <f t="shared" si="64"/>
        <v/>
      </c>
      <c r="AF345" s="208"/>
      <c r="AG345" s="95" t="str">
        <f t="shared" si="65"/>
        <v/>
      </c>
      <c r="AH345" s="208"/>
      <c r="AI345" s="95" t="str">
        <f t="shared" si="66"/>
        <v/>
      </c>
      <c r="AJ345" s="208"/>
      <c r="AK345" s="27" t="str">
        <f t="shared" si="67"/>
        <v/>
      </c>
      <c r="AL345" s="48" t="str">
        <f t="shared" si="68"/>
        <v/>
      </c>
      <c r="AM345" s="48" t="str">
        <f t="shared" si="69"/>
        <v/>
      </c>
      <c r="AN345" s="293"/>
      <c r="AO345" s="293"/>
      <c r="AP345" s="293"/>
      <c r="AQ345" s="293"/>
      <c r="AR345" s="293"/>
      <c r="AS345" s="293"/>
      <c r="AT345" s="293"/>
      <c r="AU345" s="294" t="str">
        <f>IFERROR(VLOOKUP(AT345,'Seguridad Información'!$I$61:$J$65,2,0),"")</f>
        <v/>
      </c>
      <c r="AV345" s="79"/>
      <c r="AW345" s="78" t="str">
        <f t="shared" si="60"/>
        <v/>
      </c>
      <c r="AX345" s="77" t="str">
        <f t="shared" si="70"/>
        <v/>
      </c>
      <c r="AY345" s="21" t="str">
        <f>IFERROR(VLOOKUP((CONCATENATE(AM345,AX345)),Listados!$U$3:$V$11,2,FALSE),"")</f>
        <v/>
      </c>
      <c r="AZ345" s="48">
        <f t="shared" si="71"/>
        <v>100</v>
      </c>
      <c r="BA345" s="355"/>
      <c r="BB345" s="357"/>
      <c r="BC345" s="173">
        <f>+IF(AND(W345="Preventivo",BB343="Fuerte"),2,IF(AND(W345="Preventivo",BB343="Moderado"),1,0))</f>
        <v>0</v>
      </c>
      <c r="BD345" s="64">
        <f>+IF(AND(W345="Detectivo/Correctivo",$BB343="Fuerte"),2,IF(AND(W345="Detectivo/Correctivo",$BB345="Moderado"),1,IF(AND(W345="Preventivo",$BB343="Fuerte"),1,0)))</f>
        <v>0</v>
      </c>
      <c r="BE345" s="173" t="e">
        <f>+N343-BC345</f>
        <v>#N/A</v>
      </c>
      <c r="BF345" s="173" t="e">
        <f>+P343-BD345</f>
        <v>#N/A</v>
      </c>
      <c r="BG345" s="346"/>
      <c r="BH345" s="346"/>
      <c r="BI345" s="346"/>
      <c r="BJ345" s="538"/>
      <c r="BK345" s="538"/>
      <c r="BL345" s="538"/>
      <c r="BM345" s="538"/>
    </row>
    <row r="346" spans="1:65" ht="65.099999999999994" customHeight="1" thickBot="1">
      <c r="A346" s="329"/>
      <c r="B346" s="514"/>
      <c r="C346" s="364"/>
      <c r="D346" s="233"/>
      <c r="E346" s="233"/>
      <c r="F346" s="433"/>
      <c r="G346" s="367"/>
      <c r="H346" s="100"/>
      <c r="I346" s="237"/>
      <c r="J346" s="100"/>
      <c r="K346" s="236"/>
      <c r="L346" s="222"/>
      <c r="M346" s="370"/>
      <c r="N346" s="349"/>
      <c r="O346" s="352"/>
      <c r="P346" s="349"/>
      <c r="Q346" s="353"/>
      <c r="R346" s="346"/>
      <c r="S346" s="208"/>
      <c r="T346" s="97"/>
      <c r="U346" s="47" t="s">
        <v>627</v>
      </c>
      <c r="V346" s="215"/>
      <c r="W346" s="215"/>
      <c r="X346" s="215"/>
      <c r="Y346" s="95" t="str">
        <f t="shared" si="61"/>
        <v/>
      </c>
      <c r="Z346" s="215"/>
      <c r="AA346" s="95" t="str">
        <f t="shared" si="62"/>
        <v/>
      </c>
      <c r="AB346" s="208"/>
      <c r="AC346" s="95" t="str">
        <f t="shared" si="63"/>
        <v/>
      </c>
      <c r="AD346" s="208"/>
      <c r="AE346" s="95" t="str">
        <f t="shared" si="64"/>
        <v/>
      </c>
      <c r="AF346" s="208"/>
      <c r="AG346" s="95" t="str">
        <f t="shared" si="65"/>
        <v/>
      </c>
      <c r="AH346" s="208"/>
      <c r="AI346" s="95" t="str">
        <f t="shared" si="66"/>
        <v/>
      </c>
      <c r="AJ346" s="208"/>
      <c r="AK346" s="27" t="str">
        <f t="shared" si="67"/>
        <v/>
      </c>
      <c r="AL346" s="48" t="str">
        <f t="shared" si="68"/>
        <v/>
      </c>
      <c r="AM346" s="48" t="str">
        <f t="shared" si="69"/>
        <v/>
      </c>
      <c r="AN346" s="293"/>
      <c r="AO346" s="293"/>
      <c r="AP346" s="293"/>
      <c r="AQ346" s="293"/>
      <c r="AR346" s="293"/>
      <c r="AS346" s="293"/>
      <c r="AT346" s="293"/>
      <c r="AU346" s="294" t="str">
        <f>IFERROR(VLOOKUP(AT346,'Seguridad Información'!$I$61:$J$65,2,0),"")</f>
        <v/>
      </c>
      <c r="AV346" s="79"/>
      <c r="AW346" s="78" t="str">
        <f t="shared" si="60"/>
        <v/>
      </c>
      <c r="AX346" s="77" t="str">
        <f t="shared" si="70"/>
        <v/>
      </c>
      <c r="AY346" s="21" t="str">
        <f>IFERROR(VLOOKUP((CONCATENATE(AM346,AX346)),Listados!$U$3:$V$11,2,FALSE),"")</f>
        <v/>
      </c>
      <c r="AZ346" s="48">
        <f t="shared" si="71"/>
        <v>100</v>
      </c>
      <c r="BA346" s="355"/>
      <c r="BB346" s="357"/>
      <c r="BC346" s="173">
        <f>+IF(AND(W346="Preventivo",BB343="Fuerte"),2,IF(AND(W346="Preventivo",BB343="Moderado"),1,0))</f>
        <v>0</v>
      </c>
      <c r="BD346" s="64">
        <f>+IF(AND(W346="Detectivo/Correctivo",$BB343="Fuerte"),2,IF(AND(W346="Detectivo/Correctivo",$BB346="Moderado"),1,IF(AND(W346="Preventivo",$BB343="Fuerte"),1,0)))</f>
        <v>0</v>
      </c>
      <c r="BE346" s="173" t="e">
        <f>+N343-BC346</f>
        <v>#N/A</v>
      </c>
      <c r="BF346" s="173" t="e">
        <f>+P343-BD346</f>
        <v>#N/A</v>
      </c>
      <c r="BG346" s="346"/>
      <c r="BH346" s="346"/>
      <c r="BI346" s="346"/>
      <c r="BJ346" s="538"/>
      <c r="BK346" s="538"/>
      <c r="BL346" s="538"/>
      <c r="BM346" s="538"/>
    </row>
    <row r="347" spans="1:65" ht="65.099999999999994" customHeight="1" thickBot="1">
      <c r="A347" s="329"/>
      <c r="B347" s="514"/>
      <c r="C347" s="364"/>
      <c r="D347" s="109"/>
      <c r="E347" s="109"/>
      <c r="F347" s="433"/>
      <c r="G347" s="367"/>
      <c r="H347" s="100"/>
      <c r="I347" s="237"/>
      <c r="J347" s="100"/>
      <c r="K347" s="29"/>
      <c r="L347" s="222"/>
      <c r="M347" s="370"/>
      <c r="N347" s="349"/>
      <c r="O347" s="352"/>
      <c r="P347" s="349"/>
      <c r="Q347" s="353"/>
      <c r="R347" s="346"/>
      <c r="S347" s="208"/>
      <c r="T347" s="195"/>
      <c r="U347" s="47" t="s">
        <v>627</v>
      </c>
      <c r="V347" s="215"/>
      <c r="W347" s="215"/>
      <c r="X347" s="215"/>
      <c r="Y347" s="95" t="str">
        <f t="shared" si="61"/>
        <v/>
      </c>
      <c r="Z347" s="215"/>
      <c r="AA347" s="95" t="str">
        <f t="shared" si="62"/>
        <v/>
      </c>
      <c r="AB347" s="208"/>
      <c r="AC347" s="95" t="str">
        <f t="shared" si="63"/>
        <v/>
      </c>
      <c r="AD347" s="208"/>
      <c r="AE347" s="95" t="str">
        <f t="shared" si="64"/>
        <v/>
      </c>
      <c r="AF347" s="208"/>
      <c r="AG347" s="95" t="str">
        <f t="shared" si="65"/>
        <v/>
      </c>
      <c r="AH347" s="208"/>
      <c r="AI347" s="95" t="str">
        <f t="shared" si="66"/>
        <v/>
      </c>
      <c r="AJ347" s="208"/>
      <c r="AK347" s="27" t="str">
        <f t="shared" si="67"/>
        <v/>
      </c>
      <c r="AL347" s="48" t="str">
        <f t="shared" si="68"/>
        <v/>
      </c>
      <c r="AM347" s="48" t="str">
        <f t="shared" si="69"/>
        <v/>
      </c>
      <c r="AN347" s="293"/>
      <c r="AO347" s="293"/>
      <c r="AP347" s="293"/>
      <c r="AQ347" s="293"/>
      <c r="AR347" s="293"/>
      <c r="AS347" s="293"/>
      <c r="AT347" s="293"/>
      <c r="AU347" s="294" t="str">
        <f>IFERROR(VLOOKUP(AT347,'Seguridad Información'!$I$61:$J$65,2,0),"")</f>
        <v/>
      </c>
      <c r="AV347" s="79"/>
      <c r="AW347" s="78" t="str">
        <f t="shared" si="60"/>
        <v/>
      </c>
      <c r="AX347" s="77" t="str">
        <f t="shared" si="70"/>
        <v/>
      </c>
      <c r="AY347" s="21" t="str">
        <f>IFERROR(VLOOKUP((CONCATENATE(AM347,AX347)),Listados!$U$3:$V$11,2,FALSE),"")</f>
        <v/>
      </c>
      <c r="AZ347" s="48">
        <f t="shared" si="71"/>
        <v>100</v>
      </c>
      <c r="BA347" s="355"/>
      <c r="BB347" s="357"/>
      <c r="BC347" s="173">
        <f>+IF(AND(W347="Preventivo",BB343="Fuerte"),2,IF(AND(W347="Preventivo",BB343="Moderado"),1,0))</f>
        <v>0</v>
      </c>
      <c r="BD347" s="64">
        <f>+IF(AND(W347="Detectivo/Correctivo",$BB343="Fuerte"),2,IF(AND(W347="Detectivo/Correctivo",$BB347="Moderado"),1,IF(AND(W347="Preventivo",$BB343="Fuerte"),1,0)))</f>
        <v>0</v>
      </c>
      <c r="BE347" s="173" t="e">
        <f>+N343-BC347</f>
        <v>#N/A</v>
      </c>
      <c r="BF347" s="173" t="e">
        <f>+P343-BD347</f>
        <v>#N/A</v>
      </c>
      <c r="BG347" s="346"/>
      <c r="BH347" s="346"/>
      <c r="BI347" s="346"/>
      <c r="BJ347" s="538"/>
      <c r="BK347" s="538"/>
      <c r="BL347" s="538"/>
      <c r="BM347" s="538"/>
    </row>
    <row r="348" spans="1:65" ht="65.099999999999994" customHeight="1" thickBot="1">
      <c r="A348" s="330"/>
      <c r="B348" s="514"/>
      <c r="C348" s="365"/>
      <c r="D348" s="106"/>
      <c r="E348" s="106"/>
      <c r="F348" s="434"/>
      <c r="G348" s="368"/>
      <c r="H348" s="100"/>
      <c r="I348" s="237"/>
      <c r="J348" s="100"/>
      <c r="K348" s="31"/>
      <c r="L348" s="222"/>
      <c r="M348" s="370"/>
      <c r="N348" s="350"/>
      <c r="O348" s="352"/>
      <c r="P348" s="350"/>
      <c r="Q348" s="353"/>
      <c r="R348" s="347"/>
      <c r="S348" s="208"/>
      <c r="T348" s="98"/>
      <c r="U348" s="47" t="s">
        <v>627</v>
      </c>
      <c r="V348" s="215"/>
      <c r="W348" s="215"/>
      <c r="X348" s="215"/>
      <c r="Y348" s="95" t="str">
        <f t="shared" si="61"/>
        <v/>
      </c>
      <c r="Z348" s="215"/>
      <c r="AA348" s="95" t="str">
        <f t="shared" si="62"/>
        <v/>
      </c>
      <c r="AB348" s="208"/>
      <c r="AC348" s="95" t="str">
        <f t="shared" si="63"/>
        <v/>
      </c>
      <c r="AD348" s="208"/>
      <c r="AE348" s="95" t="str">
        <f t="shared" si="64"/>
        <v/>
      </c>
      <c r="AF348" s="208"/>
      <c r="AG348" s="95" t="str">
        <f t="shared" si="65"/>
        <v/>
      </c>
      <c r="AH348" s="208"/>
      <c r="AI348" s="95" t="str">
        <f t="shared" si="66"/>
        <v/>
      </c>
      <c r="AJ348" s="208"/>
      <c r="AK348" s="27" t="str">
        <f t="shared" si="67"/>
        <v/>
      </c>
      <c r="AL348" s="48" t="str">
        <f t="shared" si="68"/>
        <v/>
      </c>
      <c r="AM348" s="48" t="str">
        <f t="shared" si="69"/>
        <v/>
      </c>
      <c r="AN348" s="293"/>
      <c r="AO348" s="293"/>
      <c r="AP348" s="293"/>
      <c r="AQ348" s="293"/>
      <c r="AR348" s="293"/>
      <c r="AS348" s="293"/>
      <c r="AT348" s="293"/>
      <c r="AU348" s="294" t="str">
        <f>IFERROR(VLOOKUP(AT348,'Seguridad Información'!$I$61:$J$65,2,0),"")</f>
        <v/>
      </c>
      <c r="AV348" s="79"/>
      <c r="AW348" s="78" t="str">
        <f t="shared" si="60"/>
        <v/>
      </c>
      <c r="AX348" s="77" t="str">
        <f t="shared" si="70"/>
        <v/>
      </c>
      <c r="AY348" s="21" t="str">
        <f>IFERROR(VLOOKUP((CONCATENATE(AM348,AX348)),Listados!$U$3:$V$11,2,FALSE),"")</f>
        <v/>
      </c>
      <c r="AZ348" s="48">
        <f t="shared" si="71"/>
        <v>100</v>
      </c>
      <c r="BA348" s="356"/>
      <c r="BB348" s="357"/>
      <c r="BC348" s="173">
        <f>+IF(AND(W348="Preventivo",BB343="Fuerte"),2,IF(AND(W348="Preventivo",BB343="Moderado"),1,0))</f>
        <v>0</v>
      </c>
      <c r="BD348" s="64">
        <f>+IF(AND(W348="Detectivo/Correctivo",$BB343="Fuerte"),2,IF(AND(W348="Detectivo/Correctivo",$BB348="Moderado"),1,IF(AND(W348="Preventivo",$BB343="Fuerte"),1,0)))</f>
        <v>0</v>
      </c>
      <c r="BE348" s="173" t="e">
        <f>+N343-BC348</f>
        <v>#N/A</v>
      </c>
      <c r="BF348" s="173" t="e">
        <f>+P343-BD348</f>
        <v>#N/A</v>
      </c>
      <c r="BG348" s="347"/>
      <c r="BH348" s="347"/>
      <c r="BI348" s="347"/>
      <c r="BJ348" s="539"/>
      <c r="BK348" s="539"/>
      <c r="BL348" s="539"/>
      <c r="BM348" s="539"/>
    </row>
    <row r="349" spans="1:65" ht="65.099999999999994" customHeight="1" thickBot="1">
      <c r="A349" s="328">
        <v>58</v>
      </c>
      <c r="B349" s="519"/>
      <c r="C349" s="371" t="str">
        <f>IFERROR(VLOOKUP(B349,Listados!B$3:C$20,2,FALSE),"")</f>
        <v/>
      </c>
      <c r="D349" s="107"/>
      <c r="E349" s="107"/>
      <c r="F349" s="432"/>
      <c r="G349" s="372"/>
      <c r="H349" s="100"/>
      <c r="I349" s="237"/>
      <c r="J349" s="100"/>
      <c r="K349" s="103"/>
      <c r="L349" s="17"/>
      <c r="M349" s="369"/>
      <c r="N349" s="348" t="e">
        <f>+VLOOKUP(M349,Listados!$K$8:$L$12,2,0)</f>
        <v>#N/A</v>
      </c>
      <c r="O349" s="351"/>
      <c r="P349" s="348" t="e">
        <f>+VLOOKUP(O349,Listados!$K$13:$L$17,2,0)</f>
        <v>#N/A</v>
      </c>
      <c r="Q349" s="347" t="str">
        <f>IF(AND(M349&lt;&gt;"",O349&lt;&gt;""),VLOOKUP(M349&amp;O349,Listados!$M$3:$N$27,2,FALSE),"")</f>
        <v/>
      </c>
      <c r="R349" s="345" t="e">
        <f>+VLOOKUP(Q349,Listados!$P$3:$Q$6,2,FALSE)</f>
        <v>#N/A</v>
      </c>
      <c r="S349" s="208"/>
      <c r="T349" s="94"/>
      <c r="U349" s="47" t="s">
        <v>627</v>
      </c>
      <c r="V349" s="215"/>
      <c r="W349" s="215"/>
      <c r="X349" s="215"/>
      <c r="Y349" s="95" t="str">
        <f t="shared" si="61"/>
        <v/>
      </c>
      <c r="Z349" s="215"/>
      <c r="AA349" s="95" t="str">
        <f t="shared" si="62"/>
        <v/>
      </c>
      <c r="AB349" s="208"/>
      <c r="AC349" s="95" t="str">
        <f t="shared" si="63"/>
        <v/>
      </c>
      <c r="AD349" s="208"/>
      <c r="AE349" s="95" t="str">
        <f t="shared" si="64"/>
        <v/>
      </c>
      <c r="AF349" s="208"/>
      <c r="AG349" s="95" t="str">
        <f t="shared" si="65"/>
        <v/>
      </c>
      <c r="AH349" s="208"/>
      <c r="AI349" s="95" t="str">
        <f t="shared" si="66"/>
        <v/>
      </c>
      <c r="AJ349" s="208"/>
      <c r="AK349" s="27" t="str">
        <f t="shared" si="67"/>
        <v/>
      </c>
      <c r="AL349" s="48" t="str">
        <f t="shared" si="68"/>
        <v/>
      </c>
      <c r="AM349" s="48" t="str">
        <f t="shared" si="69"/>
        <v/>
      </c>
      <c r="AN349" s="293"/>
      <c r="AO349" s="293"/>
      <c r="AP349" s="293"/>
      <c r="AQ349" s="293"/>
      <c r="AR349" s="293"/>
      <c r="AS349" s="293"/>
      <c r="AT349" s="293"/>
      <c r="AU349" s="294" t="str">
        <f>IFERROR(VLOOKUP(AT349,'Seguridad Información'!$I$61:$J$65,2,0),"")</f>
        <v/>
      </c>
      <c r="AV349" s="79"/>
      <c r="AW349" s="78" t="str">
        <f t="shared" si="60"/>
        <v/>
      </c>
      <c r="AX349" s="77" t="str">
        <f t="shared" si="70"/>
        <v/>
      </c>
      <c r="AY349" s="21" t="str">
        <f>IFERROR(VLOOKUP((CONCATENATE(AM349,AX349)),Listados!$U$3:$V$11,2,FALSE),"")</f>
        <v/>
      </c>
      <c r="AZ349" s="48">
        <f t="shared" si="71"/>
        <v>100</v>
      </c>
      <c r="BA349" s="354">
        <f>AVERAGE(AZ349:AZ354)</f>
        <v>100</v>
      </c>
      <c r="BB349" s="356" t="str">
        <f>IF(BA349&lt;=50, "Débil", IF(BA349&lt;=99,"Moderado","Fuerte"))</f>
        <v>Fuerte</v>
      </c>
      <c r="BC349" s="173">
        <f>+IF(AND(W349="Preventivo",BB349="Fuerte"),2,IF(AND(W349="Preventivo",BB349="Moderado"),1,0))</f>
        <v>0</v>
      </c>
      <c r="BD349" s="64">
        <f>+IF(AND(W349="Detectivo/Correctivo",$BB349="Fuerte"),2,IF(AND(W349="Detectivo/Correctivo",$BB349="Moderado"),1,IF(AND(W349="Preventivo",$BB349="Fuerte"),1,0)))</f>
        <v>0</v>
      </c>
      <c r="BE349" s="173" t="e">
        <f>+N349-BC349</f>
        <v>#N/A</v>
      </c>
      <c r="BF349" s="173" t="e">
        <f>+P349-BD349</f>
        <v>#N/A</v>
      </c>
      <c r="BG349" s="345" t="e">
        <f>+VLOOKUP(MIN(BE349,BE350,BE351,BE352,BE353,BE354),Listados!$J$18:$K$24,2,TRUE)</f>
        <v>#N/A</v>
      </c>
      <c r="BH349" s="345" t="e">
        <f>+VLOOKUP(MIN(BF349,BF350,BF351,BF352,BF353,BF354),Listados!$J$27:$K$32,2,TRUE)</f>
        <v>#N/A</v>
      </c>
      <c r="BI349" s="345" t="e">
        <f>IF(AND(BG349&lt;&gt;"",BH349&lt;&gt;""),VLOOKUP(BG349&amp;BH349,Listados!$M$3:$N$27,2,FALSE),"")</f>
        <v>#N/A</v>
      </c>
      <c r="BJ349" s="537" t="e">
        <f>+IF($R349="Asumir el riesgo","NA","")</f>
        <v>#N/A</v>
      </c>
      <c r="BK349" s="537" t="e">
        <f>+IF($R349="Asumir el riesgo","NA","")</f>
        <v>#N/A</v>
      </c>
      <c r="BL349" s="537" t="e">
        <f>+IF($R349="Asumir el riesgo","NA","")</f>
        <v>#N/A</v>
      </c>
      <c r="BM349" s="537" t="e">
        <f>+IF($R349="Asumir el riesgo","NA","")</f>
        <v>#N/A</v>
      </c>
    </row>
    <row r="350" spans="1:65" ht="65.099999999999994" customHeight="1" thickBot="1">
      <c r="A350" s="329"/>
      <c r="B350" s="514"/>
      <c r="C350" s="364"/>
      <c r="D350" s="233"/>
      <c r="E350" s="233"/>
      <c r="F350" s="433"/>
      <c r="G350" s="367"/>
      <c r="H350" s="100"/>
      <c r="I350" s="237"/>
      <c r="J350" s="100"/>
      <c r="K350" s="236"/>
      <c r="L350" s="222"/>
      <c r="M350" s="370"/>
      <c r="N350" s="349"/>
      <c r="O350" s="352"/>
      <c r="P350" s="349"/>
      <c r="Q350" s="353"/>
      <c r="R350" s="346"/>
      <c r="S350" s="208"/>
      <c r="T350" s="195"/>
      <c r="U350" s="47" t="s">
        <v>627</v>
      </c>
      <c r="V350" s="215"/>
      <c r="W350" s="215"/>
      <c r="X350" s="215"/>
      <c r="Y350" s="95" t="str">
        <f t="shared" si="61"/>
        <v/>
      </c>
      <c r="Z350" s="215"/>
      <c r="AA350" s="95" t="str">
        <f t="shared" si="62"/>
        <v/>
      </c>
      <c r="AB350" s="208"/>
      <c r="AC350" s="95" t="str">
        <f t="shared" si="63"/>
        <v/>
      </c>
      <c r="AD350" s="208"/>
      <c r="AE350" s="95" t="str">
        <f t="shared" si="64"/>
        <v/>
      </c>
      <c r="AF350" s="208"/>
      <c r="AG350" s="95" t="str">
        <f t="shared" si="65"/>
        <v/>
      </c>
      <c r="AH350" s="208"/>
      <c r="AI350" s="95" t="str">
        <f t="shared" si="66"/>
        <v/>
      </c>
      <c r="AJ350" s="208"/>
      <c r="AK350" s="27" t="str">
        <f t="shared" si="67"/>
        <v/>
      </c>
      <c r="AL350" s="48" t="str">
        <f t="shared" si="68"/>
        <v/>
      </c>
      <c r="AM350" s="48" t="str">
        <f t="shared" si="69"/>
        <v/>
      </c>
      <c r="AN350" s="293"/>
      <c r="AO350" s="293"/>
      <c r="AP350" s="293"/>
      <c r="AQ350" s="293"/>
      <c r="AR350" s="293"/>
      <c r="AS350" s="293"/>
      <c r="AT350" s="293"/>
      <c r="AU350" s="294" t="str">
        <f>IFERROR(VLOOKUP(AT350,'Seguridad Información'!$I$61:$J$65,2,0),"")</f>
        <v/>
      </c>
      <c r="AV350" s="79"/>
      <c r="AW350" s="78" t="str">
        <f t="shared" si="60"/>
        <v/>
      </c>
      <c r="AX350" s="77" t="str">
        <f t="shared" si="70"/>
        <v/>
      </c>
      <c r="AY350" s="21" t="str">
        <f>IFERROR(VLOOKUP((CONCATENATE(AM350,AX350)),Listados!$U$3:$V$11,2,FALSE),"")</f>
        <v/>
      </c>
      <c r="AZ350" s="48">
        <f t="shared" si="71"/>
        <v>100</v>
      </c>
      <c r="BA350" s="355"/>
      <c r="BB350" s="357"/>
      <c r="BC350" s="173">
        <f>+IF(AND(W350="Preventivo",BB349="Fuerte"),2,IF(AND(W350="Preventivo",BB349="Moderado"),1,0))</f>
        <v>0</v>
      </c>
      <c r="BD350" s="64">
        <f>+IF(AND(W350="Detectivo/Correctivo",$BB349="Fuerte"),2,IF(AND(W350="Detectivo/Correctivo",$BB350="Moderado"),1,IF(AND(W350="Preventivo",$BB349="Fuerte"),1,0)))</f>
        <v>0</v>
      </c>
      <c r="BE350" s="173" t="e">
        <f>+N349-BC350</f>
        <v>#N/A</v>
      </c>
      <c r="BF350" s="173" t="e">
        <f>+P349-BD350</f>
        <v>#N/A</v>
      </c>
      <c r="BG350" s="346"/>
      <c r="BH350" s="346"/>
      <c r="BI350" s="346"/>
      <c r="BJ350" s="538"/>
      <c r="BK350" s="538"/>
      <c r="BL350" s="538"/>
      <c r="BM350" s="538"/>
    </row>
    <row r="351" spans="1:65" ht="65.099999999999994" customHeight="1" thickBot="1">
      <c r="A351" s="329"/>
      <c r="B351" s="514"/>
      <c r="C351" s="364"/>
      <c r="D351" s="233"/>
      <c r="E351" s="233"/>
      <c r="F351" s="433"/>
      <c r="G351" s="367"/>
      <c r="H351" s="100"/>
      <c r="I351" s="237"/>
      <c r="J351" s="100"/>
      <c r="K351" s="236"/>
      <c r="L351" s="222"/>
      <c r="M351" s="370"/>
      <c r="N351" s="349"/>
      <c r="O351" s="352"/>
      <c r="P351" s="349"/>
      <c r="Q351" s="353"/>
      <c r="R351" s="346"/>
      <c r="S351" s="208"/>
      <c r="T351" s="96"/>
      <c r="U351" s="47" t="s">
        <v>627</v>
      </c>
      <c r="V351" s="215"/>
      <c r="W351" s="215"/>
      <c r="X351" s="215"/>
      <c r="Y351" s="95" t="str">
        <f t="shared" si="61"/>
        <v/>
      </c>
      <c r="Z351" s="215"/>
      <c r="AA351" s="95" t="str">
        <f t="shared" si="62"/>
        <v/>
      </c>
      <c r="AB351" s="208"/>
      <c r="AC351" s="95" t="str">
        <f t="shared" si="63"/>
        <v/>
      </c>
      <c r="AD351" s="208"/>
      <c r="AE351" s="95" t="str">
        <f t="shared" si="64"/>
        <v/>
      </c>
      <c r="AF351" s="208"/>
      <c r="AG351" s="95" t="str">
        <f t="shared" si="65"/>
        <v/>
      </c>
      <c r="AH351" s="208"/>
      <c r="AI351" s="95" t="str">
        <f t="shared" si="66"/>
        <v/>
      </c>
      <c r="AJ351" s="208"/>
      <c r="AK351" s="27" t="str">
        <f t="shared" si="67"/>
        <v/>
      </c>
      <c r="AL351" s="48" t="str">
        <f t="shared" si="68"/>
        <v/>
      </c>
      <c r="AM351" s="48" t="str">
        <f t="shared" si="69"/>
        <v/>
      </c>
      <c r="AN351" s="293"/>
      <c r="AO351" s="293"/>
      <c r="AP351" s="293"/>
      <c r="AQ351" s="293"/>
      <c r="AR351" s="293"/>
      <c r="AS351" s="293"/>
      <c r="AT351" s="293"/>
      <c r="AU351" s="294" t="str">
        <f>IFERROR(VLOOKUP(AT351,'Seguridad Información'!$I$61:$J$65,2,0),"")</f>
        <v/>
      </c>
      <c r="AV351" s="79"/>
      <c r="AW351" s="78" t="str">
        <f t="shared" si="60"/>
        <v/>
      </c>
      <c r="AX351" s="77" t="str">
        <f t="shared" si="70"/>
        <v/>
      </c>
      <c r="AY351" s="21" t="str">
        <f>IFERROR(VLOOKUP((CONCATENATE(AM351,AX351)),Listados!$U$3:$V$11,2,FALSE),"")</f>
        <v/>
      </c>
      <c r="AZ351" s="48">
        <f t="shared" si="71"/>
        <v>100</v>
      </c>
      <c r="BA351" s="355"/>
      <c r="BB351" s="357"/>
      <c r="BC351" s="173">
        <f>+IF(AND(W351="Preventivo",BB349="Fuerte"),2,IF(AND(W351="Preventivo",BB349="Moderado"),1,0))</f>
        <v>0</v>
      </c>
      <c r="BD351" s="64">
        <f>+IF(AND(W351="Detectivo/Correctivo",$BB349="Fuerte"),2,IF(AND(W351="Detectivo/Correctivo",$BB351="Moderado"),1,IF(AND(W351="Preventivo",$BB349="Fuerte"),1,0)))</f>
        <v>0</v>
      </c>
      <c r="BE351" s="173" t="e">
        <f>+N349-BC351</f>
        <v>#N/A</v>
      </c>
      <c r="BF351" s="173" t="e">
        <f>+P349-BD351</f>
        <v>#N/A</v>
      </c>
      <c r="BG351" s="346"/>
      <c r="BH351" s="346"/>
      <c r="BI351" s="346"/>
      <c r="BJ351" s="538"/>
      <c r="BK351" s="538"/>
      <c r="BL351" s="538"/>
      <c r="BM351" s="538"/>
    </row>
    <row r="352" spans="1:65" ht="65.099999999999994" customHeight="1" thickBot="1">
      <c r="A352" s="329"/>
      <c r="B352" s="514"/>
      <c r="C352" s="364"/>
      <c r="D352" s="233"/>
      <c r="E352" s="233"/>
      <c r="F352" s="433"/>
      <c r="G352" s="367"/>
      <c r="H352" s="100"/>
      <c r="I352" s="237"/>
      <c r="J352" s="100"/>
      <c r="K352" s="236"/>
      <c r="L352" s="222"/>
      <c r="M352" s="370"/>
      <c r="N352" s="349"/>
      <c r="O352" s="352"/>
      <c r="P352" s="349"/>
      <c r="Q352" s="353"/>
      <c r="R352" s="346"/>
      <c r="S352" s="208"/>
      <c r="T352" s="97"/>
      <c r="U352" s="47" t="s">
        <v>627</v>
      </c>
      <c r="V352" s="215"/>
      <c r="W352" s="215"/>
      <c r="X352" s="215"/>
      <c r="Y352" s="95" t="str">
        <f t="shared" si="61"/>
        <v/>
      </c>
      <c r="Z352" s="215"/>
      <c r="AA352" s="95" t="str">
        <f t="shared" si="62"/>
        <v/>
      </c>
      <c r="AB352" s="208"/>
      <c r="AC352" s="95" t="str">
        <f t="shared" si="63"/>
        <v/>
      </c>
      <c r="AD352" s="208"/>
      <c r="AE352" s="95" t="str">
        <f t="shared" si="64"/>
        <v/>
      </c>
      <c r="AF352" s="208"/>
      <c r="AG352" s="95" t="str">
        <f t="shared" si="65"/>
        <v/>
      </c>
      <c r="AH352" s="208"/>
      <c r="AI352" s="95" t="str">
        <f t="shared" si="66"/>
        <v/>
      </c>
      <c r="AJ352" s="208"/>
      <c r="AK352" s="27" t="str">
        <f t="shared" si="67"/>
        <v/>
      </c>
      <c r="AL352" s="48" t="str">
        <f t="shared" si="68"/>
        <v/>
      </c>
      <c r="AM352" s="48" t="str">
        <f t="shared" si="69"/>
        <v/>
      </c>
      <c r="AN352" s="293"/>
      <c r="AO352" s="293"/>
      <c r="AP352" s="293"/>
      <c r="AQ352" s="293"/>
      <c r="AR352" s="293"/>
      <c r="AS352" s="293"/>
      <c r="AT352" s="293"/>
      <c r="AU352" s="294" t="str">
        <f>IFERROR(VLOOKUP(AT352,'Seguridad Información'!$I$61:$J$65,2,0),"")</f>
        <v/>
      </c>
      <c r="AV352" s="79"/>
      <c r="AW352" s="78" t="str">
        <f t="shared" si="60"/>
        <v/>
      </c>
      <c r="AX352" s="77" t="str">
        <f t="shared" si="70"/>
        <v/>
      </c>
      <c r="AY352" s="21" t="str">
        <f>IFERROR(VLOOKUP((CONCATENATE(AM352,AX352)),Listados!$U$3:$V$11,2,FALSE),"")</f>
        <v/>
      </c>
      <c r="AZ352" s="48">
        <f t="shared" si="71"/>
        <v>100</v>
      </c>
      <c r="BA352" s="355"/>
      <c r="BB352" s="357"/>
      <c r="BC352" s="173">
        <f>+IF(AND(W352="Preventivo",BB349="Fuerte"),2,IF(AND(W352="Preventivo",BB349="Moderado"),1,0))</f>
        <v>0</v>
      </c>
      <c r="BD352" s="64">
        <f>+IF(AND(W352="Detectivo/Correctivo",$BB349="Fuerte"),2,IF(AND(W352="Detectivo/Correctivo",$BB352="Moderado"),1,IF(AND(W352="Preventivo",$BB349="Fuerte"),1,0)))</f>
        <v>0</v>
      </c>
      <c r="BE352" s="173" t="e">
        <f>+N349-BC352</f>
        <v>#N/A</v>
      </c>
      <c r="BF352" s="173" t="e">
        <f>+P349-BD352</f>
        <v>#N/A</v>
      </c>
      <c r="BG352" s="346"/>
      <c r="BH352" s="346"/>
      <c r="BI352" s="346"/>
      <c r="BJ352" s="538"/>
      <c r="BK352" s="538"/>
      <c r="BL352" s="538"/>
      <c r="BM352" s="538"/>
    </row>
    <row r="353" spans="1:65" ht="65.099999999999994" customHeight="1" thickBot="1">
      <c r="A353" s="329"/>
      <c r="B353" s="514"/>
      <c r="C353" s="364"/>
      <c r="D353" s="109"/>
      <c r="E353" s="109"/>
      <c r="F353" s="433"/>
      <c r="G353" s="367"/>
      <c r="H353" s="100"/>
      <c r="I353" s="237"/>
      <c r="J353" s="100"/>
      <c r="K353" s="29"/>
      <c r="L353" s="222"/>
      <c r="M353" s="370"/>
      <c r="N353" s="349"/>
      <c r="O353" s="352"/>
      <c r="P353" s="349"/>
      <c r="Q353" s="353"/>
      <c r="R353" s="346"/>
      <c r="S353" s="208"/>
      <c r="T353" s="195"/>
      <c r="U353" s="47" t="s">
        <v>627</v>
      </c>
      <c r="V353" s="215"/>
      <c r="W353" s="215"/>
      <c r="X353" s="215"/>
      <c r="Y353" s="95" t="str">
        <f t="shared" si="61"/>
        <v/>
      </c>
      <c r="Z353" s="215"/>
      <c r="AA353" s="95" t="str">
        <f t="shared" si="62"/>
        <v/>
      </c>
      <c r="AB353" s="208"/>
      <c r="AC353" s="95" t="str">
        <f t="shared" si="63"/>
        <v/>
      </c>
      <c r="AD353" s="208"/>
      <c r="AE353" s="95" t="str">
        <f t="shared" si="64"/>
        <v/>
      </c>
      <c r="AF353" s="208"/>
      <c r="AG353" s="95" t="str">
        <f t="shared" si="65"/>
        <v/>
      </c>
      <c r="AH353" s="208"/>
      <c r="AI353" s="95" t="str">
        <f t="shared" si="66"/>
        <v/>
      </c>
      <c r="AJ353" s="208"/>
      <c r="AK353" s="27" t="str">
        <f t="shared" si="67"/>
        <v/>
      </c>
      <c r="AL353" s="48" t="str">
        <f t="shared" si="68"/>
        <v/>
      </c>
      <c r="AM353" s="48" t="str">
        <f t="shared" si="69"/>
        <v/>
      </c>
      <c r="AN353" s="293"/>
      <c r="AO353" s="293"/>
      <c r="AP353" s="293"/>
      <c r="AQ353" s="293"/>
      <c r="AR353" s="293"/>
      <c r="AS353" s="293"/>
      <c r="AT353" s="293"/>
      <c r="AU353" s="294" t="str">
        <f>IFERROR(VLOOKUP(AT353,'Seguridad Información'!$I$61:$J$65,2,0),"")</f>
        <v/>
      </c>
      <c r="AV353" s="79"/>
      <c r="AW353" s="78" t="str">
        <f t="shared" si="60"/>
        <v/>
      </c>
      <c r="AX353" s="77" t="str">
        <f t="shared" si="70"/>
        <v/>
      </c>
      <c r="AY353" s="21" t="str">
        <f>IFERROR(VLOOKUP((CONCATENATE(AM353,AX353)),Listados!$U$3:$V$11,2,FALSE),"")</f>
        <v/>
      </c>
      <c r="AZ353" s="48">
        <f t="shared" si="71"/>
        <v>100</v>
      </c>
      <c r="BA353" s="355"/>
      <c r="BB353" s="357"/>
      <c r="BC353" s="173">
        <f>+IF(AND(W353="Preventivo",BB349="Fuerte"),2,IF(AND(W353="Preventivo",BB349="Moderado"),1,0))</f>
        <v>0</v>
      </c>
      <c r="BD353" s="64">
        <f>+IF(AND(W353="Detectivo/Correctivo",$BB349="Fuerte"),2,IF(AND(W353="Detectivo/Correctivo",$BB353="Moderado"),1,IF(AND(W353="Preventivo",$BB349="Fuerte"),1,0)))</f>
        <v>0</v>
      </c>
      <c r="BE353" s="173" t="e">
        <f>+N349-BC353</f>
        <v>#N/A</v>
      </c>
      <c r="BF353" s="173" t="e">
        <f>+P349-BD353</f>
        <v>#N/A</v>
      </c>
      <c r="BG353" s="346"/>
      <c r="BH353" s="346"/>
      <c r="BI353" s="346"/>
      <c r="BJ353" s="538"/>
      <c r="BK353" s="538"/>
      <c r="BL353" s="538"/>
      <c r="BM353" s="538"/>
    </row>
    <row r="354" spans="1:65" ht="65.099999999999994" customHeight="1" thickBot="1">
      <c r="A354" s="330"/>
      <c r="B354" s="514"/>
      <c r="C354" s="365"/>
      <c r="D354" s="106"/>
      <c r="E354" s="106"/>
      <c r="F354" s="434"/>
      <c r="G354" s="368"/>
      <c r="H354" s="100"/>
      <c r="I354" s="237"/>
      <c r="J354" s="100"/>
      <c r="K354" s="31"/>
      <c r="L354" s="222"/>
      <c r="M354" s="370"/>
      <c r="N354" s="350"/>
      <c r="O354" s="352"/>
      <c r="P354" s="350"/>
      <c r="Q354" s="353"/>
      <c r="R354" s="347"/>
      <c r="S354" s="208"/>
      <c r="T354" s="98"/>
      <c r="U354" s="47" t="s">
        <v>627</v>
      </c>
      <c r="V354" s="215"/>
      <c r="W354" s="215"/>
      <c r="X354" s="215"/>
      <c r="Y354" s="95" t="str">
        <f t="shared" si="61"/>
        <v/>
      </c>
      <c r="Z354" s="215"/>
      <c r="AA354" s="95" t="str">
        <f t="shared" si="62"/>
        <v/>
      </c>
      <c r="AB354" s="208"/>
      <c r="AC354" s="95" t="str">
        <f t="shared" si="63"/>
        <v/>
      </c>
      <c r="AD354" s="208"/>
      <c r="AE354" s="95" t="str">
        <f t="shared" si="64"/>
        <v/>
      </c>
      <c r="AF354" s="208"/>
      <c r="AG354" s="95" t="str">
        <f t="shared" si="65"/>
        <v/>
      </c>
      <c r="AH354" s="208"/>
      <c r="AI354" s="95" t="str">
        <f t="shared" si="66"/>
        <v/>
      </c>
      <c r="AJ354" s="208"/>
      <c r="AK354" s="27" t="str">
        <f t="shared" si="67"/>
        <v/>
      </c>
      <c r="AL354" s="48" t="str">
        <f t="shared" si="68"/>
        <v/>
      </c>
      <c r="AM354" s="48" t="str">
        <f t="shared" si="69"/>
        <v/>
      </c>
      <c r="AN354" s="293"/>
      <c r="AO354" s="293"/>
      <c r="AP354" s="293"/>
      <c r="AQ354" s="293"/>
      <c r="AR354" s="293"/>
      <c r="AS354" s="293"/>
      <c r="AT354" s="293"/>
      <c r="AU354" s="294" t="str">
        <f>IFERROR(VLOOKUP(AT354,'Seguridad Información'!$I$61:$J$65,2,0),"")</f>
        <v/>
      </c>
      <c r="AV354" s="79"/>
      <c r="AW354" s="78" t="str">
        <f t="shared" si="60"/>
        <v/>
      </c>
      <c r="AX354" s="77" t="str">
        <f t="shared" si="70"/>
        <v/>
      </c>
      <c r="AY354" s="21" t="str">
        <f>IFERROR(VLOOKUP((CONCATENATE(AM354,AX354)),Listados!$U$3:$V$11,2,FALSE),"")</f>
        <v/>
      </c>
      <c r="AZ354" s="48">
        <f t="shared" si="71"/>
        <v>100</v>
      </c>
      <c r="BA354" s="356"/>
      <c r="BB354" s="357"/>
      <c r="BC354" s="173">
        <f>+IF(AND(W354="Preventivo",BB349="Fuerte"),2,IF(AND(W354="Preventivo",BB349="Moderado"),1,0))</f>
        <v>0</v>
      </c>
      <c r="BD354" s="64">
        <f>+IF(AND(W354="Detectivo/Correctivo",$BB349="Fuerte"),2,IF(AND(W354="Detectivo/Correctivo",$BB354="Moderado"),1,IF(AND(W354="Preventivo",$BB349="Fuerte"),1,0)))</f>
        <v>0</v>
      </c>
      <c r="BE354" s="173" t="e">
        <f>+N349-BC354</f>
        <v>#N/A</v>
      </c>
      <c r="BF354" s="173" t="e">
        <f>+P349-BD354</f>
        <v>#N/A</v>
      </c>
      <c r="BG354" s="347"/>
      <c r="BH354" s="347"/>
      <c r="BI354" s="347"/>
      <c r="BJ354" s="539"/>
      <c r="BK354" s="539"/>
      <c r="BL354" s="539"/>
      <c r="BM354" s="539"/>
    </row>
    <row r="355" spans="1:65" ht="65.099999999999994" customHeight="1" thickBot="1">
      <c r="A355" s="328">
        <v>59</v>
      </c>
      <c r="B355" s="519"/>
      <c r="C355" s="371" t="str">
        <f>IFERROR(VLOOKUP(B355,Listados!B$3:C$20,2,FALSE),"")</f>
        <v/>
      </c>
      <c r="D355" s="107"/>
      <c r="E355" s="107"/>
      <c r="F355" s="432"/>
      <c r="G355" s="372"/>
      <c r="H355" s="100"/>
      <c r="I355" s="237"/>
      <c r="J355" s="100"/>
      <c r="K355" s="103"/>
      <c r="L355" s="17"/>
      <c r="M355" s="369"/>
      <c r="N355" s="348" t="e">
        <f>+VLOOKUP(M355,Listados!$K$8:$L$12,2,0)</f>
        <v>#N/A</v>
      </c>
      <c r="O355" s="351"/>
      <c r="P355" s="348" t="e">
        <f>+VLOOKUP(O355,Listados!$K$13:$L$17,2,0)</f>
        <v>#N/A</v>
      </c>
      <c r="Q355" s="347" t="str">
        <f>IF(AND(M355&lt;&gt;"",O355&lt;&gt;""),VLOOKUP(M355&amp;O355,Listados!$M$3:$N$27,2,FALSE),"")</f>
        <v/>
      </c>
      <c r="R355" s="345" t="e">
        <f>+VLOOKUP(Q355,Listados!$P$3:$Q$6,2,FALSE)</f>
        <v>#N/A</v>
      </c>
      <c r="S355" s="208"/>
      <c r="T355" s="94"/>
      <c r="U355" s="47" t="s">
        <v>627</v>
      </c>
      <c r="V355" s="215"/>
      <c r="W355" s="215"/>
      <c r="X355" s="215"/>
      <c r="Y355" s="95" t="str">
        <f t="shared" si="61"/>
        <v/>
      </c>
      <c r="Z355" s="215"/>
      <c r="AA355" s="95" t="str">
        <f t="shared" si="62"/>
        <v/>
      </c>
      <c r="AB355" s="208"/>
      <c r="AC355" s="95" t="str">
        <f t="shared" si="63"/>
        <v/>
      </c>
      <c r="AD355" s="208"/>
      <c r="AE355" s="95" t="str">
        <f t="shared" si="64"/>
        <v/>
      </c>
      <c r="AF355" s="208"/>
      <c r="AG355" s="95" t="str">
        <f t="shared" si="65"/>
        <v/>
      </c>
      <c r="AH355" s="208"/>
      <c r="AI355" s="95" t="str">
        <f t="shared" si="66"/>
        <v/>
      </c>
      <c r="AJ355" s="208"/>
      <c r="AK355" s="27" t="str">
        <f t="shared" si="67"/>
        <v/>
      </c>
      <c r="AL355" s="48" t="str">
        <f t="shared" si="68"/>
        <v/>
      </c>
      <c r="AM355" s="48" t="str">
        <f t="shared" si="69"/>
        <v/>
      </c>
      <c r="AN355" s="293"/>
      <c r="AO355" s="293"/>
      <c r="AP355" s="293"/>
      <c r="AQ355" s="293"/>
      <c r="AR355" s="293"/>
      <c r="AS355" s="293"/>
      <c r="AT355" s="293"/>
      <c r="AU355" s="294" t="str">
        <f>IFERROR(VLOOKUP(AT355,'Seguridad Información'!$I$61:$J$65,2,0),"")</f>
        <v/>
      </c>
      <c r="AV355" s="79"/>
      <c r="AW355" s="78" t="str">
        <f t="shared" si="60"/>
        <v/>
      </c>
      <c r="AX355" s="77" t="str">
        <f t="shared" si="70"/>
        <v/>
      </c>
      <c r="AY355" s="21" t="str">
        <f>IFERROR(VLOOKUP((CONCATENATE(AM355,AX355)),Listados!$U$3:$V$11,2,FALSE),"")</f>
        <v/>
      </c>
      <c r="AZ355" s="48">
        <f t="shared" si="71"/>
        <v>100</v>
      </c>
      <c r="BA355" s="354">
        <f>AVERAGE(AZ355:AZ360)</f>
        <v>100</v>
      </c>
      <c r="BB355" s="356" t="str">
        <f>IF(BA355&lt;=50, "Débil", IF(BA355&lt;=99,"Moderado","Fuerte"))</f>
        <v>Fuerte</v>
      </c>
      <c r="BC355" s="173">
        <f>+IF(AND(W355="Preventivo",BB355="Fuerte"),2,IF(AND(W355="Preventivo",BB355="Moderado"),1,0))</f>
        <v>0</v>
      </c>
      <c r="BD355" s="64">
        <f>+IF(AND(W355="Detectivo/Correctivo",$BB355="Fuerte"),2,IF(AND(W355="Detectivo/Correctivo",$BB355="Moderado"),1,IF(AND(W355="Preventivo",$BB355="Fuerte"),1,0)))</f>
        <v>0</v>
      </c>
      <c r="BE355" s="173" t="e">
        <f>+N355-BC355</f>
        <v>#N/A</v>
      </c>
      <c r="BF355" s="173" t="e">
        <f>+P355-BD355</f>
        <v>#N/A</v>
      </c>
      <c r="BG355" s="345" t="e">
        <f>+VLOOKUP(MIN(BE355,BE356,BE357,BE358,BE359,BE360),Listados!$J$18:$K$24,2,TRUE)</f>
        <v>#N/A</v>
      </c>
      <c r="BH355" s="345" t="e">
        <f>+VLOOKUP(MIN(BF355,BF356,BF357,BF358,BF359,BF360),Listados!$J$27:$K$32,2,TRUE)</f>
        <v>#N/A</v>
      </c>
      <c r="BI355" s="345" t="e">
        <f>IF(AND(BG355&lt;&gt;"",BH355&lt;&gt;""),VLOOKUP(BG355&amp;BH355,Listados!$M$3:$N$27,2,FALSE),"")</f>
        <v>#N/A</v>
      </c>
      <c r="BJ355" s="537" t="e">
        <f>+IF($R355="Asumir el riesgo","NA","")</f>
        <v>#N/A</v>
      </c>
      <c r="BK355" s="537" t="e">
        <f>+IF($R355="Asumir el riesgo","NA","")</f>
        <v>#N/A</v>
      </c>
      <c r="BL355" s="537" t="e">
        <f>+IF($R355="Asumir el riesgo","NA","")</f>
        <v>#N/A</v>
      </c>
      <c r="BM355" s="537" t="e">
        <f>+IF($R355="Asumir el riesgo","NA","")</f>
        <v>#N/A</v>
      </c>
    </row>
    <row r="356" spans="1:65" ht="65.099999999999994" customHeight="1" thickBot="1">
      <c r="A356" s="329"/>
      <c r="B356" s="514"/>
      <c r="C356" s="364"/>
      <c r="D356" s="233"/>
      <c r="E356" s="233"/>
      <c r="F356" s="433"/>
      <c r="G356" s="367"/>
      <c r="H356" s="100"/>
      <c r="I356" s="237"/>
      <c r="J356" s="100"/>
      <c r="K356" s="236"/>
      <c r="L356" s="222"/>
      <c r="M356" s="370"/>
      <c r="N356" s="349"/>
      <c r="O356" s="352"/>
      <c r="P356" s="349"/>
      <c r="Q356" s="353"/>
      <c r="R356" s="346"/>
      <c r="S356" s="208"/>
      <c r="T356" s="195"/>
      <c r="U356" s="47" t="s">
        <v>627</v>
      </c>
      <c r="V356" s="215"/>
      <c r="W356" s="215"/>
      <c r="X356" s="215"/>
      <c r="Y356" s="95" t="str">
        <f t="shared" si="61"/>
        <v/>
      </c>
      <c r="Z356" s="215"/>
      <c r="AA356" s="95" t="str">
        <f t="shared" si="62"/>
        <v/>
      </c>
      <c r="AB356" s="208"/>
      <c r="AC356" s="95" t="str">
        <f t="shared" si="63"/>
        <v/>
      </c>
      <c r="AD356" s="208"/>
      <c r="AE356" s="95" t="str">
        <f t="shared" si="64"/>
        <v/>
      </c>
      <c r="AF356" s="208"/>
      <c r="AG356" s="95" t="str">
        <f t="shared" si="65"/>
        <v/>
      </c>
      <c r="AH356" s="208"/>
      <c r="AI356" s="95" t="str">
        <f t="shared" si="66"/>
        <v/>
      </c>
      <c r="AJ356" s="208"/>
      <c r="AK356" s="27" t="str">
        <f t="shared" si="67"/>
        <v/>
      </c>
      <c r="AL356" s="48" t="str">
        <f t="shared" si="68"/>
        <v/>
      </c>
      <c r="AM356" s="48" t="str">
        <f t="shared" si="69"/>
        <v/>
      </c>
      <c r="AN356" s="293"/>
      <c r="AO356" s="293"/>
      <c r="AP356" s="293"/>
      <c r="AQ356" s="293"/>
      <c r="AR356" s="293"/>
      <c r="AS356" s="293"/>
      <c r="AT356" s="293"/>
      <c r="AU356" s="294" t="str">
        <f>IFERROR(VLOOKUP(AT356,'Seguridad Información'!$I$61:$J$65,2,0),"")</f>
        <v/>
      </c>
      <c r="AV356" s="79"/>
      <c r="AW356" s="78" t="str">
        <f t="shared" si="60"/>
        <v/>
      </c>
      <c r="AX356" s="77" t="str">
        <f t="shared" si="70"/>
        <v/>
      </c>
      <c r="AY356" s="21" t="str">
        <f>IFERROR(VLOOKUP((CONCATENATE(AM356,AX356)),Listados!$U$3:$V$11,2,FALSE),"")</f>
        <v/>
      </c>
      <c r="AZ356" s="48">
        <f t="shared" si="71"/>
        <v>100</v>
      </c>
      <c r="BA356" s="355"/>
      <c r="BB356" s="357"/>
      <c r="BC356" s="173">
        <f>+IF(AND(W356="Preventivo",BB355="Fuerte"),2,IF(AND(W356="Preventivo",BB355="Moderado"),1,0))</f>
        <v>0</v>
      </c>
      <c r="BD356" s="64">
        <f>+IF(AND(W356="Detectivo/Correctivo",$BB355="Fuerte"),2,IF(AND(W356="Detectivo/Correctivo",$BB356="Moderado"),1,IF(AND(W356="Preventivo",$BB355="Fuerte"),1,0)))</f>
        <v>0</v>
      </c>
      <c r="BE356" s="173" t="e">
        <f>+N355-BC356</f>
        <v>#N/A</v>
      </c>
      <c r="BF356" s="173" t="e">
        <f>+P355-BD356</f>
        <v>#N/A</v>
      </c>
      <c r="BG356" s="346"/>
      <c r="BH356" s="346"/>
      <c r="BI356" s="346"/>
      <c r="BJ356" s="538"/>
      <c r="BK356" s="538"/>
      <c r="BL356" s="538"/>
      <c r="BM356" s="538"/>
    </row>
    <row r="357" spans="1:65" ht="65.099999999999994" customHeight="1" thickBot="1">
      <c r="A357" s="329"/>
      <c r="B357" s="514"/>
      <c r="C357" s="364"/>
      <c r="D357" s="233"/>
      <c r="E357" s="233"/>
      <c r="F357" s="433"/>
      <c r="G357" s="367"/>
      <c r="H357" s="100"/>
      <c r="I357" s="237"/>
      <c r="J357" s="100"/>
      <c r="K357" s="236"/>
      <c r="L357" s="222"/>
      <c r="M357" s="370"/>
      <c r="N357" s="349"/>
      <c r="O357" s="352"/>
      <c r="P357" s="349"/>
      <c r="Q357" s="353"/>
      <c r="R357" s="346"/>
      <c r="S357" s="208"/>
      <c r="T357" s="96"/>
      <c r="U357" s="47" t="s">
        <v>627</v>
      </c>
      <c r="V357" s="215"/>
      <c r="W357" s="215"/>
      <c r="X357" s="215"/>
      <c r="Y357" s="95" t="str">
        <f t="shared" si="61"/>
        <v/>
      </c>
      <c r="Z357" s="215"/>
      <c r="AA357" s="95" t="str">
        <f t="shared" si="62"/>
        <v/>
      </c>
      <c r="AB357" s="208"/>
      <c r="AC357" s="95" t="str">
        <f t="shared" si="63"/>
        <v/>
      </c>
      <c r="AD357" s="208"/>
      <c r="AE357" s="95" t="str">
        <f t="shared" si="64"/>
        <v/>
      </c>
      <c r="AF357" s="208"/>
      <c r="AG357" s="95" t="str">
        <f t="shared" si="65"/>
        <v/>
      </c>
      <c r="AH357" s="208"/>
      <c r="AI357" s="95" t="str">
        <f t="shared" si="66"/>
        <v/>
      </c>
      <c r="AJ357" s="208"/>
      <c r="AK357" s="27" t="str">
        <f t="shared" si="67"/>
        <v/>
      </c>
      <c r="AL357" s="48" t="str">
        <f t="shared" si="68"/>
        <v/>
      </c>
      <c r="AM357" s="48" t="str">
        <f t="shared" si="69"/>
        <v/>
      </c>
      <c r="AN357" s="293"/>
      <c r="AO357" s="293"/>
      <c r="AP357" s="293"/>
      <c r="AQ357" s="293"/>
      <c r="AR357" s="293"/>
      <c r="AS357" s="293"/>
      <c r="AT357" s="293"/>
      <c r="AU357" s="294" t="str">
        <f>IFERROR(VLOOKUP(AT357,'Seguridad Información'!$I$61:$J$65,2,0),"")</f>
        <v/>
      </c>
      <c r="AV357" s="79"/>
      <c r="AW357" s="78" t="str">
        <f t="shared" si="60"/>
        <v/>
      </c>
      <c r="AX357" s="77" t="str">
        <f t="shared" si="70"/>
        <v/>
      </c>
      <c r="AY357" s="21" t="str">
        <f>IFERROR(VLOOKUP((CONCATENATE(AM357,AX357)),Listados!$U$3:$V$11,2,FALSE),"")</f>
        <v/>
      </c>
      <c r="AZ357" s="48">
        <f t="shared" si="71"/>
        <v>100</v>
      </c>
      <c r="BA357" s="355"/>
      <c r="BB357" s="357"/>
      <c r="BC357" s="173">
        <f>+IF(AND(W357="Preventivo",BB355="Fuerte"),2,IF(AND(W357="Preventivo",BB355="Moderado"),1,0))</f>
        <v>0</v>
      </c>
      <c r="BD357" s="64">
        <f>+IF(AND(W357="Detectivo/Correctivo",$BB355="Fuerte"),2,IF(AND(W357="Detectivo/Correctivo",$BB357="Moderado"),1,IF(AND(W357="Preventivo",$BB355="Fuerte"),1,0)))</f>
        <v>0</v>
      </c>
      <c r="BE357" s="173" t="e">
        <f>+N355-BC357</f>
        <v>#N/A</v>
      </c>
      <c r="BF357" s="173" t="e">
        <f>+P355-BD357</f>
        <v>#N/A</v>
      </c>
      <c r="BG357" s="346"/>
      <c r="BH357" s="346"/>
      <c r="BI357" s="346"/>
      <c r="BJ357" s="538"/>
      <c r="BK357" s="538"/>
      <c r="BL357" s="538"/>
      <c r="BM357" s="538"/>
    </row>
    <row r="358" spans="1:65" ht="65.099999999999994" customHeight="1" thickBot="1">
      <c r="A358" s="329"/>
      <c r="B358" s="514"/>
      <c r="C358" s="364"/>
      <c r="D358" s="233"/>
      <c r="E358" s="233"/>
      <c r="F358" s="433"/>
      <c r="G358" s="367"/>
      <c r="H358" s="100"/>
      <c r="I358" s="237"/>
      <c r="J358" s="100"/>
      <c r="K358" s="236"/>
      <c r="L358" s="222"/>
      <c r="M358" s="370"/>
      <c r="N358" s="349"/>
      <c r="O358" s="352"/>
      <c r="P358" s="349"/>
      <c r="Q358" s="353"/>
      <c r="R358" s="346"/>
      <c r="S358" s="208"/>
      <c r="T358" s="97"/>
      <c r="U358" s="47" t="s">
        <v>627</v>
      </c>
      <c r="V358" s="215"/>
      <c r="W358" s="215"/>
      <c r="X358" s="215"/>
      <c r="Y358" s="95" t="str">
        <f t="shared" si="61"/>
        <v/>
      </c>
      <c r="Z358" s="215"/>
      <c r="AA358" s="95" t="str">
        <f t="shared" si="62"/>
        <v/>
      </c>
      <c r="AB358" s="208"/>
      <c r="AC358" s="95" t="str">
        <f t="shared" si="63"/>
        <v/>
      </c>
      <c r="AD358" s="208"/>
      <c r="AE358" s="95" t="str">
        <f t="shared" si="64"/>
        <v/>
      </c>
      <c r="AF358" s="208"/>
      <c r="AG358" s="95" t="str">
        <f t="shared" si="65"/>
        <v/>
      </c>
      <c r="AH358" s="208"/>
      <c r="AI358" s="95" t="str">
        <f t="shared" si="66"/>
        <v/>
      </c>
      <c r="AJ358" s="208"/>
      <c r="AK358" s="27" t="str">
        <f t="shared" si="67"/>
        <v/>
      </c>
      <c r="AL358" s="48" t="str">
        <f t="shared" si="68"/>
        <v/>
      </c>
      <c r="AM358" s="48" t="str">
        <f t="shared" si="69"/>
        <v/>
      </c>
      <c r="AN358" s="293"/>
      <c r="AO358" s="293"/>
      <c r="AP358" s="293"/>
      <c r="AQ358" s="293"/>
      <c r="AR358" s="293"/>
      <c r="AS358" s="293"/>
      <c r="AT358" s="293"/>
      <c r="AU358" s="294" t="str">
        <f>IFERROR(VLOOKUP(AT358,'Seguridad Información'!$I$61:$J$65,2,0),"")</f>
        <v/>
      </c>
      <c r="AV358" s="79"/>
      <c r="AW358" s="78" t="str">
        <f t="shared" si="60"/>
        <v/>
      </c>
      <c r="AX358" s="77" t="str">
        <f t="shared" si="70"/>
        <v/>
      </c>
      <c r="AY358" s="21" t="str">
        <f>IFERROR(VLOOKUP((CONCATENATE(AM358,AX358)),Listados!$U$3:$V$11,2,FALSE),"")</f>
        <v/>
      </c>
      <c r="AZ358" s="48">
        <f t="shared" si="71"/>
        <v>100</v>
      </c>
      <c r="BA358" s="355"/>
      <c r="BB358" s="357"/>
      <c r="BC358" s="173">
        <f>+IF(AND(W358="Preventivo",BB355="Fuerte"),2,IF(AND(W358="Preventivo",BB355="Moderado"),1,0))</f>
        <v>0</v>
      </c>
      <c r="BD358" s="64">
        <f>+IF(AND(W358="Detectivo/Correctivo",$BB355="Fuerte"),2,IF(AND(W358="Detectivo/Correctivo",$BB358="Moderado"),1,IF(AND(W358="Preventivo",$BB355="Fuerte"),1,0)))</f>
        <v>0</v>
      </c>
      <c r="BE358" s="173" t="e">
        <f>+N355-BC358</f>
        <v>#N/A</v>
      </c>
      <c r="BF358" s="173" t="e">
        <f>+P355-BD358</f>
        <v>#N/A</v>
      </c>
      <c r="BG358" s="346"/>
      <c r="BH358" s="346"/>
      <c r="BI358" s="346"/>
      <c r="BJ358" s="538"/>
      <c r="BK358" s="538"/>
      <c r="BL358" s="538"/>
      <c r="BM358" s="538"/>
    </row>
    <row r="359" spans="1:65" ht="65.099999999999994" customHeight="1" thickBot="1">
      <c r="A359" s="329"/>
      <c r="B359" s="514"/>
      <c r="C359" s="364"/>
      <c r="D359" s="109"/>
      <c r="E359" s="109"/>
      <c r="F359" s="433"/>
      <c r="G359" s="367"/>
      <c r="H359" s="100"/>
      <c r="I359" s="237"/>
      <c r="J359" s="100"/>
      <c r="K359" s="29"/>
      <c r="L359" s="222"/>
      <c r="M359" s="370"/>
      <c r="N359" s="349"/>
      <c r="O359" s="352"/>
      <c r="P359" s="349"/>
      <c r="Q359" s="353"/>
      <c r="R359" s="346"/>
      <c r="S359" s="208"/>
      <c r="T359" s="195"/>
      <c r="U359" s="47" t="s">
        <v>627</v>
      </c>
      <c r="V359" s="215"/>
      <c r="W359" s="215"/>
      <c r="X359" s="215"/>
      <c r="Y359" s="95" t="str">
        <f t="shared" si="61"/>
        <v/>
      </c>
      <c r="Z359" s="215"/>
      <c r="AA359" s="95" t="str">
        <f t="shared" si="62"/>
        <v/>
      </c>
      <c r="AB359" s="208"/>
      <c r="AC359" s="95" t="str">
        <f t="shared" si="63"/>
        <v/>
      </c>
      <c r="AD359" s="208"/>
      <c r="AE359" s="95" t="str">
        <f t="shared" si="64"/>
        <v/>
      </c>
      <c r="AF359" s="208"/>
      <c r="AG359" s="95" t="str">
        <f t="shared" si="65"/>
        <v/>
      </c>
      <c r="AH359" s="208"/>
      <c r="AI359" s="95" t="str">
        <f t="shared" si="66"/>
        <v/>
      </c>
      <c r="AJ359" s="208"/>
      <c r="AK359" s="27" t="str">
        <f t="shared" si="67"/>
        <v/>
      </c>
      <c r="AL359" s="48" t="str">
        <f t="shared" si="68"/>
        <v/>
      </c>
      <c r="AM359" s="48" t="str">
        <f t="shared" si="69"/>
        <v/>
      </c>
      <c r="AN359" s="293"/>
      <c r="AO359" s="293"/>
      <c r="AP359" s="293"/>
      <c r="AQ359" s="293"/>
      <c r="AR359" s="293"/>
      <c r="AS359" s="293"/>
      <c r="AT359" s="293"/>
      <c r="AU359" s="294" t="str">
        <f>IFERROR(VLOOKUP(AT359,'Seguridad Información'!$I$61:$J$65,2,0),"")</f>
        <v/>
      </c>
      <c r="AV359" s="79"/>
      <c r="AW359" s="78" t="str">
        <f t="shared" si="60"/>
        <v/>
      </c>
      <c r="AX359" s="77" t="str">
        <f t="shared" si="70"/>
        <v/>
      </c>
      <c r="AY359" s="21" t="str">
        <f>IFERROR(VLOOKUP((CONCATENATE(AM359,AX359)),Listados!$U$3:$V$11,2,FALSE),"")</f>
        <v/>
      </c>
      <c r="AZ359" s="48">
        <f t="shared" si="71"/>
        <v>100</v>
      </c>
      <c r="BA359" s="355"/>
      <c r="BB359" s="357"/>
      <c r="BC359" s="173">
        <f>+IF(AND(W359="Preventivo",BB355="Fuerte"),2,IF(AND(W359="Preventivo",BB355="Moderado"),1,0))</f>
        <v>0</v>
      </c>
      <c r="BD359" s="64">
        <f>+IF(AND(W359="Detectivo/Correctivo",$BB355="Fuerte"),2,IF(AND(W359="Detectivo/Correctivo",$BB359="Moderado"),1,IF(AND(W359="Preventivo",$BB355="Fuerte"),1,0)))</f>
        <v>0</v>
      </c>
      <c r="BE359" s="173" t="e">
        <f>+N355-BC359</f>
        <v>#N/A</v>
      </c>
      <c r="BF359" s="173" t="e">
        <f>+P355-BD359</f>
        <v>#N/A</v>
      </c>
      <c r="BG359" s="346"/>
      <c r="BH359" s="346"/>
      <c r="BI359" s="346"/>
      <c r="BJ359" s="538"/>
      <c r="BK359" s="538"/>
      <c r="BL359" s="538"/>
      <c r="BM359" s="538"/>
    </row>
    <row r="360" spans="1:65" ht="65.099999999999994" customHeight="1" thickBot="1">
      <c r="A360" s="330"/>
      <c r="B360" s="514"/>
      <c r="C360" s="365"/>
      <c r="D360" s="106"/>
      <c r="E360" s="106"/>
      <c r="F360" s="434"/>
      <c r="G360" s="368"/>
      <c r="H360" s="100"/>
      <c r="I360" s="237"/>
      <c r="J360" s="100"/>
      <c r="K360" s="31"/>
      <c r="L360" s="222"/>
      <c r="M360" s="370"/>
      <c r="N360" s="350"/>
      <c r="O360" s="352"/>
      <c r="P360" s="350"/>
      <c r="Q360" s="353"/>
      <c r="R360" s="347"/>
      <c r="S360" s="208"/>
      <c r="T360" s="98"/>
      <c r="U360" s="47" t="s">
        <v>627</v>
      </c>
      <c r="V360" s="215"/>
      <c r="W360" s="215"/>
      <c r="X360" s="215"/>
      <c r="Y360" s="95" t="str">
        <f t="shared" si="61"/>
        <v/>
      </c>
      <c r="Z360" s="215"/>
      <c r="AA360" s="95" t="str">
        <f t="shared" si="62"/>
        <v/>
      </c>
      <c r="AB360" s="208"/>
      <c r="AC360" s="95" t="str">
        <f t="shared" si="63"/>
        <v/>
      </c>
      <c r="AD360" s="208"/>
      <c r="AE360" s="95" t="str">
        <f t="shared" si="64"/>
        <v/>
      </c>
      <c r="AF360" s="208"/>
      <c r="AG360" s="95" t="str">
        <f t="shared" si="65"/>
        <v/>
      </c>
      <c r="AH360" s="208"/>
      <c r="AI360" s="95" t="str">
        <f t="shared" si="66"/>
        <v/>
      </c>
      <c r="AJ360" s="208"/>
      <c r="AK360" s="27" t="str">
        <f t="shared" si="67"/>
        <v/>
      </c>
      <c r="AL360" s="48" t="str">
        <f t="shared" si="68"/>
        <v/>
      </c>
      <c r="AM360" s="48" t="str">
        <f t="shared" si="69"/>
        <v/>
      </c>
      <c r="AN360" s="293"/>
      <c r="AO360" s="293"/>
      <c r="AP360" s="293"/>
      <c r="AQ360" s="293"/>
      <c r="AR360" s="293"/>
      <c r="AS360" s="293"/>
      <c r="AT360" s="293"/>
      <c r="AU360" s="294" t="str">
        <f>IFERROR(VLOOKUP(AT360,'Seguridad Información'!$I$61:$J$65,2,0),"")</f>
        <v/>
      </c>
      <c r="AV360" s="79"/>
      <c r="AW360" s="78" t="str">
        <f t="shared" si="60"/>
        <v/>
      </c>
      <c r="AX360" s="77" t="str">
        <f t="shared" si="70"/>
        <v/>
      </c>
      <c r="AY360" s="21" t="str">
        <f>IFERROR(VLOOKUP((CONCATENATE(AM360,AX360)),Listados!$U$3:$V$11,2,FALSE),"")</f>
        <v/>
      </c>
      <c r="AZ360" s="48">
        <f t="shared" si="71"/>
        <v>100</v>
      </c>
      <c r="BA360" s="356"/>
      <c r="BB360" s="357"/>
      <c r="BC360" s="173">
        <f>+IF(AND(W360="Preventivo",BB355="Fuerte"),2,IF(AND(W360="Preventivo",BB355="Moderado"),1,0))</f>
        <v>0</v>
      </c>
      <c r="BD360" s="64">
        <f>+IF(AND(W360="Detectivo/Correctivo",$BB355="Fuerte"),2,IF(AND(W360="Detectivo/Correctivo",$BB360="Moderado"),1,IF(AND(W360="Preventivo",$BB355="Fuerte"),1,0)))</f>
        <v>0</v>
      </c>
      <c r="BE360" s="173" t="e">
        <f>+N355-BC360</f>
        <v>#N/A</v>
      </c>
      <c r="BF360" s="173" t="e">
        <f>+P355-BD360</f>
        <v>#N/A</v>
      </c>
      <c r="BG360" s="347"/>
      <c r="BH360" s="347"/>
      <c r="BI360" s="347"/>
      <c r="BJ360" s="539"/>
      <c r="BK360" s="539"/>
      <c r="BL360" s="539"/>
      <c r="BM360" s="539"/>
    </row>
    <row r="361" spans="1:65" ht="65.099999999999994" customHeight="1" thickBot="1">
      <c r="A361" s="328">
        <v>60</v>
      </c>
      <c r="B361" s="533"/>
      <c r="C361" s="371" t="str">
        <f>IFERROR(VLOOKUP(B361,Listados!B$3:C$20,2,FALSE),"")</f>
        <v/>
      </c>
      <c r="D361" s="107"/>
      <c r="E361" s="107"/>
      <c r="F361" s="432"/>
      <c r="G361" s="372"/>
      <c r="H361" s="100"/>
      <c r="I361" s="237"/>
      <c r="J361" s="100"/>
      <c r="K361" s="103"/>
      <c r="L361" s="17"/>
      <c r="M361" s="369"/>
      <c r="N361" s="348" t="e">
        <f>+VLOOKUP(M361,Listados!$K$8:$L$12,2,0)</f>
        <v>#N/A</v>
      </c>
      <c r="O361" s="351"/>
      <c r="P361" s="348" t="e">
        <f>+VLOOKUP(O361,Listados!$K$13:$L$17,2,0)</f>
        <v>#N/A</v>
      </c>
      <c r="Q361" s="347" t="str">
        <f>IF(AND(M361&lt;&gt;"",O361&lt;&gt;""),VLOOKUP(M361&amp;O361,Listados!$M$3:$N$27,2,FALSE),"")</f>
        <v/>
      </c>
      <c r="R361" s="345" t="e">
        <f>+VLOOKUP(Q361,Listados!$P$3:$Q$6,2,FALSE)</f>
        <v>#N/A</v>
      </c>
      <c r="S361" s="208"/>
      <c r="T361" s="94"/>
      <c r="U361" s="47" t="s">
        <v>627</v>
      </c>
      <c r="V361" s="215"/>
      <c r="W361" s="215"/>
      <c r="X361" s="215"/>
      <c r="Y361" s="95" t="str">
        <f t="shared" si="61"/>
        <v/>
      </c>
      <c r="Z361" s="215"/>
      <c r="AA361" s="95" t="str">
        <f t="shared" si="62"/>
        <v/>
      </c>
      <c r="AB361" s="208"/>
      <c r="AC361" s="95" t="str">
        <f t="shared" si="63"/>
        <v/>
      </c>
      <c r="AD361" s="208"/>
      <c r="AE361" s="95" t="str">
        <f t="shared" si="64"/>
        <v/>
      </c>
      <c r="AF361" s="208"/>
      <c r="AG361" s="95" t="str">
        <f t="shared" si="65"/>
        <v/>
      </c>
      <c r="AH361" s="208"/>
      <c r="AI361" s="95" t="str">
        <f t="shared" si="66"/>
        <v/>
      </c>
      <c r="AJ361" s="208"/>
      <c r="AK361" s="27" t="str">
        <f t="shared" si="67"/>
        <v/>
      </c>
      <c r="AL361" s="48" t="str">
        <f t="shared" si="68"/>
        <v/>
      </c>
      <c r="AM361" s="48" t="str">
        <f t="shared" si="69"/>
        <v/>
      </c>
      <c r="AN361" s="293"/>
      <c r="AO361" s="293"/>
      <c r="AP361" s="293"/>
      <c r="AQ361" s="293"/>
      <c r="AR361" s="293"/>
      <c r="AS361" s="293"/>
      <c r="AT361" s="293"/>
      <c r="AU361" s="294" t="str">
        <f>IFERROR(VLOOKUP(AT361,'Seguridad Información'!$I$61:$J$65,2,0),"")</f>
        <v/>
      </c>
      <c r="AV361" s="79"/>
      <c r="AW361" s="78" t="str">
        <f t="shared" si="60"/>
        <v/>
      </c>
      <c r="AX361" s="77" t="str">
        <f t="shared" si="70"/>
        <v/>
      </c>
      <c r="AY361" s="21" t="str">
        <f>IFERROR(VLOOKUP((CONCATENATE(AM361,AX361)),Listados!$U$3:$V$11,2,FALSE),"")</f>
        <v/>
      </c>
      <c r="AZ361" s="48">
        <f t="shared" si="71"/>
        <v>100</v>
      </c>
      <c r="BA361" s="354">
        <f>AVERAGE(AZ361:AZ366)</f>
        <v>100</v>
      </c>
      <c r="BB361" s="356" t="str">
        <f>IF(BA361&lt;=50, "Débil", IF(BA361&lt;=99,"Moderado","Fuerte"))</f>
        <v>Fuerte</v>
      </c>
      <c r="BC361" s="173">
        <f>+IF(AND(W361="Preventivo",BB361="Fuerte"),2,IF(AND(W361="Preventivo",BB361="Moderado"),1,0))</f>
        <v>0</v>
      </c>
      <c r="BD361" s="64">
        <f>+IF(AND(W361="Detectivo/Correctivo",$BB361="Fuerte"),2,IF(AND(W361="Detectivo/Correctivo",$BB361="Moderado"),1,IF(AND(W361="Preventivo",$BB361="Fuerte"),1,0)))</f>
        <v>0</v>
      </c>
      <c r="BE361" s="173" t="e">
        <f>+N361-BC361</f>
        <v>#N/A</v>
      </c>
      <c r="BF361" s="173" t="e">
        <f>+P361-BD361</f>
        <v>#N/A</v>
      </c>
      <c r="BG361" s="345" t="e">
        <f>+VLOOKUP(MIN(BE361,BE362,BE363,BE364,BE365,BE366),Listados!$J$18:$K$24,2,TRUE)</f>
        <v>#N/A</v>
      </c>
      <c r="BH361" s="345" t="e">
        <f>+VLOOKUP(MIN(BF361,BF362,BF363,BF364,BF365,BF366),Listados!$J$27:$K$32,2,TRUE)</f>
        <v>#N/A</v>
      </c>
      <c r="BI361" s="345" t="e">
        <f>IF(AND(BG361&lt;&gt;"",BH361&lt;&gt;""),VLOOKUP(BG361&amp;BH361,Listados!$M$3:$N$27,2,FALSE),"")</f>
        <v>#N/A</v>
      </c>
      <c r="BJ361" s="537" t="e">
        <f>+IF($R361="Asumir el riesgo","NA","")</f>
        <v>#N/A</v>
      </c>
      <c r="BK361" s="537" t="e">
        <f>+IF($R361="Asumir el riesgo","NA","")</f>
        <v>#N/A</v>
      </c>
      <c r="BL361" s="537" t="e">
        <f>+IF($R361="Asumir el riesgo","NA","")</f>
        <v>#N/A</v>
      </c>
      <c r="BM361" s="537" t="e">
        <f>+IF($R361="Asumir el riesgo","NA","")</f>
        <v>#N/A</v>
      </c>
    </row>
    <row r="362" spans="1:65" ht="65.099999999999994" customHeight="1" thickBot="1">
      <c r="A362" s="329"/>
      <c r="B362" s="533"/>
      <c r="C362" s="364"/>
      <c r="D362" s="233"/>
      <c r="E362" s="233"/>
      <c r="F362" s="433"/>
      <c r="G362" s="367"/>
      <c r="H362" s="100"/>
      <c r="I362" s="237"/>
      <c r="J362" s="100"/>
      <c r="K362" s="236"/>
      <c r="L362" s="222"/>
      <c r="M362" s="370"/>
      <c r="N362" s="349"/>
      <c r="O362" s="352"/>
      <c r="P362" s="349"/>
      <c r="Q362" s="353"/>
      <c r="R362" s="346"/>
      <c r="S362" s="208"/>
      <c r="T362" s="195"/>
      <c r="U362" s="47" t="s">
        <v>627</v>
      </c>
      <c r="V362" s="215"/>
      <c r="W362" s="215"/>
      <c r="X362" s="215"/>
      <c r="Y362" s="95" t="str">
        <f t="shared" si="61"/>
        <v/>
      </c>
      <c r="Z362" s="215"/>
      <c r="AA362" s="95" t="str">
        <f t="shared" si="62"/>
        <v/>
      </c>
      <c r="AB362" s="208"/>
      <c r="AC362" s="95" t="str">
        <f t="shared" si="63"/>
        <v/>
      </c>
      <c r="AD362" s="208"/>
      <c r="AE362" s="95" t="str">
        <f t="shared" si="64"/>
        <v/>
      </c>
      <c r="AF362" s="208"/>
      <c r="AG362" s="95" t="str">
        <f t="shared" si="65"/>
        <v/>
      </c>
      <c r="AH362" s="208"/>
      <c r="AI362" s="95" t="str">
        <f t="shared" si="66"/>
        <v/>
      </c>
      <c r="AJ362" s="208"/>
      <c r="AK362" s="27" t="str">
        <f t="shared" si="67"/>
        <v/>
      </c>
      <c r="AL362" s="48" t="str">
        <f t="shared" si="68"/>
        <v/>
      </c>
      <c r="AM362" s="48" t="str">
        <f t="shared" si="69"/>
        <v/>
      </c>
      <c r="AN362" s="293"/>
      <c r="AO362" s="293"/>
      <c r="AP362" s="293"/>
      <c r="AQ362" s="293"/>
      <c r="AR362" s="293"/>
      <c r="AS362" s="293"/>
      <c r="AT362" s="293"/>
      <c r="AU362" s="294" t="str">
        <f>IFERROR(VLOOKUP(AT362,'Seguridad Información'!$I$61:$J$65,2,0),"")</f>
        <v/>
      </c>
      <c r="AV362" s="79"/>
      <c r="AW362" s="78" t="str">
        <f t="shared" si="60"/>
        <v/>
      </c>
      <c r="AX362" s="77" t="str">
        <f t="shared" si="70"/>
        <v/>
      </c>
      <c r="AY362" s="21" t="str">
        <f>IFERROR(VLOOKUP((CONCATENATE(AM362,AX362)),Listados!$U$3:$V$11,2,FALSE),"")</f>
        <v/>
      </c>
      <c r="AZ362" s="48">
        <f t="shared" si="71"/>
        <v>100</v>
      </c>
      <c r="BA362" s="355"/>
      <c r="BB362" s="357"/>
      <c r="BC362" s="173">
        <f>+IF(AND(W362="Preventivo",BB361="Fuerte"),2,IF(AND(W362="Preventivo",BB361="Moderado"),1,0))</f>
        <v>0</v>
      </c>
      <c r="BD362" s="64">
        <f>+IF(AND(W362="Detectivo/Correctivo",$BB361="Fuerte"),2,IF(AND(W362="Detectivo/Correctivo",$BB362="Moderado"),1,IF(AND(W362="Preventivo",$BB361="Fuerte"),1,0)))</f>
        <v>0</v>
      </c>
      <c r="BE362" s="173" t="e">
        <f>+N361-BC362</f>
        <v>#N/A</v>
      </c>
      <c r="BF362" s="173" t="e">
        <f>+P361-BD362</f>
        <v>#N/A</v>
      </c>
      <c r="BG362" s="346"/>
      <c r="BH362" s="346"/>
      <c r="BI362" s="346"/>
      <c r="BJ362" s="538"/>
      <c r="BK362" s="538"/>
      <c r="BL362" s="538"/>
      <c r="BM362" s="538"/>
    </row>
    <row r="363" spans="1:65" ht="65.099999999999994" customHeight="1" thickBot="1">
      <c r="A363" s="329"/>
      <c r="B363" s="533"/>
      <c r="C363" s="364"/>
      <c r="D363" s="233"/>
      <c r="E363" s="233"/>
      <c r="F363" s="433"/>
      <c r="G363" s="367"/>
      <c r="H363" s="100"/>
      <c r="I363" s="237"/>
      <c r="J363" s="100"/>
      <c r="K363" s="236"/>
      <c r="L363" s="222"/>
      <c r="M363" s="370"/>
      <c r="N363" s="349"/>
      <c r="O363" s="352"/>
      <c r="P363" s="349"/>
      <c r="Q363" s="353"/>
      <c r="R363" s="346"/>
      <c r="S363" s="208"/>
      <c r="T363" s="96"/>
      <c r="U363" s="47" t="s">
        <v>627</v>
      </c>
      <c r="V363" s="215"/>
      <c r="W363" s="215"/>
      <c r="X363" s="215"/>
      <c r="Y363" s="95" t="str">
        <f t="shared" si="61"/>
        <v/>
      </c>
      <c r="Z363" s="215"/>
      <c r="AA363" s="95" t="str">
        <f t="shared" si="62"/>
        <v/>
      </c>
      <c r="AB363" s="208"/>
      <c r="AC363" s="95" t="str">
        <f t="shared" si="63"/>
        <v/>
      </c>
      <c r="AD363" s="208"/>
      <c r="AE363" s="95" t="str">
        <f t="shared" si="64"/>
        <v/>
      </c>
      <c r="AF363" s="208"/>
      <c r="AG363" s="95" t="str">
        <f t="shared" si="65"/>
        <v/>
      </c>
      <c r="AH363" s="208"/>
      <c r="AI363" s="95" t="str">
        <f t="shared" si="66"/>
        <v/>
      </c>
      <c r="AJ363" s="208"/>
      <c r="AK363" s="27" t="str">
        <f t="shared" si="67"/>
        <v/>
      </c>
      <c r="AL363" s="48" t="str">
        <f t="shared" si="68"/>
        <v/>
      </c>
      <c r="AM363" s="48" t="str">
        <f t="shared" si="69"/>
        <v/>
      </c>
      <c r="AN363" s="293"/>
      <c r="AO363" s="293"/>
      <c r="AP363" s="293"/>
      <c r="AQ363" s="293"/>
      <c r="AR363" s="293"/>
      <c r="AS363" s="293"/>
      <c r="AT363" s="293"/>
      <c r="AU363" s="294" t="str">
        <f>IFERROR(VLOOKUP(AT363,'Seguridad Información'!$I$61:$J$65,2,0),"")</f>
        <v/>
      </c>
      <c r="AV363" s="79"/>
      <c r="AW363" s="78" t="str">
        <f t="shared" si="60"/>
        <v/>
      </c>
      <c r="AX363" s="77" t="str">
        <f t="shared" si="70"/>
        <v/>
      </c>
      <c r="AY363" s="21" t="str">
        <f>IFERROR(VLOOKUP((CONCATENATE(AM363,AX363)),Listados!$U$3:$V$11,2,FALSE),"")</f>
        <v/>
      </c>
      <c r="AZ363" s="48">
        <f t="shared" si="71"/>
        <v>100</v>
      </c>
      <c r="BA363" s="355"/>
      <c r="BB363" s="357"/>
      <c r="BC363" s="173">
        <f>+IF(AND(W363="Preventivo",BB361="Fuerte"),2,IF(AND(W363="Preventivo",BB361="Moderado"),1,0))</f>
        <v>0</v>
      </c>
      <c r="BD363" s="64">
        <f>+IF(AND(W363="Detectivo/Correctivo",$BB361="Fuerte"),2,IF(AND(W363="Detectivo/Correctivo",$BB363="Moderado"),1,IF(AND(W363="Preventivo",$BB361="Fuerte"),1,0)))</f>
        <v>0</v>
      </c>
      <c r="BE363" s="173" t="e">
        <f>+N361-BC363</f>
        <v>#N/A</v>
      </c>
      <c r="BF363" s="173" t="e">
        <f>+P361-BD363</f>
        <v>#N/A</v>
      </c>
      <c r="BG363" s="346"/>
      <c r="BH363" s="346"/>
      <c r="BI363" s="346"/>
      <c r="BJ363" s="538"/>
      <c r="BK363" s="538"/>
      <c r="BL363" s="538"/>
      <c r="BM363" s="538"/>
    </row>
    <row r="364" spans="1:65" ht="65.099999999999994" customHeight="1" thickBot="1">
      <c r="A364" s="329"/>
      <c r="B364" s="533"/>
      <c r="C364" s="364"/>
      <c r="D364" s="233"/>
      <c r="E364" s="233"/>
      <c r="F364" s="433"/>
      <c r="G364" s="367"/>
      <c r="H364" s="100"/>
      <c r="I364" s="237"/>
      <c r="J364" s="100"/>
      <c r="K364" s="236"/>
      <c r="L364" s="222"/>
      <c r="M364" s="370"/>
      <c r="N364" s="349"/>
      <c r="O364" s="352"/>
      <c r="P364" s="349"/>
      <c r="Q364" s="353"/>
      <c r="R364" s="346"/>
      <c r="S364" s="208"/>
      <c r="T364" s="97"/>
      <c r="U364" s="47" t="s">
        <v>627</v>
      </c>
      <c r="V364" s="215"/>
      <c r="W364" s="215"/>
      <c r="X364" s="215"/>
      <c r="Y364" s="95" t="str">
        <f t="shared" si="61"/>
        <v/>
      </c>
      <c r="Z364" s="215"/>
      <c r="AA364" s="95" t="str">
        <f t="shared" si="62"/>
        <v/>
      </c>
      <c r="AB364" s="208"/>
      <c r="AC364" s="95" t="str">
        <f t="shared" si="63"/>
        <v/>
      </c>
      <c r="AD364" s="208"/>
      <c r="AE364" s="95" t="str">
        <f t="shared" si="64"/>
        <v/>
      </c>
      <c r="AF364" s="208"/>
      <c r="AG364" s="95" t="str">
        <f t="shared" si="65"/>
        <v/>
      </c>
      <c r="AH364" s="208"/>
      <c r="AI364" s="95" t="str">
        <f t="shared" si="66"/>
        <v/>
      </c>
      <c r="AJ364" s="208"/>
      <c r="AK364" s="27" t="str">
        <f t="shared" si="67"/>
        <v/>
      </c>
      <c r="AL364" s="48" t="str">
        <f t="shared" si="68"/>
        <v/>
      </c>
      <c r="AM364" s="48" t="str">
        <f t="shared" si="69"/>
        <v/>
      </c>
      <c r="AN364" s="293"/>
      <c r="AO364" s="293"/>
      <c r="AP364" s="293"/>
      <c r="AQ364" s="293"/>
      <c r="AR364" s="293"/>
      <c r="AS364" s="293"/>
      <c r="AT364" s="293"/>
      <c r="AU364" s="294" t="str">
        <f>IFERROR(VLOOKUP(AT364,'Seguridad Información'!$I$61:$J$65,2,0),"")</f>
        <v/>
      </c>
      <c r="AV364" s="79"/>
      <c r="AW364" s="78" t="str">
        <f t="shared" si="60"/>
        <v/>
      </c>
      <c r="AX364" s="77" t="str">
        <f t="shared" si="70"/>
        <v/>
      </c>
      <c r="AY364" s="21" t="str">
        <f>IFERROR(VLOOKUP((CONCATENATE(AM364,AX364)),Listados!$U$3:$V$11,2,FALSE),"")</f>
        <v/>
      </c>
      <c r="AZ364" s="48">
        <f t="shared" si="71"/>
        <v>100</v>
      </c>
      <c r="BA364" s="355"/>
      <c r="BB364" s="357"/>
      <c r="BC364" s="173">
        <f>+IF(AND(W364="Preventivo",BB361="Fuerte"),2,IF(AND(W364="Preventivo",BB361="Moderado"),1,0))</f>
        <v>0</v>
      </c>
      <c r="BD364" s="64">
        <f>+IF(AND(W364="Detectivo/Correctivo",$BB361="Fuerte"),2,IF(AND(W364="Detectivo/Correctivo",$BB364="Moderado"),1,IF(AND(W364="Preventivo",$BB361="Fuerte"),1,0)))</f>
        <v>0</v>
      </c>
      <c r="BE364" s="173" t="e">
        <f>+N361-BC364</f>
        <v>#N/A</v>
      </c>
      <c r="BF364" s="173" t="e">
        <f>+P361-BD364</f>
        <v>#N/A</v>
      </c>
      <c r="BG364" s="346"/>
      <c r="BH364" s="346"/>
      <c r="BI364" s="346"/>
      <c r="BJ364" s="538"/>
      <c r="BK364" s="538"/>
      <c r="BL364" s="538"/>
      <c r="BM364" s="538"/>
    </row>
    <row r="365" spans="1:65" ht="65.099999999999994" customHeight="1" thickBot="1">
      <c r="A365" s="329"/>
      <c r="B365" s="533"/>
      <c r="C365" s="364"/>
      <c r="D365" s="109"/>
      <c r="E365" s="109"/>
      <c r="F365" s="433"/>
      <c r="G365" s="367"/>
      <c r="H365" s="100"/>
      <c r="I365" s="237"/>
      <c r="J365" s="100"/>
      <c r="K365" s="29"/>
      <c r="L365" s="222"/>
      <c r="M365" s="370"/>
      <c r="N365" s="349"/>
      <c r="O365" s="352"/>
      <c r="P365" s="349"/>
      <c r="Q365" s="353"/>
      <c r="R365" s="346"/>
      <c r="S365" s="208"/>
      <c r="T365" s="195"/>
      <c r="U365" s="47" t="s">
        <v>627</v>
      </c>
      <c r="V365" s="215"/>
      <c r="W365" s="215"/>
      <c r="X365" s="215"/>
      <c r="Y365" s="95" t="str">
        <f t="shared" si="61"/>
        <v/>
      </c>
      <c r="Z365" s="215"/>
      <c r="AA365" s="95" t="str">
        <f t="shared" si="62"/>
        <v/>
      </c>
      <c r="AB365" s="208"/>
      <c r="AC365" s="95" t="str">
        <f t="shared" si="63"/>
        <v/>
      </c>
      <c r="AD365" s="208"/>
      <c r="AE365" s="95" t="str">
        <f t="shared" si="64"/>
        <v/>
      </c>
      <c r="AF365" s="208"/>
      <c r="AG365" s="95" t="str">
        <f t="shared" si="65"/>
        <v/>
      </c>
      <c r="AH365" s="208"/>
      <c r="AI365" s="95" t="str">
        <f t="shared" si="66"/>
        <v/>
      </c>
      <c r="AJ365" s="208"/>
      <c r="AK365" s="27" t="str">
        <f t="shared" si="67"/>
        <v/>
      </c>
      <c r="AL365" s="48" t="str">
        <f t="shared" si="68"/>
        <v/>
      </c>
      <c r="AM365" s="48" t="str">
        <f t="shared" si="69"/>
        <v/>
      </c>
      <c r="AN365" s="293"/>
      <c r="AO365" s="293"/>
      <c r="AP365" s="293"/>
      <c r="AQ365" s="293"/>
      <c r="AR365" s="293"/>
      <c r="AS365" s="293"/>
      <c r="AT365" s="293"/>
      <c r="AU365" s="294" t="str">
        <f>IFERROR(VLOOKUP(AT365,'Seguridad Información'!$I$61:$J$65,2,0),"")</f>
        <v/>
      </c>
      <c r="AV365" s="79"/>
      <c r="AW365" s="78" t="str">
        <f t="shared" si="60"/>
        <v/>
      </c>
      <c r="AX365" s="77" t="str">
        <f t="shared" si="70"/>
        <v/>
      </c>
      <c r="AY365" s="21" t="str">
        <f>IFERROR(VLOOKUP((CONCATENATE(AM365,AX365)),Listados!$U$3:$V$11,2,FALSE),"")</f>
        <v/>
      </c>
      <c r="AZ365" s="48">
        <f t="shared" si="71"/>
        <v>100</v>
      </c>
      <c r="BA365" s="355"/>
      <c r="BB365" s="357"/>
      <c r="BC365" s="173">
        <f>+IF(AND(W365="Preventivo",BB361="Fuerte"),2,IF(AND(W365="Preventivo",BB361="Moderado"),1,0))</f>
        <v>0</v>
      </c>
      <c r="BD365" s="64">
        <f>+IF(AND(W365="Detectivo/Correctivo",$BB361="Fuerte"),2,IF(AND(W365="Detectivo/Correctivo",$BB365="Moderado"),1,IF(AND(W365="Preventivo",$BB361="Fuerte"),1,0)))</f>
        <v>0</v>
      </c>
      <c r="BE365" s="173" t="e">
        <f>+N361-BC365</f>
        <v>#N/A</v>
      </c>
      <c r="BF365" s="173" t="e">
        <f>+P361-BD365</f>
        <v>#N/A</v>
      </c>
      <c r="BG365" s="346"/>
      <c r="BH365" s="346"/>
      <c r="BI365" s="346"/>
      <c r="BJ365" s="538"/>
      <c r="BK365" s="538"/>
      <c r="BL365" s="538"/>
      <c r="BM365" s="538"/>
    </row>
    <row r="366" spans="1:65" ht="65.099999999999994" customHeight="1" thickBot="1">
      <c r="A366" s="330"/>
      <c r="B366" s="533"/>
      <c r="C366" s="365"/>
      <c r="D366" s="106"/>
      <c r="E366" s="106"/>
      <c r="F366" s="434"/>
      <c r="G366" s="368"/>
      <c r="H366" s="100"/>
      <c r="I366" s="53"/>
      <c r="J366" s="100"/>
      <c r="K366" s="31"/>
      <c r="L366" s="222"/>
      <c r="M366" s="370"/>
      <c r="N366" s="350"/>
      <c r="O366" s="352"/>
      <c r="P366" s="350"/>
      <c r="Q366" s="353"/>
      <c r="R366" s="347"/>
      <c r="S366" s="208"/>
      <c r="T366" s="98"/>
      <c r="U366" s="47" t="s">
        <v>627</v>
      </c>
      <c r="V366" s="215"/>
      <c r="W366" s="215"/>
      <c r="X366" s="215"/>
      <c r="Y366" s="95" t="str">
        <f t="shared" si="61"/>
        <v/>
      </c>
      <c r="Z366" s="215"/>
      <c r="AA366" s="95" t="str">
        <f t="shared" si="62"/>
        <v/>
      </c>
      <c r="AB366" s="208"/>
      <c r="AC366" s="95" t="str">
        <f t="shared" si="63"/>
        <v/>
      </c>
      <c r="AD366" s="208"/>
      <c r="AE366" s="95" t="str">
        <f t="shared" si="64"/>
        <v/>
      </c>
      <c r="AF366" s="208"/>
      <c r="AG366" s="95" t="str">
        <f t="shared" si="65"/>
        <v/>
      </c>
      <c r="AH366" s="208"/>
      <c r="AI366" s="95" t="str">
        <f t="shared" si="66"/>
        <v/>
      </c>
      <c r="AJ366" s="208"/>
      <c r="AK366" s="27" t="str">
        <f t="shared" si="67"/>
        <v/>
      </c>
      <c r="AL366" s="48" t="str">
        <f t="shared" si="68"/>
        <v/>
      </c>
      <c r="AM366" s="48" t="str">
        <f t="shared" si="69"/>
        <v/>
      </c>
      <c r="AN366" s="293"/>
      <c r="AO366" s="293"/>
      <c r="AP366" s="293"/>
      <c r="AQ366" s="293"/>
      <c r="AR366" s="293"/>
      <c r="AS366" s="293"/>
      <c r="AT366" s="293"/>
      <c r="AU366" s="294" t="str">
        <f>IFERROR(VLOOKUP(AT366,'Seguridad Información'!$I$61:$J$65,2,0),"")</f>
        <v/>
      </c>
      <c r="AV366" s="79"/>
      <c r="AW366" s="78" t="str">
        <f t="shared" si="60"/>
        <v/>
      </c>
      <c r="AX366" s="77" t="str">
        <f t="shared" si="70"/>
        <v/>
      </c>
      <c r="AY366" s="21" t="str">
        <f>IFERROR(VLOOKUP((CONCATENATE(AM366,AX366)),Listados!$U$3:$V$11,2,FALSE),"")</f>
        <v/>
      </c>
      <c r="AZ366" s="48">
        <f t="shared" si="71"/>
        <v>100</v>
      </c>
      <c r="BA366" s="356"/>
      <c r="BB366" s="357"/>
      <c r="BC366" s="173">
        <f>+IF(AND(W366="Preventivo",BB361="Fuerte"),2,IF(AND(W366="Preventivo",BB361="Moderado"),1,0))</f>
        <v>0</v>
      </c>
      <c r="BD366" s="64">
        <f>+IF(AND(W366="Detectivo/Correctivo",$BB361="Fuerte"),2,IF(AND(W366="Detectivo/Correctivo",$BB366="Moderado"),1,IF(AND(W366="Preventivo",$BB361="Fuerte"),1,0)))</f>
        <v>0</v>
      </c>
      <c r="BE366" s="173" t="e">
        <f>+N361-BC366</f>
        <v>#N/A</v>
      </c>
      <c r="BF366" s="173" t="e">
        <f>+P361-BD366</f>
        <v>#N/A</v>
      </c>
      <c r="BG366" s="347"/>
      <c r="BH366" s="347"/>
      <c r="BI366" s="347"/>
      <c r="BJ366" s="539"/>
      <c r="BK366" s="539"/>
      <c r="BL366" s="539"/>
      <c r="BM366" s="539"/>
    </row>
  </sheetData>
  <sheetProtection algorithmName="SHA-512" hashValue="kcTjlN6yynYeBx7AfGboYhB2a5eouk2jrrUXwJdD/fu5j+Jn7EI77V/FkKHJjfK3KPQSQ+aApyosbFJIxx/DJw==" saltValue="ptBm3drJ33/6Z2i7GYcIqQ==" spinCount="100000" sheet="1" selectLockedCells="1"/>
  <mergeCells count="1216">
    <mergeCell ref="BJ349:BJ354"/>
    <mergeCell ref="BK349:BK354"/>
    <mergeCell ref="BL349:BL354"/>
    <mergeCell ref="BM349:BM354"/>
    <mergeCell ref="BJ355:BJ360"/>
    <mergeCell ref="BK355:BK360"/>
    <mergeCell ref="BL355:BL360"/>
    <mergeCell ref="BM355:BM360"/>
    <mergeCell ref="BJ361:BJ366"/>
    <mergeCell ref="BK361:BK366"/>
    <mergeCell ref="BL361:BL366"/>
    <mergeCell ref="BM361:BM366"/>
    <mergeCell ref="BJ331:BJ336"/>
    <mergeCell ref="BK331:BK336"/>
    <mergeCell ref="BL331:BL336"/>
    <mergeCell ref="BM331:BM336"/>
    <mergeCell ref="BJ337:BJ342"/>
    <mergeCell ref="BK337:BK342"/>
    <mergeCell ref="BL337:BL342"/>
    <mergeCell ref="BM337:BM342"/>
    <mergeCell ref="BJ343:BJ348"/>
    <mergeCell ref="BK343:BK348"/>
    <mergeCell ref="BL343:BL348"/>
    <mergeCell ref="BM343:BM348"/>
    <mergeCell ref="BJ313:BJ318"/>
    <mergeCell ref="BK313:BK318"/>
    <mergeCell ref="BL313:BL318"/>
    <mergeCell ref="BM313:BM318"/>
    <mergeCell ref="BJ319:BJ324"/>
    <mergeCell ref="BK319:BK324"/>
    <mergeCell ref="BL319:BL324"/>
    <mergeCell ref="BM319:BM324"/>
    <mergeCell ref="BJ325:BJ330"/>
    <mergeCell ref="BK325:BK330"/>
    <mergeCell ref="BL325:BL330"/>
    <mergeCell ref="BM325:BM330"/>
    <mergeCell ref="BJ295:BJ300"/>
    <mergeCell ref="BK295:BK300"/>
    <mergeCell ref="BL295:BL300"/>
    <mergeCell ref="BM295:BM300"/>
    <mergeCell ref="BJ301:BJ306"/>
    <mergeCell ref="BK301:BK306"/>
    <mergeCell ref="BL301:BL306"/>
    <mergeCell ref="BM301:BM306"/>
    <mergeCell ref="BJ307:BJ312"/>
    <mergeCell ref="BK307:BK312"/>
    <mergeCell ref="BL307:BL312"/>
    <mergeCell ref="BM307:BM312"/>
    <mergeCell ref="BJ277:BJ282"/>
    <mergeCell ref="BK277:BK282"/>
    <mergeCell ref="BL277:BL282"/>
    <mergeCell ref="BM277:BM282"/>
    <mergeCell ref="BJ283:BJ288"/>
    <mergeCell ref="BK283:BK288"/>
    <mergeCell ref="BL283:BL288"/>
    <mergeCell ref="BM283:BM288"/>
    <mergeCell ref="BJ289:BJ294"/>
    <mergeCell ref="BK289:BK294"/>
    <mergeCell ref="BL289:BL294"/>
    <mergeCell ref="BM289:BM294"/>
    <mergeCell ref="BJ259:BJ264"/>
    <mergeCell ref="BK259:BK264"/>
    <mergeCell ref="BL259:BL264"/>
    <mergeCell ref="BM259:BM264"/>
    <mergeCell ref="BJ265:BJ270"/>
    <mergeCell ref="BK265:BK270"/>
    <mergeCell ref="BL265:BL270"/>
    <mergeCell ref="BM265:BM270"/>
    <mergeCell ref="BJ271:BJ276"/>
    <mergeCell ref="BK271:BK276"/>
    <mergeCell ref="BL271:BL276"/>
    <mergeCell ref="BM271:BM276"/>
    <mergeCell ref="BJ241:BJ246"/>
    <mergeCell ref="BK241:BK246"/>
    <mergeCell ref="BL241:BL246"/>
    <mergeCell ref="BM241:BM246"/>
    <mergeCell ref="BJ247:BJ252"/>
    <mergeCell ref="BK247:BK252"/>
    <mergeCell ref="BL247:BL252"/>
    <mergeCell ref="BM247:BM252"/>
    <mergeCell ref="BJ253:BJ258"/>
    <mergeCell ref="BK253:BK258"/>
    <mergeCell ref="BL253:BL258"/>
    <mergeCell ref="BM253:BM258"/>
    <mergeCell ref="BJ223:BJ228"/>
    <mergeCell ref="BK223:BK228"/>
    <mergeCell ref="BL223:BL228"/>
    <mergeCell ref="BM223:BM228"/>
    <mergeCell ref="BJ229:BJ234"/>
    <mergeCell ref="BK229:BK234"/>
    <mergeCell ref="BL229:BL234"/>
    <mergeCell ref="BM229:BM234"/>
    <mergeCell ref="BJ235:BJ240"/>
    <mergeCell ref="BK235:BK240"/>
    <mergeCell ref="BL235:BL240"/>
    <mergeCell ref="BM235:BM240"/>
    <mergeCell ref="BJ205:BJ210"/>
    <mergeCell ref="BK205:BK210"/>
    <mergeCell ref="BL205:BL210"/>
    <mergeCell ref="BM205:BM210"/>
    <mergeCell ref="BJ211:BJ216"/>
    <mergeCell ref="BK211:BK216"/>
    <mergeCell ref="BL211:BL216"/>
    <mergeCell ref="BM211:BM216"/>
    <mergeCell ref="BJ217:BJ222"/>
    <mergeCell ref="BK217:BK222"/>
    <mergeCell ref="BL217:BL222"/>
    <mergeCell ref="BM217:BM222"/>
    <mergeCell ref="BJ187:BJ192"/>
    <mergeCell ref="BK187:BK192"/>
    <mergeCell ref="BL187:BL192"/>
    <mergeCell ref="BM187:BM192"/>
    <mergeCell ref="BJ193:BJ198"/>
    <mergeCell ref="BK193:BK198"/>
    <mergeCell ref="BL193:BL198"/>
    <mergeCell ref="BM193:BM198"/>
    <mergeCell ref="BJ199:BJ204"/>
    <mergeCell ref="BK199:BK204"/>
    <mergeCell ref="BL199:BL204"/>
    <mergeCell ref="BM199:BM204"/>
    <mergeCell ref="BJ169:BJ174"/>
    <mergeCell ref="BK169:BK174"/>
    <mergeCell ref="BL169:BL174"/>
    <mergeCell ref="BM169:BM174"/>
    <mergeCell ref="BJ175:BJ180"/>
    <mergeCell ref="BK175:BK180"/>
    <mergeCell ref="BL175:BL180"/>
    <mergeCell ref="BM175:BM180"/>
    <mergeCell ref="BJ181:BJ186"/>
    <mergeCell ref="BK181:BK186"/>
    <mergeCell ref="BL181:BL186"/>
    <mergeCell ref="BM181:BM186"/>
    <mergeCell ref="BJ151:BJ156"/>
    <mergeCell ref="BK151:BK156"/>
    <mergeCell ref="BL151:BL156"/>
    <mergeCell ref="BM151:BM156"/>
    <mergeCell ref="BJ157:BJ162"/>
    <mergeCell ref="BK157:BK162"/>
    <mergeCell ref="BL157:BL162"/>
    <mergeCell ref="BM157:BM162"/>
    <mergeCell ref="BJ163:BJ168"/>
    <mergeCell ref="BK163:BK168"/>
    <mergeCell ref="BL163:BL168"/>
    <mergeCell ref="BM163:BM168"/>
    <mergeCell ref="BJ133:BJ138"/>
    <mergeCell ref="BK133:BK138"/>
    <mergeCell ref="BL133:BL138"/>
    <mergeCell ref="BM133:BM138"/>
    <mergeCell ref="BJ139:BJ144"/>
    <mergeCell ref="BK139:BK144"/>
    <mergeCell ref="BL139:BL144"/>
    <mergeCell ref="BM139:BM144"/>
    <mergeCell ref="BJ145:BJ150"/>
    <mergeCell ref="BK145:BK150"/>
    <mergeCell ref="BL145:BL150"/>
    <mergeCell ref="BM145:BM150"/>
    <mergeCell ref="BJ115:BJ120"/>
    <mergeCell ref="BK115:BK120"/>
    <mergeCell ref="BL115:BL120"/>
    <mergeCell ref="BM115:BM120"/>
    <mergeCell ref="BJ121:BJ126"/>
    <mergeCell ref="BK121:BK126"/>
    <mergeCell ref="BL121:BL126"/>
    <mergeCell ref="BM121:BM126"/>
    <mergeCell ref="BJ127:BJ132"/>
    <mergeCell ref="BK127:BK132"/>
    <mergeCell ref="BL127:BL132"/>
    <mergeCell ref="BM127:BM132"/>
    <mergeCell ref="BJ97:BJ102"/>
    <mergeCell ref="BK97:BK102"/>
    <mergeCell ref="BL97:BL102"/>
    <mergeCell ref="BM97:BM102"/>
    <mergeCell ref="BJ103:BJ108"/>
    <mergeCell ref="BK103:BK108"/>
    <mergeCell ref="BL103:BL108"/>
    <mergeCell ref="BM103:BM108"/>
    <mergeCell ref="BJ109:BJ114"/>
    <mergeCell ref="BK109:BK114"/>
    <mergeCell ref="BL109:BL114"/>
    <mergeCell ref="BM109:BM114"/>
    <mergeCell ref="BJ79:BJ84"/>
    <mergeCell ref="BK79:BK84"/>
    <mergeCell ref="BL79:BL84"/>
    <mergeCell ref="BM79:BM84"/>
    <mergeCell ref="BJ85:BJ90"/>
    <mergeCell ref="BK85:BK90"/>
    <mergeCell ref="BL85:BL90"/>
    <mergeCell ref="BM85:BM90"/>
    <mergeCell ref="BJ91:BJ96"/>
    <mergeCell ref="BK91:BK96"/>
    <mergeCell ref="BL91:BL96"/>
    <mergeCell ref="BM91:BM96"/>
    <mergeCell ref="BJ61:BJ66"/>
    <mergeCell ref="BK61:BK66"/>
    <mergeCell ref="BL61:BL66"/>
    <mergeCell ref="BM61:BM66"/>
    <mergeCell ref="BJ67:BJ72"/>
    <mergeCell ref="BK67:BK72"/>
    <mergeCell ref="BL67:BL72"/>
    <mergeCell ref="BM67:BM72"/>
    <mergeCell ref="BJ73:BJ78"/>
    <mergeCell ref="BK73:BK78"/>
    <mergeCell ref="BL73:BL78"/>
    <mergeCell ref="BM73:BM78"/>
    <mergeCell ref="BJ43:BJ48"/>
    <mergeCell ref="BK43:BK48"/>
    <mergeCell ref="BL43:BL48"/>
    <mergeCell ref="BM43:BM48"/>
    <mergeCell ref="BJ49:BJ54"/>
    <mergeCell ref="BK49:BK54"/>
    <mergeCell ref="BL49:BL54"/>
    <mergeCell ref="BM49:BM54"/>
    <mergeCell ref="BJ55:BJ60"/>
    <mergeCell ref="BK55:BK60"/>
    <mergeCell ref="BL55:BL60"/>
    <mergeCell ref="BM55:BM60"/>
    <mergeCell ref="BJ25:BJ30"/>
    <mergeCell ref="BK25:BK30"/>
    <mergeCell ref="BL25:BL30"/>
    <mergeCell ref="BM25:BM30"/>
    <mergeCell ref="BJ31:BJ36"/>
    <mergeCell ref="BK31:BK36"/>
    <mergeCell ref="BL31:BL36"/>
    <mergeCell ref="BM31:BM36"/>
    <mergeCell ref="BJ37:BJ42"/>
    <mergeCell ref="BK37:BK42"/>
    <mergeCell ref="BL37:BL42"/>
    <mergeCell ref="BM37:BM42"/>
    <mergeCell ref="BJ7:BJ12"/>
    <mergeCell ref="BK7:BK12"/>
    <mergeCell ref="BL7:BL12"/>
    <mergeCell ref="BM7:BM12"/>
    <mergeCell ref="BJ13:BJ18"/>
    <mergeCell ref="BK13:BK18"/>
    <mergeCell ref="BL13:BL18"/>
    <mergeCell ref="BM13:BM18"/>
    <mergeCell ref="BJ19:BJ24"/>
    <mergeCell ref="BK19:BK24"/>
    <mergeCell ref="BL19:BL24"/>
    <mergeCell ref="BM19:BM24"/>
    <mergeCell ref="R199:R204"/>
    <mergeCell ref="R205:R210"/>
    <mergeCell ref="R211:R216"/>
    <mergeCell ref="R217:R222"/>
    <mergeCell ref="R223:R228"/>
    <mergeCell ref="R229:R234"/>
    <mergeCell ref="R109:R114"/>
    <mergeCell ref="R115:R120"/>
    <mergeCell ref="R121:R126"/>
    <mergeCell ref="R127:R132"/>
    <mergeCell ref="R133:R138"/>
    <mergeCell ref="R139:R144"/>
    <mergeCell ref="R145:R150"/>
    <mergeCell ref="R151:R156"/>
    <mergeCell ref="R157:R162"/>
    <mergeCell ref="R295:R300"/>
    <mergeCell ref="R301:R306"/>
    <mergeCell ref="R241:R246"/>
    <mergeCell ref="R247:R252"/>
    <mergeCell ref="R253:R258"/>
    <mergeCell ref="R259:R264"/>
    <mergeCell ref="R265:R270"/>
    <mergeCell ref="R271:R276"/>
    <mergeCell ref="R277:R282"/>
    <mergeCell ref="R283:R288"/>
    <mergeCell ref="R289:R294"/>
    <mergeCell ref="R79:R84"/>
    <mergeCell ref="R85:R90"/>
    <mergeCell ref="R91:R96"/>
    <mergeCell ref="R97:R102"/>
    <mergeCell ref="R103:R108"/>
    <mergeCell ref="R4:R5"/>
    <mergeCell ref="R7:R12"/>
    <mergeCell ref="R13:R18"/>
    <mergeCell ref="R19:R24"/>
    <mergeCell ref="R25:R30"/>
    <mergeCell ref="R31:R36"/>
    <mergeCell ref="R37:R42"/>
    <mergeCell ref="R43:R48"/>
    <mergeCell ref="R49:R54"/>
    <mergeCell ref="R181:R186"/>
    <mergeCell ref="R187:R192"/>
    <mergeCell ref="R193:R198"/>
    <mergeCell ref="BH361:BH366"/>
    <mergeCell ref="BI361:BI366"/>
    <mergeCell ref="BI355:BI360"/>
    <mergeCell ref="Q355:Q360"/>
    <mergeCell ref="BA355:BA360"/>
    <mergeCell ref="BB355:BB360"/>
    <mergeCell ref="BG355:BG360"/>
    <mergeCell ref="BH355:BH360"/>
    <mergeCell ref="R355:R360"/>
    <mergeCell ref="R361:R366"/>
    <mergeCell ref="A361:A366"/>
    <mergeCell ref="B361:B366"/>
    <mergeCell ref="C361:C366"/>
    <mergeCell ref="G361:G366"/>
    <mergeCell ref="M361:M366"/>
    <mergeCell ref="N361:N366"/>
    <mergeCell ref="O361:O366"/>
    <mergeCell ref="P361:P366"/>
    <mergeCell ref="P355:P360"/>
    <mergeCell ref="A355:A360"/>
    <mergeCell ref="B355:B360"/>
    <mergeCell ref="C355:C360"/>
    <mergeCell ref="G355:G360"/>
    <mergeCell ref="M355:M360"/>
    <mergeCell ref="N355:N360"/>
    <mergeCell ref="O355:O360"/>
    <mergeCell ref="F355:F360"/>
    <mergeCell ref="F361:F366"/>
    <mergeCell ref="P349:P354"/>
    <mergeCell ref="Q349:Q354"/>
    <mergeCell ref="BA349:BA354"/>
    <mergeCell ref="BB349:BB354"/>
    <mergeCell ref="BG349:BG354"/>
    <mergeCell ref="A349:A354"/>
    <mergeCell ref="B349:B354"/>
    <mergeCell ref="C349:C354"/>
    <mergeCell ref="G349:G354"/>
    <mergeCell ref="M349:M354"/>
    <mergeCell ref="N349:N354"/>
    <mergeCell ref="R349:R354"/>
    <mergeCell ref="N343:N348"/>
    <mergeCell ref="O343:O348"/>
    <mergeCell ref="P343:P348"/>
    <mergeCell ref="Q343:Q348"/>
    <mergeCell ref="Q361:Q366"/>
    <mergeCell ref="BA361:BA366"/>
    <mergeCell ref="BB361:BB366"/>
    <mergeCell ref="BG361:BG366"/>
    <mergeCell ref="Q337:Q342"/>
    <mergeCell ref="BA337:BA342"/>
    <mergeCell ref="BB337:BB342"/>
    <mergeCell ref="BG337:BG342"/>
    <mergeCell ref="BH337:BH342"/>
    <mergeCell ref="BI337:BI342"/>
    <mergeCell ref="A337:A342"/>
    <mergeCell ref="B337:B342"/>
    <mergeCell ref="C337:C342"/>
    <mergeCell ref="G337:G342"/>
    <mergeCell ref="M337:M342"/>
    <mergeCell ref="N337:N342"/>
    <mergeCell ref="BI349:BI354"/>
    <mergeCell ref="BH349:BH354"/>
    <mergeCell ref="R337:R342"/>
    <mergeCell ref="R343:R348"/>
    <mergeCell ref="BA343:BA348"/>
    <mergeCell ref="BB343:BB348"/>
    <mergeCell ref="BG343:BG348"/>
    <mergeCell ref="BH343:BH348"/>
    <mergeCell ref="BI343:BI348"/>
    <mergeCell ref="O337:O342"/>
    <mergeCell ref="P337:P342"/>
    <mergeCell ref="A343:A348"/>
    <mergeCell ref="B343:B348"/>
    <mergeCell ref="C343:C348"/>
    <mergeCell ref="G343:G348"/>
    <mergeCell ref="M343:M348"/>
    <mergeCell ref="F337:F342"/>
    <mergeCell ref="F343:F348"/>
    <mergeCell ref="F349:F354"/>
    <mergeCell ref="O349:O354"/>
    <mergeCell ref="A331:A336"/>
    <mergeCell ref="B331:B336"/>
    <mergeCell ref="C331:C336"/>
    <mergeCell ref="G331:G336"/>
    <mergeCell ref="M331:M336"/>
    <mergeCell ref="N331:N336"/>
    <mergeCell ref="O331:O336"/>
    <mergeCell ref="O325:O330"/>
    <mergeCell ref="P325:P330"/>
    <mergeCell ref="Q325:Q330"/>
    <mergeCell ref="BA325:BA330"/>
    <mergeCell ref="BB325:BB330"/>
    <mergeCell ref="BG325:BG330"/>
    <mergeCell ref="A325:A330"/>
    <mergeCell ref="B325:B330"/>
    <mergeCell ref="C325:C330"/>
    <mergeCell ref="G325:G330"/>
    <mergeCell ref="A319:A324"/>
    <mergeCell ref="B319:B324"/>
    <mergeCell ref="C319:C324"/>
    <mergeCell ref="G319:G324"/>
    <mergeCell ref="M319:M324"/>
    <mergeCell ref="N319:N324"/>
    <mergeCell ref="O319:O324"/>
    <mergeCell ref="P319:P324"/>
    <mergeCell ref="Q319:Q324"/>
    <mergeCell ref="Q313:Q318"/>
    <mergeCell ref="BA313:BA318"/>
    <mergeCell ref="BB313:BB318"/>
    <mergeCell ref="BG313:BG318"/>
    <mergeCell ref="BH313:BH318"/>
    <mergeCell ref="BI313:BI318"/>
    <mergeCell ref="A313:A318"/>
    <mergeCell ref="B313:B318"/>
    <mergeCell ref="R313:R318"/>
    <mergeCell ref="R319:R324"/>
    <mergeCell ref="BA319:BA324"/>
    <mergeCell ref="BB319:BB324"/>
    <mergeCell ref="BG319:BG324"/>
    <mergeCell ref="BH319:BH324"/>
    <mergeCell ref="BI307:BI312"/>
    <mergeCell ref="C313:C318"/>
    <mergeCell ref="G313:G318"/>
    <mergeCell ref="M313:M318"/>
    <mergeCell ref="N313:N318"/>
    <mergeCell ref="O313:O318"/>
    <mergeCell ref="P313:P318"/>
    <mergeCell ref="P307:P312"/>
    <mergeCell ref="F307:F312"/>
    <mergeCell ref="M325:M330"/>
    <mergeCell ref="N325:N330"/>
    <mergeCell ref="BI331:BI336"/>
    <mergeCell ref="BI319:BI324"/>
    <mergeCell ref="Q331:Q336"/>
    <mergeCell ref="BA331:BA336"/>
    <mergeCell ref="BB331:BB336"/>
    <mergeCell ref="BG331:BG336"/>
    <mergeCell ref="BH331:BH336"/>
    <mergeCell ref="R307:R312"/>
    <mergeCell ref="R325:R330"/>
    <mergeCell ref="R331:R336"/>
    <mergeCell ref="F319:F324"/>
    <mergeCell ref="F325:F330"/>
    <mergeCell ref="F331:F336"/>
    <mergeCell ref="P331:P336"/>
    <mergeCell ref="BH325:BH330"/>
    <mergeCell ref="BI325:BI330"/>
    <mergeCell ref="Q301:Q306"/>
    <mergeCell ref="BA301:BA306"/>
    <mergeCell ref="BB301:BB306"/>
    <mergeCell ref="BG301:BG306"/>
    <mergeCell ref="BA295:BA300"/>
    <mergeCell ref="BB295:BB300"/>
    <mergeCell ref="BG295:BG300"/>
    <mergeCell ref="BH295:BH300"/>
    <mergeCell ref="BI295:BI300"/>
    <mergeCell ref="A307:A312"/>
    <mergeCell ref="B307:B312"/>
    <mergeCell ref="C307:C312"/>
    <mergeCell ref="G307:G312"/>
    <mergeCell ref="M307:M312"/>
    <mergeCell ref="N307:N312"/>
    <mergeCell ref="O307:O312"/>
    <mergeCell ref="O301:O306"/>
    <mergeCell ref="P301:P306"/>
    <mergeCell ref="A301:A306"/>
    <mergeCell ref="B301:B306"/>
    <mergeCell ref="C301:C306"/>
    <mergeCell ref="G301:G306"/>
    <mergeCell ref="M301:M306"/>
    <mergeCell ref="N301:N306"/>
    <mergeCell ref="F301:F306"/>
    <mergeCell ref="BH301:BH306"/>
    <mergeCell ref="BI301:BI306"/>
    <mergeCell ref="Q307:Q312"/>
    <mergeCell ref="BA307:BA312"/>
    <mergeCell ref="BB307:BB312"/>
    <mergeCell ref="BG307:BG312"/>
    <mergeCell ref="BH307:BH312"/>
    <mergeCell ref="A295:A300"/>
    <mergeCell ref="B295:B300"/>
    <mergeCell ref="C295:C300"/>
    <mergeCell ref="G295:G300"/>
    <mergeCell ref="M295:M300"/>
    <mergeCell ref="N295:N300"/>
    <mergeCell ref="O295:O300"/>
    <mergeCell ref="P295:P300"/>
    <mergeCell ref="Q295:Q300"/>
    <mergeCell ref="F295:F300"/>
    <mergeCell ref="Q289:Q294"/>
    <mergeCell ref="BA289:BA294"/>
    <mergeCell ref="BB289:BB294"/>
    <mergeCell ref="BG289:BG294"/>
    <mergeCell ref="BH289:BH294"/>
    <mergeCell ref="BI289:BI294"/>
    <mergeCell ref="A289:A294"/>
    <mergeCell ref="B289:B294"/>
    <mergeCell ref="C289:C294"/>
    <mergeCell ref="G289:G294"/>
    <mergeCell ref="M289:M294"/>
    <mergeCell ref="N289:N294"/>
    <mergeCell ref="F289:F294"/>
    <mergeCell ref="O289:O294"/>
    <mergeCell ref="P289:P294"/>
    <mergeCell ref="A283:A288"/>
    <mergeCell ref="B283:B288"/>
    <mergeCell ref="C283:C288"/>
    <mergeCell ref="G283:G288"/>
    <mergeCell ref="M283:M288"/>
    <mergeCell ref="N283:N288"/>
    <mergeCell ref="O283:O288"/>
    <mergeCell ref="O277:O282"/>
    <mergeCell ref="P277:P282"/>
    <mergeCell ref="A271:A276"/>
    <mergeCell ref="B271:B276"/>
    <mergeCell ref="C271:C276"/>
    <mergeCell ref="G271:G276"/>
    <mergeCell ref="M271:M276"/>
    <mergeCell ref="N271:N276"/>
    <mergeCell ref="O271:O276"/>
    <mergeCell ref="P271:P276"/>
    <mergeCell ref="N277:N282"/>
    <mergeCell ref="A277:A282"/>
    <mergeCell ref="B277:B282"/>
    <mergeCell ref="C277:C282"/>
    <mergeCell ref="G277:G282"/>
    <mergeCell ref="M277:M282"/>
    <mergeCell ref="BI271:BI276"/>
    <mergeCell ref="BH283:BH288"/>
    <mergeCell ref="G265:G270"/>
    <mergeCell ref="M265:M270"/>
    <mergeCell ref="N265:N270"/>
    <mergeCell ref="O265:O270"/>
    <mergeCell ref="P265:P270"/>
    <mergeCell ref="Q277:Q282"/>
    <mergeCell ref="BA277:BA282"/>
    <mergeCell ref="BB277:BB282"/>
    <mergeCell ref="BG277:BG282"/>
    <mergeCell ref="Q283:Q288"/>
    <mergeCell ref="BA283:BA288"/>
    <mergeCell ref="BB283:BB288"/>
    <mergeCell ref="BG283:BG288"/>
    <mergeCell ref="F277:F282"/>
    <mergeCell ref="F283:F288"/>
    <mergeCell ref="BG265:BG270"/>
    <mergeCell ref="BH265:BH270"/>
    <mergeCell ref="BI265:BI270"/>
    <mergeCell ref="P283:P288"/>
    <mergeCell ref="BH277:BH282"/>
    <mergeCell ref="BI277:BI282"/>
    <mergeCell ref="Q271:Q276"/>
    <mergeCell ref="BA271:BA276"/>
    <mergeCell ref="BB271:BB276"/>
    <mergeCell ref="BG271:BG276"/>
    <mergeCell ref="BH271:BH276"/>
    <mergeCell ref="BI283:BI288"/>
    <mergeCell ref="A265:A270"/>
    <mergeCell ref="B265:B270"/>
    <mergeCell ref="C265:C270"/>
    <mergeCell ref="BH253:BH258"/>
    <mergeCell ref="BI253:BI258"/>
    <mergeCell ref="Q253:Q258"/>
    <mergeCell ref="BA253:BA258"/>
    <mergeCell ref="BB253:BB258"/>
    <mergeCell ref="BG253:BG258"/>
    <mergeCell ref="BI259:BI264"/>
    <mergeCell ref="Q259:Q264"/>
    <mergeCell ref="BA259:BA264"/>
    <mergeCell ref="BB259:BB264"/>
    <mergeCell ref="BG259:BG264"/>
    <mergeCell ref="BH259:BH264"/>
    <mergeCell ref="Q265:Q270"/>
    <mergeCell ref="BA265:BA270"/>
    <mergeCell ref="BB265:BB270"/>
    <mergeCell ref="O259:O264"/>
    <mergeCell ref="O253:O258"/>
    <mergeCell ref="P253:P258"/>
    <mergeCell ref="A253:A258"/>
    <mergeCell ref="B253:B258"/>
    <mergeCell ref="C253:C258"/>
    <mergeCell ref="G253:G258"/>
    <mergeCell ref="M253:M258"/>
    <mergeCell ref="N253:N258"/>
    <mergeCell ref="A259:A264"/>
    <mergeCell ref="B259:B264"/>
    <mergeCell ref="C259:C264"/>
    <mergeCell ref="G259:G264"/>
    <mergeCell ref="M259:M264"/>
    <mergeCell ref="N259:N264"/>
    <mergeCell ref="BA247:BA252"/>
    <mergeCell ref="BA235:BA240"/>
    <mergeCell ref="P259:P264"/>
    <mergeCell ref="BB235:BB240"/>
    <mergeCell ref="BG235:BG240"/>
    <mergeCell ref="BH235:BH240"/>
    <mergeCell ref="R235:R240"/>
    <mergeCell ref="BB247:BB252"/>
    <mergeCell ref="BG247:BG252"/>
    <mergeCell ref="BH247:BH252"/>
    <mergeCell ref="F253:F258"/>
    <mergeCell ref="BI247:BI252"/>
    <mergeCell ref="A247:A252"/>
    <mergeCell ref="B247:B252"/>
    <mergeCell ref="C247:C252"/>
    <mergeCell ref="G247:G252"/>
    <mergeCell ref="M247:M252"/>
    <mergeCell ref="N247:N252"/>
    <mergeCell ref="O247:O252"/>
    <mergeCell ref="P247:P252"/>
    <mergeCell ref="Q247:Q252"/>
    <mergeCell ref="Q241:Q246"/>
    <mergeCell ref="BA241:BA246"/>
    <mergeCell ref="BB241:BB246"/>
    <mergeCell ref="BG241:BG246"/>
    <mergeCell ref="BH241:BH246"/>
    <mergeCell ref="BI241:BI246"/>
    <mergeCell ref="A241:A246"/>
    <mergeCell ref="B241:B246"/>
    <mergeCell ref="N241:N246"/>
    <mergeCell ref="O241:O246"/>
    <mergeCell ref="P241:P246"/>
    <mergeCell ref="C241:C246"/>
    <mergeCell ref="G241:G246"/>
    <mergeCell ref="M241:M246"/>
    <mergeCell ref="BH223:BH228"/>
    <mergeCell ref="C217:C222"/>
    <mergeCell ref="G217:G222"/>
    <mergeCell ref="BI223:BI228"/>
    <mergeCell ref="M217:M222"/>
    <mergeCell ref="N217:N222"/>
    <mergeCell ref="O217:O222"/>
    <mergeCell ref="P217:P222"/>
    <mergeCell ref="P235:P240"/>
    <mergeCell ref="BH229:BH234"/>
    <mergeCell ref="BI229:BI234"/>
    <mergeCell ref="A235:A240"/>
    <mergeCell ref="B235:B240"/>
    <mergeCell ref="C235:C240"/>
    <mergeCell ref="G235:G240"/>
    <mergeCell ref="M235:M240"/>
    <mergeCell ref="N235:N240"/>
    <mergeCell ref="O235:O240"/>
    <mergeCell ref="O229:O234"/>
    <mergeCell ref="P229:P234"/>
    <mergeCell ref="Q229:Q234"/>
    <mergeCell ref="BA229:BA234"/>
    <mergeCell ref="BB229:BB234"/>
    <mergeCell ref="BG229:BG234"/>
    <mergeCell ref="A229:A234"/>
    <mergeCell ref="B229:B234"/>
    <mergeCell ref="C229:C234"/>
    <mergeCell ref="G229:G234"/>
    <mergeCell ref="M229:M234"/>
    <mergeCell ref="N229:N234"/>
    <mergeCell ref="BI235:BI240"/>
    <mergeCell ref="Q235:Q240"/>
    <mergeCell ref="P205:P210"/>
    <mergeCell ref="Q205:Q210"/>
    <mergeCell ref="BA205:BA210"/>
    <mergeCell ref="BB205:BB210"/>
    <mergeCell ref="BG205:BG210"/>
    <mergeCell ref="A205:A210"/>
    <mergeCell ref="B205:B210"/>
    <mergeCell ref="C205:C210"/>
    <mergeCell ref="G205:G210"/>
    <mergeCell ref="M205:M210"/>
    <mergeCell ref="N205:N210"/>
    <mergeCell ref="BI211:BI216"/>
    <mergeCell ref="A223:A228"/>
    <mergeCell ref="B223:B228"/>
    <mergeCell ref="C223:C228"/>
    <mergeCell ref="G223:G228"/>
    <mergeCell ref="M223:M228"/>
    <mergeCell ref="N223:N228"/>
    <mergeCell ref="O223:O228"/>
    <mergeCell ref="P223:P228"/>
    <mergeCell ref="Q223:Q228"/>
    <mergeCell ref="Q217:Q222"/>
    <mergeCell ref="BA217:BA222"/>
    <mergeCell ref="BB217:BB222"/>
    <mergeCell ref="BG217:BG222"/>
    <mergeCell ref="BH217:BH222"/>
    <mergeCell ref="BI217:BI222"/>
    <mergeCell ref="A217:A222"/>
    <mergeCell ref="B217:B222"/>
    <mergeCell ref="BA223:BA228"/>
    <mergeCell ref="BB223:BB228"/>
    <mergeCell ref="BG223:BG228"/>
    <mergeCell ref="N199:N204"/>
    <mergeCell ref="O199:O204"/>
    <mergeCell ref="P199:P204"/>
    <mergeCell ref="Q199:Q204"/>
    <mergeCell ref="Q193:Q198"/>
    <mergeCell ref="BA193:BA198"/>
    <mergeCell ref="BB193:BB198"/>
    <mergeCell ref="BG193:BG198"/>
    <mergeCell ref="BH193:BH198"/>
    <mergeCell ref="BI193:BI198"/>
    <mergeCell ref="A193:A198"/>
    <mergeCell ref="B193:B198"/>
    <mergeCell ref="C193:C198"/>
    <mergeCell ref="G193:G198"/>
    <mergeCell ref="M193:M198"/>
    <mergeCell ref="N193:N198"/>
    <mergeCell ref="P211:P216"/>
    <mergeCell ref="BH205:BH210"/>
    <mergeCell ref="BI205:BI210"/>
    <mergeCell ref="Q211:Q216"/>
    <mergeCell ref="BA211:BA216"/>
    <mergeCell ref="BB211:BB216"/>
    <mergeCell ref="BG211:BG216"/>
    <mergeCell ref="BH211:BH216"/>
    <mergeCell ref="A211:A216"/>
    <mergeCell ref="B211:B216"/>
    <mergeCell ref="C211:C216"/>
    <mergeCell ref="G211:G216"/>
    <mergeCell ref="M211:M216"/>
    <mergeCell ref="N211:N216"/>
    <mergeCell ref="O211:O216"/>
    <mergeCell ref="O205:O210"/>
    <mergeCell ref="BA199:BA204"/>
    <mergeCell ref="BB199:BB204"/>
    <mergeCell ref="BG199:BG204"/>
    <mergeCell ref="BH199:BH204"/>
    <mergeCell ref="BI199:BI204"/>
    <mergeCell ref="O193:O198"/>
    <mergeCell ref="P193:P198"/>
    <mergeCell ref="P187:P192"/>
    <mergeCell ref="BH181:BH186"/>
    <mergeCell ref="BI181:BI186"/>
    <mergeCell ref="A187:A192"/>
    <mergeCell ref="B187:B192"/>
    <mergeCell ref="C187:C192"/>
    <mergeCell ref="G187:G192"/>
    <mergeCell ref="M187:M192"/>
    <mergeCell ref="N187:N192"/>
    <mergeCell ref="O187:O192"/>
    <mergeCell ref="O181:O186"/>
    <mergeCell ref="P181:P186"/>
    <mergeCell ref="Q181:Q186"/>
    <mergeCell ref="BA181:BA186"/>
    <mergeCell ref="BB181:BB186"/>
    <mergeCell ref="BG181:BG186"/>
    <mergeCell ref="A181:A186"/>
    <mergeCell ref="B181:B186"/>
    <mergeCell ref="C181:C186"/>
    <mergeCell ref="G181:G186"/>
    <mergeCell ref="A199:A204"/>
    <mergeCell ref="B199:B204"/>
    <mergeCell ref="C199:C204"/>
    <mergeCell ref="G199:G204"/>
    <mergeCell ref="M199:M204"/>
    <mergeCell ref="M181:M186"/>
    <mergeCell ref="N181:N186"/>
    <mergeCell ref="Q157:Q162"/>
    <mergeCell ref="BA157:BA162"/>
    <mergeCell ref="BB157:BB162"/>
    <mergeCell ref="BG157:BG162"/>
    <mergeCell ref="BI187:BI192"/>
    <mergeCell ref="BI175:BI180"/>
    <mergeCell ref="A175:A180"/>
    <mergeCell ref="B175:B180"/>
    <mergeCell ref="C175:C180"/>
    <mergeCell ref="G175:G180"/>
    <mergeCell ref="M175:M180"/>
    <mergeCell ref="N175:N180"/>
    <mergeCell ref="O175:O180"/>
    <mergeCell ref="P175:P180"/>
    <mergeCell ref="Q175:Q180"/>
    <mergeCell ref="Q169:Q174"/>
    <mergeCell ref="BA169:BA174"/>
    <mergeCell ref="BB169:BB174"/>
    <mergeCell ref="BG169:BG174"/>
    <mergeCell ref="BH169:BH174"/>
    <mergeCell ref="BI169:BI174"/>
    <mergeCell ref="A169:A174"/>
    <mergeCell ref="B169:B174"/>
    <mergeCell ref="Q187:Q192"/>
    <mergeCell ref="BA187:BA192"/>
    <mergeCell ref="BB187:BB192"/>
    <mergeCell ref="BG187:BG192"/>
    <mergeCell ref="BH187:BH192"/>
    <mergeCell ref="BA175:BA180"/>
    <mergeCell ref="BB175:BB180"/>
    <mergeCell ref="BI157:BI162"/>
    <mergeCell ref="Q163:Q168"/>
    <mergeCell ref="BA163:BA168"/>
    <mergeCell ref="BB163:BB168"/>
    <mergeCell ref="BG163:BG168"/>
    <mergeCell ref="BH163:BH168"/>
    <mergeCell ref="A151:A156"/>
    <mergeCell ref="B151:B156"/>
    <mergeCell ref="C151:C156"/>
    <mergeCell ref="G151:G156"/>
    <mergeCell ref="BI163:BI168"/>
    <mergeCell ref="R163:R168"/>
    <mergeCell ref="R169:R174"/>
    <mergeCell ref="R175:R180"/>
    <mergeCell ref="C169:C174"/>
    <mergeCell ref="G169:G174"/>
    <mergeCell ref="M169:M174"/>
    <mergeCell ref="N169:N174"/>
    <mergeCell ref="O169:O174"/>
    <mergeCell ref="P169:P174"/>
    <mergeCell ref="P163:P168"/>
    <mergeCell ref="F163:F168"/>
    <mergeCell ref="BG175:BG180"/>
    <mergeCell ref="BH175:BH180"/>
    <mergeCell ref="A163:A168"/>
    <mergeCell ref="B163:B168"/>
    <mergeCell ref="C163:C168"/>
    <mergeCell ref="G163:G168"/>
    <mergeCell ref="A145:A150"/>
    <mergeCell ref="B145:B150"/>
    <mergeCell ref="C145:C150"/>
    <mergeCell ref="G145:G150"/>
    <mergeCell ref="M145:M150"/>
    <mergeCell ref="N145:N150"/>
    <mergeCell ref="BA151:BA156"/>
    <mergeCell ref="BB151:BB156"/>
    <mergeCell ref="BG151:BG156"/>
    <mergeCell ref="BH151:BH156"/>
    <mergeCell ref="BI151:BI156"/>
    <mergeCell ref="F145:F150"/>
    <mergeCell ref="M163:M168"/>
    <mergeCell ref="N163:N168"/>
    <mergeCell ref="O163:O168"/>
    <mergeCell ref="O157:O162"/>
    <mergeCell ref="P157:P162"/>
    <mergeCell ref="A157:A162"/>
    <mergeCell ref="B157:B162"/>
    <mergeCell ref="C157:C162"/>
    <mergeCell ref="G157:G162"/>
    <mergeCell ref="M157:M162"/>
    <mergeCell ref="N157:N162"/>
    <mergeCell ref="F157:F162"/>
    <mergeCell ref="BH157:BH162"/>
    <mergeCell ref="M151:M156"/>
    <mergeCell ref="N151:N156"/>
    <mergeCell ref="O151:O156"/>
    <mergeCell ref="P151:P156"/>
    <mergeCell ref="Q151:Q156"/>
    <mergeCell ref="F151:F156"/>
    <mergeCell ref="O145:O150"/>
    <mergeCell ref="P145:P150"/>
    <mergeCell ref="P139:P144"/>
    <mergeCell ref="BH133:BH138"/>
    <mergeCell ref="BI133:BI138"/>
    <mergeCell ref="A139:A144"/>
    <mergeCell ref="B139:B144"/>
    <mergeCell ref="C139:C144"/>
    <mergeCell ref="G139:G144"/>
    <mergeCell ref="M139:M144"/>
    <mergeCell ref="N139:N144"/>
    <mergeCell ref="O139:O144"/>
    <mergeCell ref="O133:O138"/>
    <mergeCell ref="P133:P138"/>
    <mergeCell ref="A127:A132"/>
    <mergeCell ref="B127:B132"/>
    <mergeCell ref="C127:C132"/>
    <mergeCell ref="G127:G132"/>
    <mergeCell ref="M127:M132"/>
    <mergeCell ref="N127:N132"/>
    <mergeCell ref="O127:O132"/>
    <mergeCell ref="P127:P132"/>
    <mergeCell ref="Q127:Q132"/>
    <mergeCell ref="F127:F132"/>
    <mergeCell ref="BA127:BA132"/>
    <mergeCell ref="BB127:BB132"/>
    <mergeCell ref="Q145:Q150"/>
    <mergeCell ref="BA145:BA150"/>
    <mergeCell ref="BB145:BB150"/>
    <mergeCell ref="BG145:BG150"/>
    <mergeCell ref="BH145:BH150"/>
    <mergeCell ref="BI145:BI150"/>
    <mergeCell ref="A133:A138"/>
    <mergeCell ref="BI139:BI144"/>
    <mergeCell ref="BI127:BI132"/>
    <mergeCell ref="BH139:BH144"/>
    <mergeCell ref="G121:G126"/>
    <mergeCell ref="M121:M126"/>
    <mergeCell ref="N121:N126"/>
    <mergeCell ref="O121:O126"/>
    <mergeCell ref="P121:P126"/>
    <mergeCell ref="Q139:Q144"/>
    <mergeCell ref="BA139:BA144"/>
    <mergeCell ref="BB139:BB144"/>
    <mergeCell ref="BG139:BG144"/>
    <mergeCell ref="F133:F138"/>
    <mergeCell ref="F139:F144"/>
    <mergeCell ref="BG121:BG126"/>
    <mergeCell ref="BH121:BH126"/>
    <mergeCell ref="BI121:BI126"/>
    <mergeCell ref="Q133:Q138"/>
    <mergeCell ref="BH109:BH114"/>
    <mergeCell ref="BI109:BI114"/>
    <mergeCell ref="Q109:Q114"/>
    <mergeCell ref="BA109:BA114"/>
    <mergeCell ref="BB109:BB114"/>
    <mergeCell ref="BG109:BG114"/>
    <mergeCell ref="BI115:BI120"/>
    <mergeCell ref="Q115:Q120"/>
    <mergeCell ref="BA115:BA120"/>
    <mergeCell ref="BB115:BB120"/>
    <mergeCell ref="BG115:BG120"/>
    <mergeCell ref="BH115:BH120"/>
    <mergeCell ref="Q121:Q126"/>
    <mergeCell ref="BA121:BA126"/>
    <mergeCell ref="BB121:BB126"/>
    <mergeCell ref="B133:B138"/>
    <mergeCell ref="C133:C138"/>
    <mergeCell ref="G133:G138"/>
    <mergeCell ref="M133:M138"/>
    <mergeCell ref="BA133:BA138"/>
    <mergeCell ref="BB133:BB138"/>
    <mergeCell ref="BG133:BG138"/>
    <mergeCell ref="BH127:BH132"/>
    <mergeCell ref="N133:N138"/>
    <mergeCell ref="P97:P102"/>
    <mergeCell ref="BG127:BG132"/>
    <mergeCell ref="O115:O120"/>
    <mergeCell ref="O109:O114"/>
    <mergeCell ref="P109:P114"/>
    <mergeCell ref="A109:A114"/>
    <mergeCell ref="B109:B114"/>
    <mergeCell ref="C109:C114"/>
    <mergeCell ref="G109:G114"/>
    <mergeCell ref="M109:M114"/>
    <mergeCell ref="N109:N114"/>
    <mergeCell ref="C97:C102"/>
    <mergeCell ref="G97:G102"/>
    <mergeCell ref="M97:M102"/>
    <mergeCell ref="A115:A120"/>
    <mergeCell ref="B115:B120"/>
    <mergeCell ref="C115:C120"/>
    <mergeCell ref="G115:G120"/>
    <mergeCell ref="M115:M120"/>
    <mergeCell ref="N115:N120"/>
    <mergeCell ref="F115:F120"/>
    <mergeCell ref="P115:P120"/>
    <mergeCell ref="A121:A126"/>
    <mergeCell ref="B121:B126"/>
    <mergeCell ref="C121:C126"/>
    <mergeCell ref="P85:P90"/>
    <mergeCell ref="Q85:Q90"/>
    <mergeCell ref="BA85:BA90"/>
    <mergeCell ref="BB85:BB90"/>
    <mergeCell ref="BG85:BG90"/>
    <mergeCell ref="A85:A90"/>
    <mergeCell ref="B85:B90"/>
    <mergeCell ref="C85:C90"/>
    <mergeCell ref="G85:G90"/>
    <mergeCell ref="BA103:BA108"/>
    <mergeCell ref="BB103:BB108"/>
    <mergeCell ref="BG103:BG108"/>
    <mergeCell ref="BH103:BH108"/>
    <mergeCell ref="BI103:BI108"/>
    <mergeCell ref="A103:A108"/>
    <mergeCell ref="B103:B108"/>
    <mergeCell ref="C103:C108"/>
    <mergeCell ref="G103:G108"/>
    <mergeCell ref="M103:M108"/>
    <mergeCell ref="N103:N108"/>
    <mergeCell ref="O103:O108"/>
    <mergeCell ref="P103:P108"/>
    <mergeCell ref="Q103:Q108"/>
    <mergeCell ref="Q97:Q102"/>
    <mergeCell ref="BA97:BA102"/>
    <mergeCell ref="BB97:BB102"/>
    <mergeCell ref="BG97:BG102"/>
    <mergeCell ref="BH97:BH102"/>
    <mergeCell ref="BI97:BI102"/>
    <mergeCell ref="A97:A102"/>
    <mergeCell ref="B97:B102"/>
    <mergeCell ref="N97:N102"/>
    <mergeCell ref="BI73:BI78"/>
    <mergeCell ref="M85:M90"/>
    <mergeCell ref="N85:N90"/>
    <mergeCell ref="BI91:BI96"/>
    <mergeCell ref="BA79:BA84"/>
    <mergeCell ref="BB79:BB84"/>
    <mergeCell ref="BG79:BG84"/>
    <mergeCell ref="BH79:BH84"/>
    <mergeCell ref="BI79:BI84"/>
    <mergeCell ref="Q91:Q96"/>
    <mergeCell ref="BA91:BA96"/>
    <mergeCell ref="BB91:BB96"/>
    <mergeCell ref="BG91:BG96"/>
    <mergeCell ref="BH91:BH96"/>
    <mergeCell ref="A79:A84"/>
    <mergeCell ref="B79:B84"/>
    <mergeCell ref="C79:C84"/>
    <mergeCell ref="G79:G84"/>
    <mergeCell ref="M79:M84"/>
    <mergeCell ref="N79:N84"/>
    <mergeCell ref="O79:O84"/>
    <mergeCell ref="P79:P84"/>
    <mergeCell ref="Q79:Q84"/>
    <mergeCell ref="P91:P96"/>
    <mergeCell ref="BH85:BH90"/>
    <mergeCell ref="BI85:BI90"/>
    <mergeCell ref="A91:A96"/>
    <mergeCell ref="B91:B96"/>
    <mergeCell ref="C91:C96"/>
    <mergeCell ref="G91:G96"/>
    <mergeCell ref="M91:M96"/>
    <mergeCell ref="N91:N96"/>
    <mergeCell ref="A73:A78"/>
    <mergeCell ref="B73:B78"/>
    <mergeCell ref="C73:C78"/>
    <mergeCell ref="G73:G78"/>
    <mergeCell ref="M73:M78"/>
    <mergeCell ref="N73:N78"/>
    <mergeCell ref="O73:O78"/>
    <mergeCell ref="P73:P78"/>
    <mergeCell ref="P67:P72"/>
    <mergeCell ref="Q67:Q72"/>
    <mergeCell ref="BA67:BA72"/>
    <mergeCell ref="BB67:BB72"/>
    <mergeCell ref="BG67:BG72"/>
    <mergeCell ref="BH67:BH72"/>
    <mergeCell ref="Q73:Q78"/>
    <mergeCell ref="BA73:BA78"/>
    <mergeCell ref="BB73:BB78"/>
    <mergeCell ref="BG73:BG78"/>
    <mergeCell ref="BH73:BH78"/>
    <mergeCell ref="R67:R72"/>
    <mergeCell ref="R73:R78"/>
    <mergeCell ref="F73:F78"/>
    <mergeCell ref="BH61:BH66"/>
    <mergeCell ref="BI61:BI66"/>
    <mergeCell ref="A67:A72"/>
    <mergeCell ref="B67:B72"/>
    <mergeCell ref="C67:C72"/>
    <mergeCell ref="G67:G72"/>
    <mergeCell ref="M67:M72"/>
    <mergeCell ref="N67:N72"/>
    <mergeCell ref="O67:O72"/>
    <mergeCell ref="O61:O66"/>
    <mergeCell ref="P61:P66"/>
    <mergeCell ref="Q61:Q66"/>
    <mergeCell ref="BA61:BA66"/>
    <mergeCell ref="BB61:BB66"/>
    <mergeCell ref="BG61:BG66"/>
    <mergeCell ref="A61:A66"/>
    <mergeCell ref="B61:B66"/>
    <mergeCell ref="C61:C66"/>
    <mergeCell ref="G61:G66"/>
    <mergeCell ref="M61:M66"/>
    <mergeCell ref="N61:N66"/>
    <mergeCell ref="BI67:BI72"/>
    <mergeCell ref="R61:R66"/>
    <mergeCell ref="F61:F66"/>
    <mergeCell ref="F67:F72"/>
    <mergeCell ref="BG37:BG42"/>
    <mergeCell ref="BI31:BI36"/>
    <mergeCell ref="Q43:Q48"/>
    <mergeCell ref="BA43:BA48"/>
    <mergeCell ref="BB43:BB48"/>
    <mergeCell ref="BG43:BG48"/>
    <mergeCell ref="BH43:BH48"/>
    <mergeCell ref="A49:A54"/>
    <mergeCell ref="B49:B54"/>
    <mergeCell ref="O49:O54"/>
    <mergeCell ref="P49:P54"/>
    <mergeCell ref="C49:C54"/>
    <mergeCell ref="G49:G54"/>
    <mergeCell ref="M49:M54"/>
    <mergeCell ref="N49:N54"/>
    <mergeCell ref="BA55:BA60"/>
    <mergeCell ref="BB55:BB60"/>
    <mergeCell ref="BG55:BG60"/>
    <mergeCell ref="BH55:BH60"/>
    <mergeCell ref="BI55:BI60"/>
    <mergeCell ref="A55:A60"/>
    <mergeCell ref="R55:R60"/>
    <mergeCell ref="F49:F54"/>
    <mergeCell ref="F55:F60"/>
    <mergeCell ref="P55:P60"/>
    <mergeCell ref="Q55:Q60"/>
    <mergeCell ref="Q49:Q54"/>
    <mergeCell ref="BA49:BA54"/>
    <mergeCell ref="BB49:BB54"/>
    <mergeCell ref="BG49:BG54"/>
    <mergeCell ref="BH49:BH54"/>
    <mergeCell ref="BI49:BI54"/>
    <mergeCell ref="A31:A36"/>
    <mergeCell ref="B31:B36"/>
    <mergeCell ref="C31:C36"/>
    <mergeCell ref="G31:G36"/>
    <mergeCell ref="M31:M36"/>
    <mergeCell ref="N31:N36"/>
    <mergeCell ref="O31:O36"/>
    <mergeCell ref="P31:P36"/>
    <mergeCell ref="Q31:Q36"/>
    <mergeCell ref="F31:F36"/>
    <mergeCell ref="F37:F42"/>
    <mergeCell ref="F43:F48"/>
    <mergeCell ref="BI43:BI48"/>
    <mergeCell ref="BA31:BA36"/>
    <mergeCell ref="BB31:BB36"/>
    <mergeCell ref="BI37:BI42"/>
    <mergeCell ref="A43:A48"/>
    <mergeCell ref="A37:A42"/>
    <mergeCell ref="B37:B42"/>
    <mergeCell ref="C37:C42"/>
    <mergeCell ref="G37:G42"/>
    <mergeCell ref="B43:B48"/>
    <mergeCell ref="C43:C48"/>
    <mergeCell ref="G43:G48"/>
    <mergeCell ref="M43:M48"/>
    <mergeCell ref="N43:N48"/>
    <mergeCell ref="O43:O48"/>
    <mergeCell ref="O37:O42"/>
    <mergeCell ref="P37:P42"/>
    <mergeCell ref="Q37:Q42"/>
    <mergeCell ref="BA37:BA42"/>
    <mergeCell ref="BB37:BB42"/>
    <mergeCell ref="A1:G3"/>
    <mergeCell ref="H1:BI2"/>
    <mergeCell ref="H3:K3"/>
    <mergeCell ref="M3:BI3"/>
    <mergeCell ref="A4:L5"/>
    <mergeCell ref="M4:Q4"/>
    <mergeCell ref="U4:BI4"/>
    <mergeCell ref="M5:Q5"/>
    <mergeCell ref="U5:W5"/>
    <mergeCell ref="X5:AM5"/>
    <mergeCell ref="AN5:AW5"/>
    <mergeCell ref="AY5:AZ5"/>
    <mergeCell ref="BA5:BB5"/>
    <mergeCell ref="BG5:BI5"/>
    <mergeCell ref="G7:G12"/>
    <mergeCell ref="P25:P30"/>
    <mergeCell ref="P19:P24"/>
    <mergeCell ref="BH13:BH18"/>
    <mergeCell ref="BI13:BI18"/>
    <mergeCell ref="A19:A24"/>
    <mergeCell ref="B19:B24"/>
    <mergeCell ref="C19:C24"/>
    <mergeCell ref="G19:G24"/>
    <mergeCell ref="M19:M24"/>
    <mergeCell ref="N19:N24"/>
    <mergeCell ref="O19:O24"/>
    <mergeCell ref="BH7:BH12"/>
    <mergeCell ref="BI7:BI12"/>
    <mergeCell ref="Q7:Q12"/>
    <mergeCell ref="BA7:BA12"/>
    <mergeCell ref="BB7:BB12"/>
    <mergeCell ref="BI19:BI24"/>
    <mergeCell ref="O85:O90"/>
    <mergeCell ref="O97:O102"/>
    <mergeCell ref="F265:F270"/>
    <mergeCell ref="F271:F276"/>
    <mergeCell ref="F313:F318"/>
    <mergeCell ref="F259:F264"/>
    <mergeCell ref="P7:P12"/>
    <mergeCell ref="A7:A12"/>
    <mergeCell ref="B7:B12"/>
    <mergeCell ref="C7:C12"/>
    <mergeCell ref="M7:M12"/>
    <mergeCell ref="F13:F18"/>
    <mergeCell ref="BG7:BG12"/>
    <mergeCell ref="G25:G30"/>
    <mergeCell ref="M25:M30"/>
    <mergeCell ref="P43:P48"/>
    <mergeCell ref="BH37:BH42"/>
    <mergeCell ref="M37:M42"/>
    <mergeCell ref="N37:N42"/>
    <mergeCell ref="BG25:BG30"/>
    <mergeCell ref="BG31:BG36"/>
    <mergeCell ref="BH31:BH36"/>
    <mergeCell ref="BH25:BH30"/>
    <mergeCell ref="A25:A30"/>
    <mergeCell ref="B25:B30"/>
    <mergeCell ref="C25:C30"/>
    <mergeCell ref="B55:B60"/>
    <mergeCell ref="C55:C60"/>
    <mergeCell ref="G55:G60"/>
    <mergeCell ref="M55:M60"/>
    <mergeCell ref="N55:N60"/>
    <mergeCell ref="O55:O60"/>
    <mergeCell ref="Q19:Q24"/>
    <mergeCell ref="BA19:BA24"/>
    <mergeCell ref="BB19:BB24"/>
    <mergeCell ref="BG19:BG24"/>
    <mergeCell ref="BH19:BH24"/>
    <mergeCell ref="A13:A18"/>
    <mergeCell ref="B13:B18"/>
    <mergeCell ref="C13:C18"/>
    <mergeCell ref="G13:G18"/>
    <mergeCell ref="M13:M18"/>
    <mergeCell ref="Q25:Q30"/>
    <mergeCell ref="BA25:BA30"/>
    <mergeCell ref="BB25:BB30"/>
    <mergeCell ref="O13:O18"/>
    <mergeCell ref="P13:P18"/>
    <mergeCell ref="Q13:Q18"/>
    <mergeCell ref="BA13:BA18"/>
    <mergeCell ref="BB13:BB18"/>
    <mergeCell ref="BG13:BG18"/>
    <mergeCell ref="BI25:BI30"/>
    <mergeCell ref="BJ4:BM5"/>
    <mergeCell ref="F121:F126"/>
    <mergeCell ref="F169:F174"/>
    <mergeCell ref="F175:F180"/>
    <mergeCell ref="F181:F186"/>
    <mergeCell ref="F187:F192"/>
    <mergeCell ref="F193:F198"/>
    <mergeCell ref="F199:F204"/>
    <mergeCell ref="F205:F210"/>
    <mergeCell ref="F211:F216"/>
    <mergeCell ref="F217:F222"/>
    <mergeCell ref="F223:F228"/>
    <mergeCell ref="F229:F234"/>
    <mergeCell ref="F235:F240"/>
    <mergeCell ref="F241:F246"/>
    <mergeCell ref="F247:F252"/>
    <mergeCell ref="F7:F12"/>
    <mergeCell ref="F19:F24"/>
    <mergeCell ref="F25:F30"/>
    <mergeCell ref="F79:F84"/>
    <mergeCell ref="F85:F90"/>
    <mergeCell ref="F91:F96"/>
    <mergeCell ref="F97:F102"/>
    <mergeCell ref="F103:F108"/>
    <mergeCell ref="F109:F114"/>
    <mergeCell ref="N13:N18"/>
    <mergeCell ref="N7:N12"/>
    <mergeCell ref="O7:O12"/>
    <mergeCell ref="N25:N30"/>
    <mergeCell ref="O25:O30"/>
    <mergeCell ref="O91:O96"/>
  </mergeCells>
  <conditionalFormatting sqref="Q7 S7:T7">
    <cfRule type="cellIs" dxfId="16" priority="16" operator="equal">
      <formula>"Extremo"</formula>
    </cfRule>
    <cfRule type="cellIs" dxfId="15" priority="17" operator="equal">
      <formula>"Alto"</formula>
    </cfRule>
    <cfRule type="cellIs" dxfId="14" priority="18" operator="equal">
      <formula>"Moderado"</formula>
    </cfRule>
    <cfRule type="cellIs" dxfId="13" priority="19" operator="equal">
      <formula>"Bajo"</formula>
    </cfRule>
  </conditionalFormatting>
  <conditionalFormatting sqref="Q13 S13:T13 Q19 S19:T19 Q25 S25:T25 Q31 S31:T31 Q37 S37:T37 Q43 S43:T43 Q49 S49:T49 Q55 S55:T55 Q61 S61:T61 Q67 S67:T67 Q73 S73:T73 Q79 S79:T79 Q85 S85:T85 Q91 S91:T91 Q97 S97:T97 Q103 S103:T103 Q109 S109:T109 Q115 S115:T115 Q121 S121:T121 Q127 S127:T127 Q133 S133:T133 Q139 S139:T139 Q145 S145:T145 Q151 S151:T151 Q157 S157:T157 Q163 S163:T163 Q169 S169:T169 Q175 S175:T175 Q181 S181:T181 Q187 S187:T187 Q193 S193:T193 Q199 S199:T199 Q205 S205:T205 Q211 S211:T211 Q217 S217:T217 Q223 S223:T223 Q229 S229:T229 Q235 S235:T235 Q241 S241:T241 Q247 S247:T247 Q253 S253:T253 Q259 S259:T259 Q265 S265:T265 Q271 S271:T271 Q277 S277:T277 Q283 S283:T283 Q289 S289:T289 Q295 S295:T295 Q301 S301:T301 Q307 S307:T307 Q313 S313:T313 Q319 S319:T319 Q325 S325:T325 Q331 S331:T331 Q337 S337:T337 Q343 S343:T343 Q349 S349:T349 Q355 S355:T355 Q361 S361:T361">
    <cfRule type="cellIs" dxfId="12" priority="8" operator="equal">
      <formula>"Extremo"</formula>
    </cfRule>
    <cfRule type="cellIs" dxfId="11" priority="9" operator="equal">
      <formula>"Alto"</formula>
    </cfRule>
    <cfRule type="cellIs" dxfId="10" priority="10" operator="equal">
      <formula>"Moderado"</formula>
    </cfRule>
    <cfRule type="cellIs" dxfId="9" priority="11" operator="equal">
      <formula>"Bajo"</formula>
    </cfRule>
  </conditionalFormatting>
  <conditionalFormatting sqref="BI7">
    <cfRule type="cellIs" dxfId="8" priority="12" operator="equal">
      <formula>"Extremo"</formula>
    </cfRule>
    <cfRule type="cellIs" dxfId="7" priority="13" operator="equal">
      <formula>"Alto"</formula>
    </cfRule>
    <cfRule type="cellIs" dxfId="6" priority="14" operator="equal">
      <formula>"Moderado"</formula>
    </cfRule>
    <cfRule type="cellIs" dxfId="5" priority="15" operator="equal">
      <formula>"Bajo"</formula>
    </cfRule>
  </conditionalFormatting>
  <conditionalFormatting sqref="BI13 BI19 BI25 BI31 BI37 BI43 BI49 BI55 BI61 BI67 BI73 BI79 BI85 BI91 BI97 BI103 BI109 BI115 BI121 BI127 BI133 BI139 BI145 BI151 BI157 BI163 BI169 BI175 BI181 BI187 BI193 BI199 BI205 BI211 BI217 BI223 BI229 BI235 BI241 BI247 BI253 BI259 BI265 BI271 BI277 BI283 BI289 BI295 BI301 BI307 BI313 BI319 BI325 BI331 BI337 BI343 BI349 BI355 BI361">
    <cfRule type="cellIs" dxfId="4" priority="4" operator="equal">
      <formula>"Extremo"</formula>
    </cfRule>
    <cfRule type="cellIs" dxfId="3" priority="5" operator="equal">
      <formula>"Alto"</formula>
    </cfRule>
    <cfRule type="cellIs" dxfId="2" priority="6" operator="equal">
      <formula>"Moderado"</formula>
    </cfRule>
    <cfRule type="cellIs" dxfId="1" priority="7" operator="equal">
      <formula>"Bajo"</formula>
    </cfRule>
  </conditionalFormatting>
  <dataValidations count="50">
    <dataValidation allowBlank="1" showInputMessage="1" showErrorMessage="1" prompt="Fuerte: 100_x000a__x000a_Moderado: Entre 50 y 99_x000a__x000a_Débil: Menor a 50" sqref="BB6"/>
    <dataValidation allowBlank="1" showInputMessage="1" showErrorMessage="1" prompt="Fuerte: 100_x000a__x000a_Moderado: 50_x000a__x000a_Débil: 0" sqref="AZ6"/>
    <dataValidation allowBlank="1" showInputMessage="1" showErrorMessage="1" prompt="Fuerte: Siempre se ejecuta_x000a__x000a_Moderado: Algunas veces_x000a__x000a_Débil: No se ejecuta " sqref="AN6:AO6"/>
    <dataValidation allowBlank="1" showInputMessage="1" showErrorMessage="1" prompt="Fuerte: Calificación entre 96 y 100_x000a__x000a_Moderado: Calificación entre 86 y 95_x000a__x000a_Débil: Calificación entre 0 y 85" sqref="AM6 AX6"/>
    <dataValidation allowBlank="1" showInputMessage="1" showErrorMessage="1" prompt="- Confiable (15)_x000a__x000a_- No Confiable (0)_x000a_" sqref="AF6:AG6"/>
    <dataValidation allowBlank="1" showInputMessage="1" showErrorMessage="1" prompt="- Prevenir (15)_x000a__x000a_- Detectar (10)_x000a__x000a_- No es un Control (0)" sqref="AD6:AE6"/>
    <dataValidation allowBlank="1" showInputMessage="1" showErrorMessage="1" prompt="- Oportuna (15)_x000a__x000a_- Inoportuna (0)_x000a_" sqref="AB6:AC6"/>
    <dataValidation allowBlank="1" showInputMessage="1" showErrorMessage="1" prompt="- Asignado (15)_x000a__x000a_- No Asignado (0)" sqref="X6:Y6"/>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W6"/>
    <dataValidation allowBlank="1" showInputMessage="1" showErrorMessage="1" prompt="Completa (10)_x000a__x000a_Incompleta (5)_x000a__x000a_No esxiste (0)" sqref="AJ6:AK6"/>
    <dataValidation allowBlank="1" showInputMessage="1" showErrorMessage="1" prompt="- Se investigan y se resuelven Oportunamente (15)_x000a__x000a_- No se investigan y resuelven Oportunamente (0)_x000a_" sqref="AH6:AI6"/>
    <dataValidation allowBlank="1" showInputMessage="1" showErrorMessage="1" prompt="- Adecuado (15)_x000a__x000a_- Inadecuado (0)_x000a_" sqref="Z6:AA6"/>
    <dataValidation allowBlank="1" showInputMessage="1" showErrorMessage="1" prompt="Promedio entre el diseño Total de Control y Total Solidez Individual " sqref="BA6"/>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Y6"/>
    <dataValidation allowBlank="1" showInputMessage="1" showErrorMessage="1" prompt="Si el resultado de las calificaciones del control o promedio en el diseño de los controles, está por debajo de 96%, se debe establecer un plan de acción que permita tener un control bien diseñado" sqref="AL6 AW6"/>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N6:P6"/>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M6"/>
    <dataValidation type="list" allowBlank="1" showInputMessage="1" showErrorMessage="1" sqref="V205:V366">
      <formula1>$H$13:$H$366</formula1>
    </dataValidation>
    <dataValidation type="list" allowBlank="1" showInputMessage="1" showErrorMessage="1" sqref="V31:V36">
      <formula1>$H$31:$H$36</formula1>
    </dataValidation>
    <dataValidation type="list" allowBlank="1" showInputMessage="1" showErrorMessage="1" sqref="V37:V42">
      <formula1>$H$37:$H$42</formula1>
    </dataValidation>
    <dataValidation type="list" allowBlank="1" showInputMessage="1" showErrorMessage="1" sqref="V43:V48">
      <formula1>$H$43:$H$48</formula1>
    </dataValidation>
    <dataValidation type="list" allowBlank="1" showInputMessage="1" showErrorMessage="1" sqref="V49:V54">
      <formula1>$H$49:$H$54</formula1>
    </dataValidation>
    <dataValidation type="list" allowBlank="1" showInputMessage="1" showErrorMessage="1" sqref="V55:V60">
      <formula1>$H$55:$H$60</formula1>
    </dataValidation>
    <dataValidation type="list" allowBlank="1" showInputMessage="1" showErrorMessage="1" sqref="V61:V66">
      <formula1>$H$61:$H$66</formula1>
    </dataValidation>
    <dataValidation type="list" allowBlank="1" showInputMessage="1" showErrorMessage="1" sqref="V67:V72">
      <formula1>$H$67:$H$72</formula1>
    </dataValidation>
    <dataValidation type="list" allowBlank="1" showInputMessage="1" showErrorMessage="1" sqref="V73:V78">
      <formula1>$H$73:$H$78</formula1>
    </dataValidation>
    <dataValidation type="list" allowBlank="1" showInputMessage="1" showErrorMessage="1" sqref="V79:V84">
      <formula1>$H$79:$H$84</formula1>
    </dataValidation>
    <dataValidation type="list" allowBlank="1" showInputMessage="1" showErrorMessage="1" sqref="V85:V90">
      <formula1>$H$85:$H$90</formula1>
    </dataValidation>
    <dataValidation type="list" allowBlank="1" showInputMessage="1" showErrorMessage="1" sqref="V91:V96">
      <formula1>$H$91:$H$96</formula1>
    </dataValidation>
    <dataValidation type="list" allowBlank="1" showInputMessage="1" showErrorMessage="1" sqref="V97:V102">
      <formula1>$H$97:$H$102</formula1>
    </dataValidation>
    <dataValidation type="list" allowBlank="1" showInputMessage="1" showErrorMessage="1" sqref="V103:V108">
      <formula1>$H$103:$H$108</formula1>
    </dataValidation>
    <dataValidation type="list" allowBlank="1" showInputMessage="1" showErrorMessage="1" sqref="V109:V114">
      <formula1>$H$109:$H$114</formula1>
    </dataValidation>
    <dataValidation type="list" allowBlank="1" showInputMessage="1" showErrorMessage="1" sqref="V115:V120">
      <formula1>$H$115:$H$120</formula1>
    </dataValidation>
    <dataValidation type="list" allowBlank="1" showInputMessage="1" showErrorMessage="1" sqref="V121:V126">
      <formula1>$H$121:$H$126</formula1>
    </dataValidation>
    <dataValidation type="list" allowBlank="1" showInputMessage="1" showErrorMessage="1" sqref="V127:V132">
      <formula1>$H$127:$H$132</formula1>
    </dataValidation>
    <dataValidation type="list" allowBlank="1" showInputMessage="1" showErrorMessage="1" sqref="V133:V138">
      <formula1>$H$133:$H$138</formula1>
    </dataValidation>
    <dataValidation type="list" allowBlank="1" showInputMessage="1" showErrorMessage="1" sqref="V139:V144">
      <formula1>$H$139:$H$144</formula1>
    </dataValidation>
    <dataValidation type="list" allowBlank="1" showInputMessage="1" showErrorMessage="1" sqref="V145:V150">
      <formula1>$H$145:$H$150</formula1>
    </dataValidation>
    <dataValidation type="list" allowBlank="1" showInputMessage="1" showErrorMessage="1" sqref="V151:V156">
      <formula1>$H$151:$H$156</formula1>
    </dataValidation>
    <dataValidation type="list" allowBlank="1" showInputMessage="1" showErrorMessage="1" sqref="V157:V162">
      <formula1>$H$157:$H$162</formula1>
    </dataValidation>
    <dataValidation type="list" allowBlank="1" showInputMessage="1" showErrorMessage="1" sqref="V163:V168">
      <formula1>$H$163:$H$168</formula1>
    </dataValidation>
    <dataValidation type="list" allowBlank="1" showInputMessage="1" showErrorMessage="1" sqref="V169:V174">
      <formula1>$H$169:$H$174</formula1>
    </dataValidation>
    <dataValidation type="list" allowBlank="1" showInputMessage="1" showErrorMessage="1" sqref="V175:V180">
      <formula1>$H$175:$H$180</formula1>
    </dataValidation>
    <dataValidation type="list" allowBlank="1" showInputMessage="1" showErrorMessage="1" sqref="V181:V186">
      <formula1>$H$181:$H$186</formula1>
    </dataValidation>
    <dataValidation type="list" allowBlank="1" showInputMessage="1" showErrorMessage="1" sqref="V187:V192">
      <formula1>$H$187:$H$192</formula1>
    </dataValidation>
    <dataValidation type="list" allowBlank="1" showInputMessage="1" showErrorMessage="1" sqref="V193:V198">
      <formula1>$H$193:$H$198</formula1>
    </dataValidation>
    <dataValidation type="list" allowBlank="1" showInputMessage="1" showErrorMessage="1" sqref="V199:V204">
      <formula1>$H$199:$H$204</formula1>
    </dataValidation>
    <dataValidation type="list" allowBlank="1" showInputMessage="1" showErrorMessage="1" sqref="H7:H366">
      <formula1>INDIRECT(E7)</formula1>
    </dataValidation>
    <dataValidation type="list" allowBlank="1" showInputMessage="1" showErrorMessage="1" sqref="G7:G18 J7:J366 T7:T366">
      <formula1>INDIRECT(F7)</formula1>
    </dataValidation>
    <dataValidation type="list" allowBlank="1" showInputMessage="1" showErrorMessage="1" sqref="V7:V30">
      <formula1>$J7:$J12</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Listados!$G$3:$G$7</xm:f>
          </x14:formula1>
          <xm:sqref>O7:O366</xm:sqref>
        </x14:dataValidation>
        <x14:dataValidation type="list" allowBlank="1" showInputMessage="1" showErrorMessage="1">
          <x14:formula1>
            <xm:f>Listados!$B$26:$B$27</xm:f>
          </x14:formula1>
          <xm:sqref>AB7:AB366 X7:X366 AD7:AD366 AF7:AF366 AH7:AH366 Z7:Z1048576</xm:sqref>
        </x14:dataValidation>
        <x14:dataValidation type="list" allowBlank="1" showInputMessage="1" showErrorMessage="1">
          <x14:formula1>
            <xm:f>Corrupción!$J$3:$J$7</xm:f>
          </x14:formula1>
          <xm:sqref>M7:M366</xm:sqref>
        </x14:dataValidation>
        <x14:dataValidation type="list" allowBlank="1" showInputMessage="1" showErrorMessage="1">
          <x14:formula1>
            <xm:f>Listados!$B$3:$B$20</xm:f>
          </x14:formula1>
          <xm:sqref>B7:B13 B19 B25 B31 B37 B43 B49 B55 B61 B67 B73 B79 B85 B91 B97 B103 B109 B115 B121 B127 B133 B139 B145 B151 B157 B163 B169 B175 B181 B187 B193 B199 B205 B211 B217 B223 B229 B235 B241 B247 B253 B259 B265 B271 B277 B283 B289 B295 B301 B307 B313 B319 B325 B331 B337 B343 B349 B355 B361</xm:sqref>
        </x14:dataValidation>
        <x14:dataValidation type="list" allowBlank="1" showInputMessage="1" showErrorMessage="1">
          <x14:formula1>
            <xm:f>Listados!$G$29:$G$30</xm:f>
          </x14:formula1>
          <xm:sqref>W7:W366</xm:sqref>
        </x14:dataValidation>
        <x14:dataValidation type="list" allowBlank="1" showInputMessage="1" showErrorMessage="1">
          <x14:formula1>
            <xm:f>Listados!$C$26:$C$28</xm:f>
          </x14:formula1>
          <xm:sqref>AJ7:AJ366</xm:sqref>
        </x14:dataValidation>
        <x14:dataValidation type="list" allowBlank="1" showInputMessage="1" showErrorMessage="1">
          <x14:formula1>
            <xm:f>Listados!$E$3:$E$4</xm:f>
          </x14:formula1>
          <xm:sqref>K7:K1048576</xm:sqref>
        </x14:dataValidation>
        <x14:dataValidation type="list" allowBlank="1" showInputMessage="1" showErrorMessage="1">
          <x14:formula1>
            <xm:f>'Seguridad Información'!$B$2:$B$8</xm:f>
          </x14:formula1>
          <xm:sqref>E7:E366</xm:sqref>
        </x14:dataValidation>
        <x14:dataValidation type="list" allowBlank="1" showInputMessage="1" showErrorMessage="1">
          <x14:formula1>
            <xm:f>'Seguridad Información'!$B$13:$H$13</xm:f>
          </x14:formula1>
          <xm:sqref>F7 F13 F19 F25 F31 F37 F43 F49 F55 F61 F67 F73 F79 F85 F91 F97 F103 F109 F115 F121 F127 F133 F139 F145 F151 F157 F163 F169 F175 F181 F187 F193 F199 F205 F211 F217 F223 F229 F235 F241 F247 F253 F259 F265 F271 F277 F283 F289 F295 F301 F307 F313 F319 F325 F331 F337 F343 F349 F355 F361</xm:sqref>
        </x14:dataValidation>
        <x14:dataValidation type="list" allowBlank="1" showInputMessage="1" showErrorMessage="1">
          <x14:formula1>
            <xm:f>'Seguridad Información'!$B$19:$H$19</xm:f>
          </x14:formula1>
          <xm:sqref>I7:I366</xm:sqref>
        </x14:dataValidation>
        <x14:dataValidation type="list" allowBlank="1" showInputMessage="1" showErrorMessage="1">
          <x14:formula1>
            <xm:f>'Seguridad Información'!$B$44:$O$44</xm:f>
          </x14:formula1>
          <xm:sqref>S7:S366</xm:sqref>
        </x14:dataValidation>
        <x14:dataValidation type="list" allowBlank="1" showInputMessage="1" showErrorMessage="1">
          <x14:formula1>
            <xm:f>'Seguridad Información'!$C$61:$C$63</xm:f>
          </x14:formula1>
          <xm:sqref>AN7:AN366</xm:sqref>
        </x14:dataValidation>
        <x14:dataValidation type="list" allowBlank="1" showInputMessage="1" showErrorMessage="1">
          <x14:formula1>
            <xm:f>'Seguridad Información'!$E$61:$E$64</xm:f>
          </x14:formula1>
          <xm:sqref>AP7:AP366</xm:sqref>
        </x14:dataValidation>
        <x14:dataValidation type="list" allowBlank="1" showInputMessage="1" showErrorMessage="1">
          <x14:formula1>
            <xm:f>'Seguridad Información'!$G$61:$G$64</xm:f>
          </x14:formula1>
          <xm:sqref>AR7:AR366</xm:sqref>
        </x14:dataValidation>
        <x14:dataValidation type="list" allowBlank="1" showInputMessage="1" showErrorMessage="1">
          <x14:formula1>
            <xm:f>'Seguridad Información'!$I$61:$I$65</xm:f>
          </x14:formula1>
          <xm:sqref>AT7:AT366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21"/>
  <sheetViews>
    <sheetView topLeftCell="A58" workbookViewId="0">
      <selection activeCell="A79" sqref="A79"/>
    </sheetView>
  </sheetViews>
  <sheetFormatPr baseColWidth="10" defaultColWidth="11.42578125" defaultRowHeight="15"/>
  <cols>
    <col min="7" max="7" width="27" customWidth="1"/>
    <col min="8" max="8" width="16.28515625" customWidth="1"/>
    <col min="9" max="9" width="20.140625" customWidth="1"/>
    <col min="11" max="11" width="76.42578125" customWidth="1"/>
    <col min="12" max="12" width="39.140625" customWidth="1"/>
  </cols>
  <sheetData>
    <row r="1" spans="2:13">
      <c r="B1" s="50" t="s">
        <v>1061</v>
      </c>
      <c r="G1" s="540" t="s">
        <v>1062</v>
      </c>
      <c r="H1" s="540"/>
      <c r="I1" s="540"/>
      <c r="J1" s="540"/>
      <c r="K1" s="540"/>
      <c r="L1" s="540"/>
      <c r="M1" s="540"/>
    </row>
    <row r="2" spans="2:13">
      <c r="B2" s="294" t="s">
        <v>1063</v>
      </c>
      <c r="G2" s="294" t="s">
        <v>1063</v>
      </c>
      <c r="H2" s="196" t="s">
        <v>1064</v>
      </c>
      <c r="I2" s="294" t="s">
        <v>1065</v>
      </c>
      <c r="J2" s="294" t="s">
        <v>1066</v>
      </c>
      <c r="K2" s="294" t="s">
        <v>1067</v>
      </c>
      <c r="L2" s="197" t="s">
        <v>1068</v>
      </c>
      <c r="M2" s="294" t="s">
        <v>1069</v>
      </c>
    </row>
    <row r="3" spans="2:13">
      <c r="B3" s="294" t="s">
        <v>1069</v>
      </c>
      <c r="G3" s="294" t="s">
        <v>1070</v>
      </c>
      <c r="H3" s="196" t="s">
        <v>1071</v>
      </c>
      <c r="I3" s="294" t="s">
        <v>1072</v>
      </c>
      <c r="J3" s="294" t="s">
        <v>1073</v>
      </c>
      <c r="K3" s="294" t="s">
        <v>1074</v>
      </c>
      <c r="L3" s="197" t="s">
        <v>1075</v>
      </c>
      <c r="M3" s="294" t="s">
        <v>1076</v>
      </c>
    </row>
    <row r="4" spans="2:13">
      <c r="B4" s="294" t="s">
        <v>1067</v>
      </c>
      <c r="G4" s="294" t="s">
        <v>1077</v>
      </c>
      <c r="I4" s="294" t="s">
        <v>1078</v>
      </c>
      <c r="J4" s="294" t="s">
        <v>1079</v>
      </c>
      <c r="K4" s="294" t="s">
        <v>1080</v>
      </c>
      <c r="L4" s="197" t="s">
        <v>1081</v>
      </c>
      <c r="M4" s="294" t="s">
        <v>1082</v>
      </c>
    </row>
    <row r="5" spans="2:13">
      <c r="B5" s="294" t="s">
        <v>1083</v>
      </c>
      <c r="G5" s="294" t="s">
        <v>1084</v>
      </c>
      <c r="I5" s="294" t="s">
        <v>1085</v>
      </c>
      <c r="J5" s="294" t="s">
        <v>1086</v>
      </c>
      <c r="K5" s="294" t="s">
        <v>1087</v>
      </c>
      <c r="L5" s="197" t="s">
        <v>1088</v>
      </c>
      <c r="M5" s="294" t="s">
        <v>1089</v>
      </c>
    </row>
    <row r="6" spans="2:13">
      <c r="B6" s="294" t="s">
        <v>1090</v>
      </c>
      <c r="G6" s="294" t="s">
        <v>1091</v>
      </c>
      <c r="J6" s="294" t="s">
        <v>1092</v>
      </c>
      <c r="K6" s="294" t="s">
        <v>1093</v>
      </c>
      <c r="L6" s="197" t="s">
        <v>1094</v>
      </c>
      <c r="M6" s="294" t="s">
        <v>1095</v>
      </c>
    </row>
    <row r="7" spans="2:13">
      <c r="B7" s="294" t="s">
        <v>1096</v>
      </c>
      <c r="G7" s="294" t="s">
        <v>1097</v>
      </c>
      <c r="J7" s="294" t="s">
        <v>1098</v>
      </c>
      <c r="K7" s="294" t="s">
        <v>1099</v>
      </c>
      <c r="L7" s="197" t="s">
        <v>1100</v>
      </c>
      <c r="M7" s="294"/>
    </row>
    <row r="8" spans="2:13">
      <c r="B8" s="294" t="s">
        <v>1101</v>
      </c>
      <c r="G8" s="294" t="s">
        <v>1102</v>
      </c>
      <c r="J8" s="294" t="s">
        <v>1103</v>
      </c>
      <c r="K8" s="294" t="s">
        <v>1104</v>
      </c>
      <c r="L8" s="197" t="s">
        <v>1105</v>
      </c>
      <c r="M8" s="294"/>
    </row>
    <row r="9" spans="2:13">
      <c r="G9" s="294" t="s">
        <v>1106</v>
      </c>
      <c r="J9" s="294" t="s">
        <v>1107</v>
      </c>
      <c r="K9" s="294" t="s">
        <v>1108</v>
      </c>
      <c r="M9" s="294"/>
    </row>
    <row r="10" spans="2:13">
      <c r="J10" s="294" t="s">
        <v>1109</v>
      </c>
      <c r="K10" s="294" t="s">
        <v>1110</v>
      </c>
      <c r="M10" s="294"/>
    </row>
    <row r="11" spans="2:13">
      <c r="K11" s="294" t="s">
        <v>1111</v>
      </c>
      <c r="M11" s="294"/>
    </row>
    <row r="12" spans="2:13">
      <c r="B12" s="541" t="s">
        <v>1112</v>
      </c>
      <c r="C12" s="542"/>
      <c r="D12" s="542"/>
      <c r="E12" s="542"/>
      <c r="F12" s="542"/>
      <c r="G12" s="542"/>
      <c r="H12" s="543"/>
      <c r="K12" s="294" t="s">
        <v>1113</v>
      </c>
    </row>
    <row r="13" spans="2:13">
      <c r="B13" s="294" t="s">
        <v>1114</v>
      </c>
      <c r="C13" s="197" t="s">
        <v>1115</v>
      </c>
      <c r="D13" s="294" t="s">
        <v>1116</v>
      </c>
      <c r="E13" s="294" t="s">
        <v>1117</v>
      </c>
      <c r="F13" s="294" t="s">
        <v>1118</v>
      </c>
      <c r="G13" s="197" t="s">
        <v>1119</v>
      </c>
      <c r="H13" s="294" t="s">
        <v>1120</v>
      </c>
      <c r="K13" s="294" t="s">
        <v>1121</v>
      </c>
    </row>
    <row r="14" spans="2:13">
      <c r="B14" s="294" t="s">
        <v>1122</v>
      </c>
      <c r="C14" s="197" t="s">
        <v>1123</v>
      </c>
      <c r="D14" s="294" t="s">
        <v>1124</v>
      </c>
      <c r="E14" s="294" t="s">
        <v>1125</v>
      </c>
      <c r="F14" s="294" t="s">
        <v>1126</v>
      </c>
      <c r="G14" s="197" t="s">
        <v>1127</v>
      </c>
      <c r="H14" s="294" t="s">
        <v>1128</v>
      </c>
      <c r="K14" s="294" t="s">
        <v>1129</v>
      </c>
    </row>
    <row r="15" spans="2:13">
      <c r="B15" s="294" t="s">
        <v>1130</v>
      </c>
      <c r="D15" s="294" t="s">
        <v>1131</v>
      </c>
      <c r="H15" s="294" t="s">
        <v>1132</v>
      </c>
      <c r="K15" s="294" t="s">
        <v>1133</v>
      </c>
    </row>
    <row r="16" spans="2:13">
      <c r="B16" s="294" t="s">
        <v>1134</v>
      </c>
      <c r="D16" s="294" t="s">
        <v>1135</v>
      </c>
      <c r="H16" s="294" t="s">
        <v>1136</v>
      </c>
      <c r="K16" s="294" t="s">
        <v>1137</v>
      </c>
    </row>
    <row r="17" spans="2:11">
      <c r="H17" s="294" t="s">
        <v>1138</v>
      </c>
      <c r="K17" s="294" t="s">
        <v>1139</v>
      </c>
    </row>
    <row r="18" spans="2:11">
      <c r="B18" s="541" t="s">
        <v>1140</v>
      </c>
      <c r="C18" s="542"/>
      <c r="D18" s="542"/>
      <c r="E18" s="542"/>
      <c r="F18" s="542"/>
      <c r="G18" s="542"/>
      <c r="H18" s="543"/>
      <c r="K18" s="294" t="s">
        <v>1141</v>
      </c>
    </row>
    <row r="19" spans="2:11">
      <c r="B19" s="295" t="s">
        <v>1142</v>
      </c>
      <c r="C19" s="198" t="s">
        <v>1143</v>
      </c>
      <c r="D19" s="295" t="s">
        <v>1144</v>
      </c>
      <c r="E19" s="295" t="s">
        <v>1145</v>
      </c>
      <c r="F19" s="295" t="s">
        <v>1146</v>
      </c>
      <c r="G19" s="198" t="s">
        <v>1147</v>
      </c>
      <c r="H19" s="295" t="s">
        <v>1148</v>
      </c>
    </row>
    <row r="20" spans="2:11">
      <c r="B20" s="51" t="s">
        <v>1149</v>
      </c>
      <c r="C20" s="51" t="s">
        <v>1150</v>
      </c>
      <c r="D20" s="51" t="s">
        <v>1151</v>
      </c>
      <c r="E20" s="51" t="s">
        <v>1152</v>
      </c>
      <c r="F20" s="51" t="s">
        <v>1153</v>
      </c>
      <c r="G20" s="51" t="s">
        <v>1154</v>
      </c>
      <c r="H20" s="51" t="s">
        <v>1155</v>
      </c>
    </row>
    <row r="21" spans="2:11">
      <c r="B21" s="51" t="s">
        <v>1156</v>
      </c>
      <c r="C21" s="51" t="s">
        <v>1157</v>
      </c>
      <c r="D21" s="51" t="s">
        <v>1158</v>
      </c>
      <c r="E21" s="51" t="s">
        <v>1159</v>
      </c>
      <c r="G21" s="51" t="s">
        <v>1160</v>
      </c>
      <c r="H21" s="51" t="s">
        <v>1161</v>
      </c>
    </row>
    <row r="22" spans="2:11">
      <c r="B22" s="51" t="s">
        <v>1162</v>
      </c>
      <c r="C22" s="51" t="s">
        <v>1163</v>
      </c>
      <c r="D22" s="51" t="s">
        <v>1164</v>
      </c>
      <c r="E22" s="51" t="s">
        <v>1165</v>
      </c>
      <c r="G22" s="51" t="s">
        <v>1166</v>
      </c>
      <c r="H22" s="51" t="s">
        <v>1167</v>
      </c>
    </row>
    <row r="23" spans="2:11">
      <c r="B23" s="51" t="s">
        <v>1156</v>
      </c>
      <c r="C23" s="51" t="s">
        <v>1168</v>
      </c>
      <c r="D23" s="51" t="s">
        <v>1169</v>
      </c>
      <c r="E23" s="51" t="s">
        <v>1170</v>
      </c>
      <c r="G23" s="51" t="s">
        <v>1171</v>
      </c>
      <c r="H23" s="51" t="s">
        <v>1172</v>
      </c>
    </row>
    <row r="24" spans="2:11">
      <c r="B24" s="51" t="s">
        <v>1173</v>
      </c>
      <c r="C24" s="51" t="s">
        <v>1174</v>
      </c>
      <c r="D24" s="51" t="s">
        <v>1175</v>
      </c>
      <c r="E24" s="51" t="s">
        <v>1176</v>
      </c>
      <c r="G24" s="51" t="s">
        <v>1177</v>
      </c>
      <c r="H24" s="51" t="s">
        <v>1178</v>
      </c>
    </row>
    <row r="25" spans="2:11">
      <c r="B25" s="51" t="s">
        <v>1179</v>
      </c>
      <c r="D25" s="51" t="s">
        <v>1180</v>
      </c>
      <c r="E25" s="51" t="s">
        <v>1181</v>
      </c>
      <c r="G25" s="51" t="s">
        <v>1182</v>
      </c>
      <c r="H25" s="51" t="s">
        <v>1183</v>
      </c>
    </row>
    <row r="26" spans="2:11">
      <c r="B26" s="51" t="s">
        <v>1184</v>
      </c>
      <c r="D26" s="51" t="s">
        <v>1185</v>
      </c>
      <c r="E26" s="51" t="s">
        <v>1186</v>
      </c>
      <c r="H26" s="51" t="s">
        <v>1187</v>
      </c>
    </row>
    <row r="27" spans="2:11">
      <c r="B27" s="51" t="s">
        <v>1188</v>
      </c>
      <c r="D27" s="51" t="s">
        <v>1189</v>
      </c>
      <c r="E27" s="51" t="s">
        <v>1190</v>
      </c>
      <c r="H27" s="51" t="s">
        <v>1191</v>
      </c>
    </row>
    <row r="28" spans="2:11">
      <c r="B28" s="51" t="s">
        <v>1192</v>
      </c>
      <c r="D28" s="51" t="s">
        <v>1193</v>
      </c>
      <c r="E28" s="51" t="s">
        <v>1194</v>
      </c>
      <c r="H28" s="51" t="s">
        <v>1195</v>
      </c>
    </row>
    <row r="29" spans="2:11">
      <c r="B29" s="51" t="s">
        <v>1196</v>
      </c>
      <c r="D29" s="51" t="s">
        <v>1197</v>
      </c>
      <c r="E29" s="51" t="s">
        <v>1198</v>
      </c>
      <c r="H29" s="51" t="s">
        <v>1199</v>
      </c>
    </row>
    <row r="30" spans="2:11">
      <c r="B30" s="51" t="s">
        <v>1200</v>
      </c>
      <c r="D30" s="51" t="s">
        <v>1201</v>
      </c>
      <c r="E30" s="51" t="s">
        <v>1202</v>
      </c>
      <c r="H30" s="51" t="s">
        <v>1203</v>
      </c>
    </row>
    <row r="31" spans="2:11">
      <c r="B31" s="51" t="s">
        <v>1204</v>
      </c>
      <c r="D31" s="51" t="s">
        <v>1205</v>
      </c>
      <c r="E31" s="51" t="s">
        <v>1206</v>
      </c>
      <c r="H31" s="51" t="s">
        <v>1207</v>
      </c>
    </row>
    <row r="32" spans="2:11">
      <c r="B32" s="51" t="s">
        <v>1208</v>
      </c>
      <c r="D32" s="51" t="s">
        <v>1209</v>
      </c>
      <c r="E32" s="51" t="s">
        <v>1210</v>
      </c>
      <c r="H32" s="51" t="s">
        <v>1211</v>
      </c>
    </row>
    <row r="33" spans="2:15">
      <c r="D33" s="51" t="s">
        <v>1212</v>
      </c>
      <c r="H33" s="51" t="s">
        <v>1213</v>
      </c>
    </row>
    <row r="34" spans="2:15">
      <c r="H34" s="51" t="s">
        <v>1214</v>
      </c>
    </row>
    <row r="35" spans="2:15">
      <c r="H35" s="51" t="s">
        <v>1215</v>
      </c>
    </row>
    <row r="36" spans="2:15">
      <c r="H36" s="51" t="s">
        <v>1216</v>
      </c>
    </row>
    <row r="37" spans="2:15">
      <c r="H37" s="51" t="s">
        <v>1217</v>
      </c>
    </row>
    <row r="38" spans="2:15">
      <c r="H38" s="51" t="s">
        <v>1098</v>
      </c>
    </row>
    <row r="39" spans="2:15">
      <c r="H39" s="51" t="s">
        <v>1218</v>
      </c>
    </row>
    <row r="40" spans="2:15">
      <c r="H40" s="51" t="s">
        <v>1219</v>
      </c>
    </row>
    <row r="41" spans="2:15">
      <c r="H41" s="51" t="s">
        <v>1220</v>
      </c>
    </row>
    <row r="44" spans="2:15">
      <c r="B44" s="75" t="s">
        <v>1221</v>
      </c>
      <c r="C44" s="75" t="s">
        <v>1222</v>
      </c>
      <c r="D44" s="75" t="s">
        <v>1223</v>
      </c>
      <c r="E44" s="75" t="s">
        <v>1224</v>
      </c>
      <c r="F44" s="75" t="s">
        <v>1225</v>
      </c>
      <c r="G44" s="75" t="s">
        <v>1226</v>
      </c>
      <c r="H44" s="75" t="s">
        <v>1227</v>
      </c>
      <c r="I44" s="75" t="s">
        <v>1228</v>
      </c>
      <c r="J44" s="75" t="s">
        <v>1229</v>
      </c>
      <c r="K44" s="75" t="s">
        <v>1230</v>
      </c>
      <c r="L44" s="75" t="s">
        <v>1231</v>
      </c>
      <c r="M44" s="75" t="s">
        <v>1232</v>
      </c>
      <c r="N44" s="75" t="s">
        <v>1233</v>
      </c>
      <c r="O44" s="75" t="s">
        <v>1234</v>
      </c>
    </row>
    <row r="45" spans="2:15">
      <c r="B45" s="74" t="s">
        <v>1235</v>
      </c>
      <c r="C45" s="74" t="s">
        <v>1236</v>
      </c>
      <c r="D45" s="74" t="s">
        <v>1237</v>
      </c>
      <c r="E45" s="74" t="s">
        <v>1238</v>
      </c>
      <c r="F45" s="74" t="s">
        <v>1239</v>
      </c>
      <c r="G45" s="74" t="s">
        <v>1240</v>
      </c>
      <c r="H45" s="74" t="s">
        <v>1241</v>
      </c>
      <c r="I45" s="74" t="s">
        <v>1242</v>
      </c>
      <c r="J45" s="74" t="s">
        <v>1243</v>
      </c>
      <c r="K45" s="74" t="s">
        <v>1244</v>
      </c>
      <c r="L45" s="74" t="s">
        <v>1245</v>
      </c>
      <c r="M45" s="74" t="s">
        <v>1246</v>
      </c>
      <c r="N45" s="74" t="s">
        <v>1247</v>
      </c>
      <c r="O45" s="74" t="s">
        <v>1248</v>
      </c>
    </row>
    <row r="46" spans="2:15">
      <c r="B46" s="74" t="s">
        <v>1249</v>
      </c>
      <c r="C46" s="74" t="s">
        <v>1250</v>
      </c>
      <c r="D46" s="74" t="s">
        <v>1251</v>
      </c>
      <c r="E46" s="74" t="s">
        <v>1252</v>
      </c>
      <c r="F46" s="74" t="s">
        <v>1253</v>
      </c>
      <c r="G46" s="74" t="s">
        <v>1254</v>
      </c>
      <c r="H46" s="74" t="s">
        <v>1255</v>
      </c>
      <c r="I46" s="74" t="s">
        <v>1256</v>
      </c>
      <c r="J46" s="74" t="s">
        <v>1257</v>
      </c>
      <c r="K46" s="74" t="s">
        <v>1258</v>
      </c>
      <c r="L46" s="74" t="s">
        <v>1259</v>
      </c>
      <c r="M46" s="74" t="s">
        <v>1260</v>
      </c>
      <c r="N46" s="74" t="s">
        <v>1261</v>
      </c>
      <c r="O46" s="74" t="s">
        <v>1262</v>
      </c>
    </row>
    <row r="47" spans="2:15">
      <c r="C47" s="74" t="s">
        <v>1263</v>
      </c>
      <c r="D47" s="74" t="s">
        <v>1264</v>
      </c>
      <c r="E47" s="74" t="s">
        <v>1265</v>
      </c>
      <c r="F47" s="74" t="s">
        <v>1266</v>
      </c>
      <c r="H47" s="74" t="s">
        <v>1267</v>
      </c>
      <c r="I47" s="74" t="s">
        <v>1268</v>
      </c>
      <c r="J47" s="74" t="s">
        <v>1269</v>
      </c>
      <c r="K47" s="74" t="s">
        <v>1270</v>
      </c>
      <c r="L47" s="74" t="s">
        <v>1271</v>
      </c>
      <c r="M47" s="74" t="s">
        <v>1272</v>
      </c>
      <c r="N47" s="74" t="s">
        <v>1273</v>
      </c>
      <c r="O47" s="74" t="s">
        <v>1274</v>
      </c>
    </row>
    <row r="48" spans="2:15">
      <c r="B48" s="74"/>
      <c r="C48" s="74" t="s">
        <v>1275</v>
      </c>
      <c r="D48" s="74" t="s">
        <v>1276</v>
      </c>
      <c r="E48" s="74" t="s">
        <v>1277</v>
      </c>
      <c r="F48" s="74" t="s">
        <v>1278</v>
      </c>
      <c r="H48" s="74" t="s">
        <v>1279</v>
      </c>
      <c r="I48" s="74" t="s">
        <v>1280</v>
      </c>
      <c r="J48" s="74" t="s">
        <v>1281</v>
      </c>
      <c r="K48" s="74" t="s">
        <v>1282</v>
      </c>
      <c r="L48" s="74" t="s">
        <v>1283</v>
      </c>
      <c r="M48" s="74" t="s">
        <v>1284</v>
      </c>
      <c r="N48" s="74" t="s">
        <v>1285</v>
      </c>
      <c r="O48" s="74" t="s">
        <v>1286</v>
      </c>
    </row>
    <row r="49" spans="2:15">
      <c r="C49" s="74" t="s">
        <v>1287</v>
      </c>
      <c r="D49" s="74" t="s">
        <v>1288</v>
      </c>
      <c r="E49" s="74" t="s">
        <v>1289</v>
      </c>
      <c r="F49" s="74" t="s">
        <v>1290</v>
      </c>
      <c r="H49" s="74" t="s">
        <v>1291</v>
      </c>
      <c r="I49" s="74" t="s">
        <v>1292</v>
      </c>
      <c r="J49" s="74" t="s">
        <v>1293</v>
      </c>
      <c r="K49" s="74" t="s">
        <v>1294</v>
      </c>
      <c r="L49" s="74" t="s">
        <v>1295</v>
      </c>
      <c r="M49" s="74" t="s">
        <v>1296</v>
      </c>
      <c r="N49" s="74"/>
      <c r="O49" s="74" t="s">
        <v>1297</v>
      </c>
    </row>
    <row r="50" spans="2:15">
      <c r="C50" s="74" t="s">
        <v>1298</v>
      </c>
      <c r="D50" s="74" t="s">
        <v>1299</v>
      </c>
      <c r="E50" s="74" t="s">
        <v>1300</v>
      </c>
      <c r="F50" s="74" t="s">
        <v>1301</v>
      </c>
      <c r="H50" s="74" t="s">
        <v>1302</v>
      </c>
      <c r="I50" s="74" t="s">
        <v>1303</v>
      </c>
      <c r="J50" s="74" t="s">
        <v>1304</v>
      </c>
      <c r="K50" s="74" t="s">
        <v>1305</v>
      </c>
      <c r="M50" s="74" t="s">
        <v>1306</v>
      </c>
      <c r="O50" s="74" t="s">
        <v>1307</v>
      </c>
    </row>
    <row r="51" spans="2:15">
      <c r="C51" s="74" t="s">
        <v>1308</v>
      </c>
      <c r="E51" s="74" t="s">
        <v>1309</v>
      </c>
      <c r="F51" s="74" t="s">
        <v>1310</v>
      </c>
      <c r="H51" s="74" t="s">
        <v>1311</v>
      </c>
      <c r="I51" s="74" t="s">
        <v>1312</v>
      </c>
      <c r="J51" s="74" t="s">
        <v>1313</v>
      </c>
      <c r="K51" s="74" t="s">
        <v>1314</v>
      </c>
      <c r="M51" s="74" t="s">
        <v>1315</v>
      </c>
      <c r="O51" s="74" t="s">
        <v>1316</v>
      </c>
    </row>
    <row r="52" spans="2:15">
      <c r="D52" s="74"/>
      <c r="E52" s="74" t="s">
        <v>1317</v>
      </c>
      <c r="F52" s="74" t="s">
        <v>1318</v>
      </c>
      <c r="H52" s="74" t="s">
        <v>1319</v>
      </c>
      <c r="I52" s="74" t="s">
        <v>1320</v>
      </c>
      <c r="K52" s="74" t="s">
        <v>1321</v>
      </c>
      <c r="O52" s="74" t="s">
        <v>1322</v>
      </c>
    </row>
    <row r="53" spans="2:15">
      <c r="E53" s="74" t="s">
        <v>1323</v>
      </c>
      <c r="F53" s="74" t="s">
        <v>1324</v>
      </c>
      <c r="H53" s="74" t="s">
        <v>1325</v>
      </c>
      <c r="I53" s="74" t="s">
        <v>1326</v>
      </c>
      <c r="K53" s="74" t="s">
        <v>1327</v>
      </c>
    </row>
    <row r="54" spans="2:15">
      <c r="E54" s="74"/>
      <c r="F54" s="74" t="s">
        <v>1328</v>
      </c>
      <c r="H54" s="74" t="s">
        <v>1329</v>
      </c>
      <c r="I54" s="74" t="s">
        <v>1330</v>
      </c>
      <c r="K54" s="74" t="s">
        <v>1331</v>
      </c>
    </row>
    <row r="55" spans="2:15">
      <c r="F55" s="74" t="s">
        <v>1332</v>
      </c>
      <c r="H55" s="74" t="s">
        <v>1333</v>
      </c>
      <c r="I55" s="74" t="s">
        <v>1334</v>
      </c>
      <c r="K55" s="74" t="s">
        <v>1335</v>
      </c>
    </row>
    <row r="56" spans="2:15">
      <c r="F56" s="74" t="s">
        <v>1336</v>
      </c>
      <c r="H56" s="74" t="s">
        <v>1337</v>
      </c>
      <c r="I56" s="74" t="s">
        <v>1338</v>
      </c>
      <c r="K56" s="74" t="s">
        <v>1339</v>
      </c>
    </row>
    <row r="57" spans="2:15">
      <c r="F57" s="74" t="s">
        <v>1340</v>
      </c>
      <c r="H57" s="74" t="s">
        <v>1341</v>
      </c>
      <c r="I57" s="74" t="s">
        <v>1342</v>
      </c>
      <c r="K57" s="74" t="s">
        <v>1343</v>
      </c>
    </row>
    <row r="58" spans="2:15">
      <c r="F58" s="74" t="s">
        <v>1344</v>
      </c>
      <c r="H58" s="74" t="s">
        <v>1345</v>
      </c>
      <c r="I58" s="74" t="s">
        <v>1346</v>
      </c>
    </row>
    <row r="59" spans="2:15">
      <c r="B59" s="74"/>
      <c r="H59" s="74" t="s">
        <v>1347</v>
      </c>
      <c r="I59" s="74"/>
      <c r="K59" s="74"/>
    </row>
    <row r="60" spans="2:15">
      <c r="C60" s="76" t="s">
        <v>1348</v>
      </c>
      <c r="E60" s="76" t="s">
        <v>1349</v>
      </c>
      <c r="G60" t="s">
        <v>1350</v>
      </c>
      <c r="I60" s="76" t="s">
        <v>1351</v>
      </c>
    </row>
    <row r="61" spans="2:15">
      <c r="C61" t="s">
        <v>1352</v>
      </c>
      <c r="D61" s="80">
        <v>100</v>
      </c>
      <c r="E61" s="76" t="s">
        <v>1353</v>
      </c>
      <c r="F61">
        <v>100</v>
      </c>
      <c r="G61" t="s">
        <v>1354</v>
      </c>
      <c r="H61">
        <v>100</v>
      </c>
      <c r="I61" s="76" t="s">
        <v>1355</v>
      </c>
      <c r="J61" s="81">
        <v>100</v>
      </c>
      <c r="K61" s="74"/>
    </row>
    <row r="62" spans="2:15">
      <c r="C62" s="76" t="s">
        <v>1356</v>
      </c>
      <c r="D62" s="80">
        <v>60</v>
      </c>
      <c r="E62" s="76" t="s">
        <v>1357</v>
      </c>
      <c r="F62">
        <v>60</v>
      </c>
      <c r="G62" s="76" t="s">
        <v>1358</v>
      </c>
      <c r="H62">
        <v>60</v>
      </c>
      <c r="I62" s="74" t="s">
        <v>1359</v>
      </c>
      <c r="J62" s="81">
        <v>60</v>
      </c>
    </row>
    <row r="63" spans="2:15">
      <c r="C63" t="s">
        <v>1360</v>
      </c>
      <c r="D63" s="80">
        <v>20</v>
      </c>
      <c r="E63" s="76" t="s">
        <v>1361</v>
      </c>
      <c r="F63" s="74">
        <v>40</v>
      </c>
      <c r="G63" s="76" t="s">
        <v>1362</v>
      </c>
      <c r="H63" s="74">
        <v>40</v>
      </c>
      <c r="I63" s="74" t="s">
        <v>1363</v>
      </c>
      <c r="J63" s="81">
        <v>20</v>
      </c>
    </row>
    <row r="64" spans="2:15">
      <c r="E64" s="76" t="s">
        <v>1364</v>
      </c>
      <c r="F64">
        <v>0</v>
      </c>
      <c r="G64" t="s">
        <v>1365</v>
      </c>
      <c r="H64">
        <v>0</v>
      </c>
      <c r="I64" s="74" t="s">
        <v>1366</v>
      </c>
      <c r="J64" s="81">
        <v>0</v>
      </c>
    </row>
    <row r="65" spans="2:11">
      <c r="I65" s="74" t="s">
        <v>1367</v>
      </c>
      <c r="J65" t="s">
        <v>1368</v>
      </c>
    </row>
    <row r="68" spans="2:11">
      <c r="F68" s="74"/>
    </row>
    <row r="70" spans="2:11">
      <c r="B70" s="74"/>
      <c r="K70" s="75"/>
    </row>
    <row r="71" spans="2:11">
      <c r="B71" s="74"/>
    </row>
    <row r="86" spans="2:11">
      <c r="B86" s="75"/>
    </row>
    <row r="87" spans="2:11">
      <c r="F87" s="74" t="s">
        <v>1369</v>
      </c>
      <c r="K87" s="75"/>
    </row>
    <row r="110" spans="6:6">
      <c r="F110" s="74"/>
    </row>
    <row r="121" spans="6:6">
      <c r="F121" s="74"/>
    </row>
  </sheetData>
  <sheetProtection algorithmName="SHA-512" hashValue="ir0+NBvpf7lUGCyLq83BfIlGTJJDDh7Zqx/6H1WQLKHvds4O7oC70fmP58jV8I3NJf/sDem/sbCBokcKmezj7w==" saltValue="SVpnOM6QaQMttH5ezqZ/Tw==" spinCount="100000" sheet="1" objects="1" scenarios="1"/>
  <sortState ref="C20:D93">
    <sortCondition ref="D20:D93"/>
  </sortState>
  <mergeCells count="3">
    <mergeCell ref="G1:M1"/>
    <mergeCell ref="B12:H12"/>
    <mergeCell ref="B18:H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9"/>
  <sheetViews>
    <sheetView zoomScale="120" zoomScaleNormal="120" workbookViewId="0">
      <selection activeCell="E20" sqref="E20"/>
    </sheetView>
  </sheetViews>
  <sheetFormatPr baseColWidth="10" defaultColWidth="11.42578125" defaultRowHeight="15"/>
  <cols>
    <col min="2" max="2" width="2.140625" bestFit="1" customWidth="1"/>
    <col min="3" max="3" width="14.42578125" bestFit="1" customWidth="1"/>
    <col min="4" max="5" width="39.140625" customWidth="1"/>
  </cols>
  <sheetData>
    <row r="2" spans="2:5" ht="15.75" thickBot="1"/>
    <row r="3" spans="2:5">
      <c r="B3" s="544" t="s">
        <v>1370</v>
      </c>
      <c r="C3" s="545"/>
      <c r="D3" s="545"/>
      <c r="E3" s="546"/>
    </row>
    <row r="4" spans="2:5" ht="15.75" thickBot="1">
      <c r="B4" s="547" t="s">
        <v>1371</v>
      </c>
      <c r="C4" s="548"/>
      <c r="D4" s="112" t="s">
        <v>1372</v>
      </c>
      <c r="E4" s="82" t="s">
        <v>1373</v>
      </c>
    </row>
    <row r="5" spans="2:5" ht="25.5">
      <c r="B5" s="83">
        <v>5</v>
      </c>
      <c r="C5" s="84" t="s">
        <v>63</v>
      </c>
      <c r="D5" s="85" t="s">
        <v>1374</v>
      </c>
      <c r="E5" s="86" t="s">
        <v>1375</v>
      </c>
    </row>
    <row r="6" spans="2:5" ht="25.5">
      <c r="B6" s="87">
        <v>4</v>
      </c>
      <c r="C6" s="296" t="s">
        <v>53</v>
      </c>
      <c r="D6" s="297" t="s">
        <v>1376</v>
      </c>
      <c r="E6" s="88" t="s">
        <v>1377</v>
      </c>
    </row>
    <row r="7" spans="2:5" ht="25.5">
      <c r="B7" s="87">
        <v>3</v>
      </c>
      <c r="C7" s="296" t="s">
        <v>44</v>
      </c>
      <c r="D7" s="297" t="s">
        <v>1378</v>
      </c>
      <c r="E7" s="88" t="s">
        <v>1379</v>
      </c>
    </row>
    <row r="8" spans="2:5" ht="25.5">
      <c r="B8" s="87">
        <v>2</v>
      </c>
      <c r="C8" s="296" t="s">
        <v>31</v>
      </c>
      <c r="D8" s="297" t="s">
        <v>1380</v>
      </c>
      <c r="E8" s="88" t="s">
        <v>1381</v>
      </c>
    </row>
    <row r="9" spans="2:5" ht="26.25" thickBot="1">
      <c r="B9" s="89">
        <v>1</v>
      </c>
      <c r="C9" s="90" t="s">
        <v>1382</v>
      </c>
      <c r="D9" s="91" t="s">
        <v>1383</v>
      </c>
      <c r="E9" s="92" t="s">
        <v>1384</v>
      </c>
    </row>
  </sheetData>
  <sheetProtection algorithmName="SHA-512" hashValue="YCjIHHY7/gVy63gS5EtK4CtmItvBNGmFK2Wt4gKOD19AXGdL6Mo68oy+vEZdfdIQH038XPdtUKqShEMZCwvZ2A==" saltValue="NqEw9QCXL6YpHoOPUIbsjQ==" spinCount="100000" sheet="1" objects="1" scenarios="1"/>
  <mergeCells count="2">
    <mergeCell ref="B3:E3"/>
    <mergeCell ref="B4:C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16"/>
  <sheetViews>
    <sheetView topLeftCell="B1" workbookViewId="0">
      <selection activeCell="G7" sqref="G7"/>
    </sheetView>
  </sheetViews>
  <sheetFormatPr baseColWidth="10" defaultColWidth="11.42578125" defaultRowHeight="15"/>
  <cols>
    <col min="3" max="3" width="24.85546875" bestFit="1" customWidth="1"/>
    <col min="4" max="4" width="53.28515625" bestFit="1" customWidth="1"/>
    <col min="5" max="5" width="45.5703125" bestFit="1" customWidth="1"/>
    <col min="6" max="6" width="30.5703125" customWidth="1"/>
    <col min="7" max="7" width="18.7109375" customWidth="1"/>
  </cols>
  <sheetData>
    <row r="3" spans="3:9" ht="15.75" thickBot="1"/>
    <row r="4" spans="3:9">
      <c r="C4" s="549" t="s">
        <v>1385</v>
      </c>
      <c r="D4" s="550"/>
      <c r="E4" s="550"/>
      <c r="F4" s="550"/>
      <c r="G4" s="551"/>
    </row>
    <row r="5" spans="3:9" ht="15.75" thickBot="1">
      <c r="C5" s="552"/>
      <c r="D5" s="553"/>
      <c r="E5" s="553"/>
      <c r="F5" s="553"/>
      <c r="G5" s="554"/>
    </row>
    <row r="6" spans="3:9">
      <c r="C6" s="24"/>
      <c r="D6" s="24"/>
      <c r="E6" s="24"/>
      <c r="F6" s="24"/>
      <c r="G6" s="24"/>
    </row>
    <row r="7" spans="3:9">
      <c r="C7" t="s">
        <v>1372</v>
      </c>
      <c r="D7" t="s">
        <v>1386</v>
      </c>
      <c r="E7" t="s">
        <v>1387</v>
      </c>
      <c r="F7" t="s">
        <v>1388</v>
      </c>
      <c r="G7" t="s">
        <v>1389</v>
      </c>
    </row>
    <row r="8" spans="3:9" ht="70.5" customHeight="1">
      <c r="C8" s="23"/>
      <c r="D8" s="23" t="s">
        <v>1390</v>
      </c>
      <c r="E8" s="23" t="s">
        <v>1391</v>
      </c>
      <c r="F8" s="23" t="s">
        <v>1392</v>
      </c>
      <c r="G8" s="23" t="s">
        <v>1393</v>
      </c>
    </row>
    <row r="9" spans="3:9" ht="75">
      <c r="C9" s="23"/>
      <c r="D9" s="23" t="s">
        <v>1394</v>
      </c>
    </row>
    <row r="10" spans="3:9">
      <c r="C10" s="23"/>
    </row>
    <row r="11" spans="3:9">
      <c r="C11" s="23"/>
    </row>
    <row r="16" spans="3:9">
      <c r="I16" s="23"/>
    </row>
  </sheetData>
  <mergeCells count="1">
    <mergeCell ref="C4:G5"/>
  </mergeCell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8"/>
  <sheetViews>
    <sheetView topLeftCell="J1" workbookViewId="0">
      <selection activeCell="S7" sqref="S7"/>
    </sheetView>
  </sheetViews>
  <sheetFormatPr baseColWidth="10" defaultColWidth="11.42578125" defaultRowHeight="15"/>
  <cols>
    <col min="2" max="2" width="13.85546875" customWidth="1"/>
    <col min="3" max="3" width="11.42578125" customWidth="1"/>
    <col min="4" max="4" width="13.28515625" customWidth="1"/>
    <col min="5" max="5" width="12.28515625" bestFit="1" customWidth="1"/>
    <col min="6" max="6" width="23.5703125" customWidth="1"/>
    <col min="7" max="7" width="24.85546875" customWidth="1"/>
    <col min="8" max="8" width="17.7109375" customWidth="1"/>
    <col min="10" max="10" width="17.140625" customWidth="1"/>
    <col min="11" max="11" width="19.5703125" customWidth="1"/>
    <col min="12" max="12" width="37.28515625" customWidth="1"/>
    <col min="13" max="13" width="21.42578125" customWidth="1"/>
  </cols>
  <sheetData>
    <row r="2" spans="2:16">
      <c r="B2" s="10" t="s">
        <v>1</v>
      </c>
      <c r="C2" s="10" t="s">
        <v>1</v>
      </c>
      <c r="D2" s="10" t="s">
        <v>3</v>
      </c>
      <c r="E2" s="10" t="s">
        <v>5</v>
      </c>
      <c r="F2" s="10" t="s">
        <v>6</v>
      </c>
      <c r="G2" s="10" t="s">
        <v>7</v>
      </c>
      <c r="H2" s="10" t="s">
        <v>8</v>
      </c>
      <c r="J2" s="10" t="s">
        <v>5</v>
      </c>
      <c r="K2" s="10" t="s">
        <v>6</v>
      </c>
      <c r="L2" s="10" t="s">
        <v>9</v>
      </c>
      <c r="O2" s="10" t="s">
        <v>10</v>
      </c>
    </row>
    <row r="3" spans="2:16">
      <c r="B3" t="s">
        <v>1395</v>
      </c>
      <c r="C3" t="s">
        <v>1396</v>
      </c>
      <c r="D3" t="s">
        <v>1397</v>
      </c>
      <c r="E3" s="11" t="s">
        <v>17</v>
      </c>
      <c r="F3" s="11" t="s">
        <v>18</v>
      </c>
      <c r="G3" t="s">
        <v>19</v>
      </c>
      <c r="H3" t="s">
        <v>20</v>
      </c>
      <c r="J3" s="11" t="s">
        <v>21</v>
      </c>
      <c r="K3" s="11" t="s">
        <v>18</v>
      </c>
      <c r="L3" t="s">
        <v>22</v>
      </c>
      <c r="M3" t="s">
        <v>23</v>
      </c>
      <c r="O3" t="s">
        <v>1398</v>
      </c>
      <c r="P3" t="s">
        <v>24</v>
      </c>
    </row>
    <row r="4" spans="2:16">
      <c r="B4" t="s">
        <v>1399</v>
      </c>
      <c r="C4" t="s">
        <v>1400</v>
      </c>
      <c r="D4" t="s">
        <v>52</v>
      </c>
      <c r="E4" s="11" t="s">
        <v>31</v>
      </c>
      <c r="F4" s="11" t="s">
        <v>32</v>
      </c>
      <c r="G4" s="11" t="s">
        <v>33</v>
      </c>
      <c r="H4" t="s">
        <v>34</v>
      </c>
      <c r="J4" s="11" t="s">
        <v>31</v>
      </c>
      <c r="K4" s="11" t="s">
        <v>32</v>
      </c>
      <c r="L4" t="s">
        <v>35</v>
      </c>
      <c r="M4" t="s">
        <v>23</v>
      </c>
      <c r="O4" t="s">
        <v>36</v>
      </c>
      <c r="P4" t="s">
        <v>37</v>
      </c>
    </row>
    <row r="5" spans="2:16">
      <c r="B5" t="s">
        <v>1401</v>
      </c>
      <c r="C5" t="s">
        <v>1402</v>
      </c>
      <c r="D5" t="s">
        <v>69</v>
      </c>
      <c r="E5" s="11" t="s">
        <v>42</v>
      </c>
      <c r="F5" s="11" t="s">
        <v>36</v>
      </c>
      <c r="G5" t="s">
        <v>43</v>
      </c>
      <c r="J5" s="11" t="s">
        <v>44</v>
      </c>
      <c r="K5" s="11" t="s">
        <v>36</v>
      </c>
      <c r="L5" t="s">
        <v>45</v>
      </c>
      <c r="M5" t="s">
        <v>36</v>
      </c>
      <c r="O5" t="s">
        <v>46</v>
      </c>
      <c r="P5" t="s">
        <v>47</v>
      </c>
    </row>
    <row r="6" spans="2:16">
      <c r="B6" t="s">
        <v>1403</v>
      </c>
      <c r="C6" t="s">
        <v>1403</v>
      </c>
      <c r="D6" t="s">
        <v>62</v>
      </c>
      <c r="E6" s="11" t="s">
        <v>53</v>
      </c>
      <c r="F6" s="11" t="s">
        <v>54</v>
      </c>
      <c r="G6" t="s">
        <v>55</v>
      </c>
      <c r="J6" s="11" t="s">
        <v>53</v>
      </c>
      <c r="K6" s="11" t="s">
        <v>54</v>
      </c>
      <c r="L6" t="s">
        <v>56</v>
      </c>
      <c r="M6" t="s">
        <v>46</v>
      </c>
      <c r="O6" t="s">
        <v>57</v>
      </c>
      <c r="P6" t="s">
        <v>58</v>
      </c>
    </row>
    <row r="7" spans="2:16">
      <c r="B7" t="s">
        <v>1404</v>
      </c>
      <c r="C7" t="s">
        <v>1405</v>
      </c>
      <c r="D7" t="s">
        <v>15</v>
      </c>
      <c r="E7" s="11" t="s">
        <v>63</v>
      </c>
      <c r="F7" s="11" t="s">
        <v>64</v>
      </c>
      <c r="G7" s="11"/>
      <c r="J7" s="11" t="s">
        <v>63</v>
      </c>
      <c r="K7" s="11" t="s">
        <v>64</v>
      </c>
      <c r="L7" t="s">
        <v>65</v>
      </c>
      <c r="M7" t="s">
        <v>57</v>
      </c>
    </row>
    <row r="8" spans="2:16">
      <c r="B8" t="s">
        <v>1405</v>
      </c>
      <c r="C8" t="s">
        <v>1404</v>
      </c>
      <c r="D8" t="s">
        <v>41</v>
      </c>
      <c r="L8" t="s">
        <v>70</v>
      </c>
      <c r="M8" t="s">
        <v>23</v>
      </c>
    </row>
    <row r="9" spans="2:16">
      <c r="B9" t="s">
        <v>1400</v>
      </c>
      <c r="C9" t="s">
        <v>1399</v>
      </c>
      <c r="D9" t="s">
        <v>29</v>
      </c>
      <c r="L9" t="s">
        <v>73</v>
      </c>
      <c r="M9" t="s">
        <v>23</v>
      </c>
    </row>
    <row r="10" spans="2:16">
      <c r="B10" t="s">
        <v>1406</v>
      </c>
      <c r="C10" t="s">
        <v>1407</v>
      </c>
      <c r="L10" t="s">
        <v>76</v>
      </c>
      <c r="M10" t="s">
        <v>36</v>
      </c>
    </row>
    <row r="11" spans="2:16">
      <c r="B11" t="s">
        <v>1396</v>
      </c>
      <c r="C11" t="s">
        <v>92</v>
      </c>
      <c r="L11" t="s">
        <v>78</v>
      </c>
      <c r="M11" t="s">
        <v>46</v>
      </c>
    </row>
    <row r="12" spans="2:16">
      <c r="B12" t="s">
        <v>1408</v>
      </c>
      <c r="C12" t="s">
        <v>1408</v>
      </c>
      <c r="L12" t="s">
        <v>81</v>
      </c>
      <c r="M12" t="s">
        <v>57</v>
      </c>
    </row>
    <row r="13" spans="2:16">
      <c r="B13" t="s">
        <v>1409</v>
      </c>
      <c r="C13" t="s">
        <v>1410</v>
      </c>
      <c r="L13" t="s">
        <v>85</v>
      </c>
      <c r="M13" t="s">
        <v>23</v>
      </c>
    </row>
    <row r="14" spans="2:16">
      <c r="B14" t="s">
        <v>1402</v>
      </c>
      <c r="C14" t="s">
        <v>98</v>
      </c>
      <c r="L14" t="s">
        <v>88</v>
      </c>
      <c r="M14" t="s">
        <v>36</v>
      </c>
    </row>
    <row r="15" spans="2:16">
      <c r="B15" t="s">
        <v>1410</v>
      </c>
      <c r="C15" t="s">
        <v>86</v>
      </c>
      <c r="L15" t="s">
        <v>91</v>
      </c>
      <c r="M15" t="s">
        <v>46</v>
      </c>
    </row>
    <row r="16" spans="2:16">
      <c r="B16" t="s">
        <v>1411</v>
      </c>
      <c r="C16" t="s">
        <v>1412</v>
      </c>
      <c r="L16" t="s">
        <v>94</v>
      </c>
      <c r="M16" t="s">
        <v>57</v>
      </c>
    </row>
    <row r="17" spans="2:13">
      <c r="B17" t="s">
        <v>98</v>
      </c>
      <c r="C17" t="s">
        <v>1413</v>
      </c>
      <c r="L17" t="s">
        <v>97</v>
      </c>
      <c r="M17" t="s">
        <v>57</v>
      </c>
    </row>
    <row r="18" spans="2:13">
      <c r="B18" t="s">
        <v>1414</v>
      </c>
      <c r="C18" t="s">
        <v>1414</v>
      </c>
      <c r="L18" t="s">
        <v>100</v>
      </c>
      <c r="M18" t="s">
        <v>36</v>
      </c>
    </row>
    <row r="19" spans="2:13">
      <c r="B19" t="s">
        <v>1413</v>
      </c>
      <c r="C19" t="s">
        <v>1401</v>
      </c>
      <c r="L19" t="s">
        <v>103</v>
      </c>
      <c r="M19" t="s">
        <v>46</v>
      </c>
    </row>
    <row r="20" spans="2:13">
      <c r="B20" t="s">
        <v>92</v>
      </c>
      <c r="C20" t="s">
        <v>1411</v>
      </c>
      <c r="L20" t="s">
        <v>106</v>
      </c>
      <c r="M20" t="s">
        <v>46</v>
      </c>
    </row>
    <row r="21" spans="2:13">
      <c r="B21" t="s">
        <v>86</v>
      </c>
      <c r="C21" t="s">
        <v>1406</v>
      </c>
      <c r="L21" t="s">
        <v>107</v>
      </c>
      <c r="M21" t="s">
        <v>57</v>
      </c>
    </row>
    <row r="22" spans="2:13">
      <c r="B22" t="s">
        <v>1412</v>
      </c>
      <c r="C22" t="s">
        <v>1409</v>
      </c>
      <c r="L22" t="s">
        <v>108</v>
      </c>
      <c r="M22" t="s">
        <v>57</v>
      </c>
    </row>
    <row r="23" spans="2:13">
      <c r="B23" t="s">
        <v>1407</v>
      </c>
      <c r="C23" t="s">
        <v>1395</v>
      </c>
      <c r="L23" t="s">
        <v>109</v>
      </c>
      <c r="M23" t="s">
        <v>46</v>
      </c>
    </row>
    <row r="24" spans="2:13">
      <c r="L24" t="s">
        <v>110</v>
      </c>
      <c r="M24" t="s">
        <v>46</v>
      </c>
    </row>
    <row r="25" spans="2:13">
      <c r="B25" s="10" t="s">
        <v>111</v>
      </c>
      <c r="D25" s="10" t="s">
        <v>113</v>
      </c>
      <c r="F25" s="10" t="s">
        <v>114</v>
      </c>
      <c r="L25" t="s">
        <v>115</v>
      </c>
      <c r="M25" t="s">
        <v>57</v>
      </c>
    </row>
    <row r="26" spans="2:13">
      <c r="B26" t="s">
        <v>116</v>
      </c>
      <c r="D26" t="s">
        <v>25</v>
      </c>
      <c r="F26" t="s">
        <v>20</v>
      </c>
      <c r="L26" t="s">
        <v>119</v>
      </c>
      <c r="M26" t="s">
        <v>57</v>
      </c>
    </row>
    <row r="27" spans="2:13">
      <c r="B27" t="s">
        <v>120</v>
      </c>
      <c r="D27" t="s">
        <v>36</v>
      </c>
      <c r="F27" t="s">
        <v>123</v>
      </c>
      <c r="L27" t="s">
        <v>124</v>
      </c>
      <c r="M27" t="s">
        <v>57</v>
      </c>
    </row>
    <row r="28" spans="2:13">
      <c r="D28" t="s">
        <v>48</v>
      </c>
    </row>
  </sheetData>
  <sheetProtection algorithmName="SHA-512" hashValue="NPKkYXgavLSzkSgJQaknIt700GWt4nvdm9YyMBFp1mKE7NScaYdnftH9NCEixnWAF+neYR5N8Xd7AULtGR6wIw==" saltValue="W5Hho+MnLKu7AHwbVgeFAg==" spinCount="100000" sheet="1" objects="1" scenarios="1"/>
  <customSheetViews>
    <customSheetView guid="{F8FDF2EC-A9AD-41AC-8138-AA3657B53E6D}" state="hidden" topLeftCell="C1">
      <selection activeCell="F23" sqref="F23"/>
      <pageMargins left="0" right="0" top="0" bottom="0" header="0" footer="0"/>
      <pageSetup orientation="portrait" r:id="rId1"/>
    </customSheetView>
    <customSheetView guid="{795C8354-6623-430F-B16F-866AD45BC174}" state="hidden" topLeftCell="C1">
      <selection activeCell="F23" sqref="F23"/>
      <pageMargins left="0" right="0" top="0" bottom="0" header="0" footer="0"/>
      <pageSetup orientation="portrait" r:id="rId2"/>
    </customSheetView>
    <customSheetView guid="{82BC0C9B-70E2-44EC-8408-64CC9B36E280}" state="hidden" topLeftCell="C1">
      <selection activeCell="F23" sqref="F23"/>
      <pageMargins left="0" right="0" top="0" bottom="0" header="0" footer="0"/>
      <pageSetup orientation="portrait" r:id="rId3"/>
    </customSheetView>
  </customSheetView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2TV4CCKVFCYA-1167877901-1439</_dlc_DocId>
    <_dlc_DocIdUrl xmlns="81cc8fc0-8d1e-4295-8f37-5d076116407c">
      <Url>https://www.minjusticia.gov.co/ministerio/_layouts/15/DocIdRedir.aspx?ID=2TV4CCKVFCYA-1167877901-1439</Url>
      <Description>2TV4CCKVFCYA-1167877901-1439</Description>
    </_dlc_DocIdUrl>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7C039C-E796-435E-B1E0-B1A5579BB542}">
  <ds:schemaRefs>
    <ds:schemaRef ds:uri="http://schemas.microsoft.com/sharepoint/events"/>
  </ds:schemaRefs>
</ds:datastoreItem>
</file>

<file path=customXml/itemProps2.xml><?xml version="1.0" encoding="utf-8"?>
<ds:datastoreItem xmlns:ds="http://schemas.openxmlformats.org/officeDocument/2006/customXml" ds:itemID="{D0F91076-7D7D-4422-B8FD-D184BE531F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1cc8fc0-8d1e-4295-8f37-5d0761164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1A7456-32F0-4857-AC4B-929E42F9FF2A}">
  <ds:schemaRefs>
    <ds:schemaRef ds:uri="http://www.w3.org/XML/1998/namespace"/>
    <ds:schemaRef ds:uri="http://schemas.microsoft.com/sharepoint/v3"/>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81cc8fc0-8d1e-4295-8f37-5d076116407c"/>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482869FB-31B7-4FEC-9920-1ECC3D0AAB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44</vt:i4>
      </vt:variant>
    </vt:vector>
  </HeadingPairs>
  <TitlesOfParts>
    <vt:vector size="56" baseType="lpstr">
      <vt:lpstr>Listados</vt:lpstr>
      <vt:lpstr>Matriz Riesgos Gestión</vt:lpstr>
      <vt:lpstr>Matriz Riesgos Corrupción</vt:lpstr>
      <vt:lpstr>Hoja1</vt:lpstr>
      <vt:lpstr>Matriz Riesgos Seg. Información</vt:lpstr>
      <vt:lpstr>Seguridad Información</vt:lpstr>
      <vt:lpstr>Probabilidad Seguridad Informac</vt:lpstr>
      <vt:lpstr>Riesgo Corrupción</vt:lpstr>
      <vt:lpstr>Corrupción</vt:lpstr>
      <vt:lpstr>CONTROLES</vt:lpstr>
      <vt:lpstr>Matriz de calificación</vt:lpstr>
      <vt:lpstr>Matriz de calificación (2)</vt:lpstr>
      <vt:lpstr>_10._CIFRADO.</vt:lpstr>
      <vt:lpstr>_11._SEGURIDAD_FÍSICA_Y_AMBIENTAL.</vt:lpstr>
      <vt:lpstr>_12._SEGURIDAD_EN_LA_OPERATIVA.</vt:lpstr>
      <vt:lpstr>_13._SEGURIDAD_EN_LAS_TELECOMUNICACIONES.</vt:lpstr>
      <vt:lpstr>_14._ADQUISICIÓN__DESARROLLO_Y_MANTENIMIENTO_DE_LOS_SISTEMAS_DE_INFORMACIÓN.</vt:lpstr>
      <vt:lpstr>_15._RELACIONES_CON_SUMINISTRADORES.</vt:lpstr>
      <vt:lpstr>_16._GESTIÓN_DE_INCIDENTES_EN_LA_SEGURIDAD_DE_LA_INFORMACIÓN.</vt:lpstr>
      <vt:lpstr>_17._ASPECTOS_DE_SEGURIDAD_DE_LA_INFORMACION_EN_LA_GESTIÓN_DE_LA_CONTINUIDAD_DEL_NEGOCIO.</vt:lpstr>
      <vt:lpstr>_18._CUMPLIMIENTO.</vt:lpstr>
      <vt:lpstr>_5._POLÍTICAS_DE_SEGURIDAD.</vt:lpstr>
      <vt:lpstr>_6._ASPECTOS_ORGANIZATIVOS_DE_LA_SEGURIDAD_DE_LA_INFORMAC.</vt:lpstr>
      <vt:lpstr>_7._SEGURIDAD_LIGADA_A_LOS_RECURSOS_HUMANOS.</vt:lpstr>
      <vt:lpstr>_8._GESTIÓN_DE_ACTIVOS.</vt:lpstr>
      <vt:lpstr>_9._CONTROL_DE_ACCESOS.</vt:lpstr>
      <vt:lpstr>'Matriz Riesgos Corrupción'!Área_de_impresión</vt:lpstr>
      <vt:lpstr>'Matriz Riesgos Gestión'!Área_de_impresión</vt:lpstr>
      <vt:lpstr>'Matriz Riesgos Seg. Información'!Área_de_impresión</vt:lpstr>
      <vt:lpstr>CD</vt:lpstr>
      <vt:lpstr>CI</vt:lpstr>
      <vt:lpstr>CID</vt:lpstr>
      <vt:lpstr>Confidencialidad</vt:lpstr>
      <vt:lpstr>CONFIDENCIALIDAD.</vt:lpstr>
      <vt:lpstr>CONFIDENCIALIDAD_</vt:lpstr>
      <vt:lpstr>Confidencialidad_Disponibilidad</vt:lpstr>
      <vt:lpstr>CONFIDENCIALIDAD_DISPONIBILIDAD.</vt:lpstr>
      <vt:lpstr>CONFIDENCIALIDAD_DISPONIBILIDAD_</vt:lpstr>
      <vt:lpstr>Confidencialidad_integridad</vt:lpstr>
      <vt:lpstr>CONFIDENCIALIDAD_INTEGRIDAD.</vt:lpstr>
      <vt:lpstr>CONFIDENCIALIDAD_INTEGRIDAD_</vt:lpstr>
      <vt:lpstr>Confidencialidad_Integridad_Disponibilidad</vt:lpstr>
      <vt:lpstr>CONFIDENCIALIDAD_INTEGRIDAD_DISPONIBILIDAD.</vt:lpstr>
      <vt:lpstr>CONFIDENCIALIDAD_INTEGRIDAD_DISPONIBILIDAD_</vt:lpstr>
      <vt:lpstr>Disponibilidad</vt:lpstr>
      <vt:lpstr>DISPONIBILIDAD.</vt:lpstr>
      <vt:lpstr>DISPONIBILIDAD_</vt:lpstr>
      <vt:lpstr>Integridad</vt:lpstr>
      <vt:lpstr>INTEGRIDAD.</vt:lpstr>
      <vt:lpstr>INTEGRIDAD_</vt:lpstr>
      <vt:lpstr>Integridad_Disponibilidad</vt:lpstr>
      <vt:lpstr>INTEGRIDAD_DISPONIBILIDAD.</vt:lpstr>
      <vt:lpstr>INTEGRIDAD_DISPONIBILIDAD_</vt:lpstr>
      <vt:lpstr>'Matriz Riesgos Corrupción'!Títulos_a_imprimir</vt:lpstr>
      <vt:lpstr>'Matriz Riesgos Gestión'!Títulos_a_imprimir</vt:lpstr>
      <vt:lpstr>'Matriz Riesgos Seg. Información'!Títulos_a_imprimir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1. - Mapa de Riesgos de Corrupción Ministerio de Justicia y del Derecho</dc:title>
  <dc:subject/>
  <dc:creator>jose leonardo carrillo cortes</dc:creator>
  <cp:keywords/>
  <dc:description/>
  <cp:lastModifiedBy>USUARIO</cp:lastModifiedBy>
  <cp:revision/>
  <dcterms:created xsi:type="dcterms:W3CDTF">2014-12-15T18:53:48Z</dcterms:created>
  <dcterms:modified xsi:type="dcterms:W3CDTF">2024-01-31T10:43:14Z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bf49923a-eeab-4dff-959a-921cd5cadce5</vt:lpwstr>
  </property>
</Properties>
</file>