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lildia\OneDrive - minjusticia.gov.co\PAAC\Seguimiento 3er cuatrimestre\"/>
    </mc:Choice>
  </mc:AlternateContent>
  <bookViews>
    <workbookView xWindow="-120" yWindow="-120" windowWidth="20730" windowHeight="11760" tabRatio="859" activeTab="2"/>
  </bookViews>
  <sheets>
    <sheet name="Listados" sheetId="7" r:id="rId1"/>
    <sheet name="Matriz Riesgos Gestión" sheetId="10" state="hidden" r:id="rId2"/>
    <sheet name="Matriz Riesgos Corrupción" sheetId="6" r:id="rId3"/>
    <sheet name="Hoja1" sheetId="16" state="hidden" r:id="rId4"/>
    <sheet name="Matriz Riesgos Seg. Información" sheetId="12" state="hidden" r:id="rId5"/>
    <sheet name="Seguridad Información" sheetId="13" state="hidden" r:id="rId6"/>
    <sheet name="Probabilidad Seguridad Informac" sheetId="14" state="hidden" r:id="rId7"/>
    <sheet name="Riesgo Corrupción" sheetId="9" state="hidden" r:id="rId8"/>
    <sheet name="Corrupción" sheetId="5" state="hidden" r:id="rId9"/>
    <sheet name="CONTROLES" sheetId="11" state="hidden" r:id="rId10"/>
    <sheet name="Matriz de calificación" sheetId="4" state="hidden" r:id="rId11"/>
    <sheet name="Hoja" sheetId="17" state="hidden" r:id="rId12"/>
    <sheet name="Matriz de calificación (2)" sheetId="15"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10._CIFRADO.">'Seguridad Información'!$G$45:$G$46</definedName>
    <definedName name="_11._SEGURIDAD_FÍSICA_Y_AMBIENTAL.">'Seguridad Información'!$H$45:$H$59</definedName>
    <definedName name="_12._SEGURIDAD_EN_LA_OPERATIVA.">'Seguridad Información'!$I$45:$I$58</definedName>
    <definedName name="_13._SEGURIDAD_EN_LAS_TELECOMUNICACIONES.">'Seguridad Información'!$J$45:$J$51</definedName>
    <definedName name="_14._ADQUISICIÓN__DESARROLLO_Y_MANTENIMIENTO_DE_LOS_SISTEMAS_DE_INFORMACIÓN.">'Seguridad Información'!$K$45:$K$57</definedName>
    <definedName name="_15._RELACIONES_CON_SUMINISTRADORES.">'Seguridad Información'!$L$45:$L$49</definedName>
    <definedName name="_16._GESTIÓN_DE_INCIDENTES_EN_LA_SEGURIDAD_DE_LA_INFORMACIÓN.">'Seguridad Información'!$M$45:$M$51</definedName>
    <definedName name="_17._ASPECTOS_DE_SEGURIDAD_DE_LA_INFORMACION_EN_LA_GESTIÓN_DE_LA_CONTINUIDAD_DEL_NEGOCIO.">'Seguridad Información'!$N$45:$N$48</definedName>
    <definedName name="_18._CUMPLIMIENTO.">'Seguridad Información'!$O$45:$O$52</definedName>
    <definedName name="_5._POLÍTICAS_DE_SEGURIDAD.">'Seguridad Información'!$B$45:$B$46</definedName>
    <definedName name="_6._ASPECTOS_ORGANIZATIVOS_DE_LA_SEGURIDAD_DE_LA_INFORMAC.">'Seguridad Información'!$C$45:$C$51</definedName>
    <definedName name="_7._SEGURIDAD_LIGADA_A_LOS_RECURSOS_HUMANOS.">'Seguridad Información'!$D$45:$D$50</definedName>
    <definedName name="_8._GESTIÓN_DE_ACTIVOS.">'Seguridad Información'!$E$45:$E$53</definedName>
    <definedName name="_9._CONTROL_DE_ACCESOS.">'Seguridad Información'!$F$45:$F$58</definedName>
    <definedName name="_xlnm._FilterDatabase" localSheetId="2" hidden="1">'Matriz Riesgos Corrupción'!$A$6:$M$48</definedName>
    <definedName name="_xlnm._FilterDatabase" localSheetId="1" hidden="1">'Matriz Riesgos Gestión'!$A$6:$BD$366</definedName>
    <definedName name="_xlnm._FilterDatabase" localSheetId="4" hidden="1">'Matriz Riesgos Seg. Información'!$B$6:$BI$6</definedName>
    <definedName name="_xlnm.Print_Area" localSheetId="2">'Matriz Riesgos Corrupción'!$A$1:$BK$9</definedName>
    <definedName name="_xlnm.Print_Area" localSheetId="1">'Matriz Riesgos Gestión'!$A$1:$AU$13</definedName>
    <definedName name="_xlnm.Print_Area" localSheetId="4">'Matriz Riesgos Seg. Información'!$A$1:$BI$13</definedName>
    <definedName name="CD">'Seguridad Información'!$H$3</definedName>
    <definedName name="CI">'Seguridad Información'!$I$3:$I$5</definedName>
    <definedName name="CID">'Seguridad Información'!$J$3:$J$10</definedName>
    <definedName name="Confidencialidad">'Seguridad Información'!$G$3:$G$9</definedName>
    <definedName name="CONFIDENCIALIDAD.">'Seguridad Información'!$B$20:$B$32</definedName>
    <definedName name="CONFIDENCIALIDAD_">'Seguridad Información'!$B$14:$B$16</definedName>
    <definedName name="Confidencialidad_Disponibilidad">'Seguridad Información'!$H$3</definedName>
    <definedName name="CONFIDENCIALIDAD_DISPONIBILIDAD.">'Seguridad Información'!$F$20</definedName>
    <definedName name="CONFIDENCIALIDAD_DISPONIBILIDAD_">'Seguridad Información'!$F$14</definedName>
    <definedName name="Confidencialidad_integridad">'Seguridad Información'!$I$3:$I$5</definedName>
    <definedName name="CONFIDENCIALIDAD_INTEGRIDAD.">'Seguridad Información'!$E$20:$E$32</definedName>
    <definedName name="CONFIDENCIALIDAD_INTEGRIDAD_">'Seguridad Información'!$E$14</definedName>
    <definedName name="Confidencialidad_Integridad_Disponibilidad">'Seguridad Información'!$J$3:$J$10</definedName>
    <definedName name="CONFIDENCIALIDAD_INTEGRIDAD_DISPONIBILIDAD.">'Seguridad Información'!$H$20:$H$41</definedName>
    <definedName name="CONFIDENCIALIDAD_INTEGRIDAD_DISPONIBILIDAD_">'Seguridad Información'!$H$14:$H$17</definedName>
    <definedName name="Control_Existente">[1]Hoja4!$H$3:$H$4</definedName>
    <definedName name="Disponibilidad">'Seguridad Información'!$K$3:$K$18</definedName>
    <definedName name="DISPONIBILIDAD.">'Seguridad Información'!$D$20:$D$33</definedName>
    <definedName name="DISPONIBILIDAD_">'Seguridad Información'!$D$14:$D$16</definedName>
    <definedName name="Impacto">[1]Hoja4!$F$3:$F$7</definedName>
    <definedName name="Integridad">'Seguridad Información'!$M$3:$M$6</definedName>
    <definedName name="INTEGRIDAD.">'Seguridad Información'!$C$20:$C$24</definedName>
    <definedName name="INTEGRIDAD_">'Seguridad Información'!$C$14</definedName>
    <definedName name="Integridad_Disponibilidad">'Seguridad Información'!$L$3:$L$8</definedName>
    <definedName name="INTEGRIDAD_DISPONIBILIDAD.">'Seguridad Información'!$G$20:$G$25</definedName>
    <definedName name="INTEGRIDAD_DISPONIBILIDAD_">'Seguridad Información'!$G$14</definedName>
    <definedName name="Probabilidad">[1]Hoja4!$E$3:$E$7</definedName>
    <definedName name="TIPO">'[2]Base de Datos'!$A$4:$A$8</definedName>
    <definedName name="Tipo_de_Riesgo">[1]Hoja4!$D$3:$D$9</definedName>
    <definedName name="_xlnm.Print_Titles" localSheetId="2">'Matriz Riesgos Corrupción'!$1:$6</definedName>
    <definedName name="_xlnm.Print_Titles" localSheetId="1">'Matriz Riesgos Gestión'!$1:$6</definedName>
    <definedName name="_xlnm.Print_Titles" localSheetId="4">'Matriz Riesgos Seg. Información'!$1:$6</definedName>
    <definedName name="Z_795C8354_6623_430F_B16F_866AD45BC174_.wvu.FilterData" localSheetId="2" hidden="1">'Matriz Riesgos Corrupción'!$B$6:$BK$6</definedName>
    <definedName name="Z_795C8354_6623_430F_B16F_866AD45BC174_.wvu.FilterData" localSheetId="1" hidden="1">'Matriz Riesgos Gestión'!$B$6:$AU$6</definedName>
    <definedName name="Z_795C8354_6623_430F_B16F_866AD45BC174_.wvu.FilterData" localSheetId="4" hidden="1">'Matriz Riesgos Seg. Información'!$B$6:$BI$6</definedName>
    <definedName name="Z_795C8354_6623_430F_B16F_866AD45BC174_.wvu.PrintArea" localSheetId="2" hidden="1">'Matriz Riesgos Corrupción'!$A$1:$BK$9</definedName>
    <definedName name="Z_795C8354_6623_430F_B16F_866AD45BC174_.wvu.PrintArea" localSheetId="1" hidden="1">'Matriz Riesgos Gestión'!$A$1:$AU$13</definedName>
    <definedName name="Z_795C8354_6623_430F_B16F_866AD45BC174_.wvu.PrintArea" localSheetId="4" hidden="1">'Matriz Riesgos Seg. Información'!$A$1:$BI$13</definedName>
    <definedName name="Z_795C8354_6623_430F_B16F_866AD45BC174_.wvu.PrintTitles" localSheetId="2" hidden="1">'Matriz Riesgos Corrupción'!$1:$6</definedName>
    <definedName name="Z_795C8354_6623_430F_B16F_866AD45BC174_.wvu.PrintTitles" localSheetId="1" hidden="1">'Matriz Riesgos Gestión'!$1:$6</definedName>
    <definedName name="Z_795C8354_6623_430F_B16F_866AD45BC174_.wvu.PrintTitles" localSheetId="4" hidden="1">'Matriz Riesgos Seg. Información'!$1:$6</definedName>
    <definedName name="Z_82BC0C9B_70E2_44EC_8408_64CC9B36E280_.wvu.FilterData" localSheetId="2" hidden="1">'Matriz Riesgos Corrupción'!$B$6:$BK$6</definedName>
    <definedName name="Z_82BC0C9B_70E2_44EC_8408_64CC9B36E280_.wvu.FilterData" localSheetId="1" hidden="1">'Matriz Riesgos Gestión'!$B$6:$AU$6</definedName>
    <definedName name="Z_82BC0C9B_70E2_44EC_8408_64CC9B36E280_.wvu.FilterData" localSheetId="4" hidden="1">'Matriz Riesgos Seg. Información'!$B$6:$BI$6</definedName>
    <definedName name="Z_82BC0C9B_70E2_44EC_8408_64CC9B36E280_.wvu.PrintArea" localSheetId="2" hidden="1">'Matriz Riesgos Corrupción'!$A$1:$BK$9</definedName>
    <definedName name="Z_82BC0C9B_70E2_44EC_8408_64CC9B36E280_.wvu.PrintArea" localSheetId="1" hidden="1">'Matriz Riesgos Gestión'!$A$1:$AU$13</definedName>
    <definedName name="Z_82BC0C9B_70E2_44EC_8408_64CC9B36E280_.wvu.PrintArea" localSheetId="4" hidden="1">'Matriz Riesgos Seg. Información'!$A$1:$BI$13</definedName>
    <definedName name="Z_82BC0C9B_70E2_44EC_8408_64CC9B36E280_.wvu.PrintTitles" localSheetId="2" hidden="1">'Matriz Riesgos Corrupción'!$1:$6</definedName>
    <definedName name="Z_82BC0C9B_70E2_44EC_8408_64CC9B36E280_.wvu.PrintTitles" localSheetId="1" hidden="1">'Matriz Riesgos Gestión'!$1:$6</definedName>
    <definedName name="Z_82BC0C9B_70E2_44EC_8408_64CC9B36E280_.wvu.PrintTitles" localSheetId="4" hidden="1">'Matriz Riesgos Seg. Información'!$1:$6</definedName>
    <definedName name="Z_F8FDF2EC_A9AD_41AC_8138_AA3657B53E6D_.wvu.FilterData" localSheetId="2" hidden="1">'Matriz Riesgos Corrupción'!$B$6:$BK$6</definedName>
    <definedName name="Z_F8FDF2EC_A9AD_41AC_8138_AA3657B53E6D_.wvu.FilterData" localSheetId="1" hidden="1">'Matriz Riesgos Gestión'!$B$6:$AU$6</definedName>
    <definedName name="Z_F8FDF2EC_A9AD_41AC_8138_AA3657B53E6D_.wvu.FilterData" localSheetId="4" hidden="1">'Matriz Riesgos Seg. Información'!$B$6:$BI$6</definedName>
    <definedName name="Z_F8FDF2EC_A9AD_41AC_8138_AA3657B53E6D_.wvu.PrintArea" localSheetId="2" hidden="1">'Matriz Riesgos Corrupción'!$A$1:$BK$9</definedName>
    <definedName name="Z_F8FDF2EC_A9AD_41AC_8138_AA3657B53E6D_.wvu.PrintArea" localSheetId="1" hidden="1">'Matriz Riesgos Gestión'!$A$1:$AU$13</definedName>
    <definedName name="Z_F8FDF2EC_A9AD_41AC_8138_AA3657B53E6D_.wvu.PrintArea" localSheetId="4" hidden="1">'Matriz Riesgos Seg. Información'!$A$1:$BI$13</definedName>
    <definedName name="Z_F8FDF2EC_A9AD_41AC_8138_AA3657B53E6D_.wvu.PrintTitles" localSheetId="2" hidden="1">'Matriz Riesgos Corrupción'!$1:$6</definedName>
    <definedName name="Z_F8FDF2EC_A9AD_41AC_8138_AA3657B53E6D_.wvu.PrintTitles" localSheetId="1" hidden="1">'Matriz Riesgos Gestión'!$1:$6</definedName>
    <definedName name="Z_F8FDF2EC_A9AD_41AC_8138_AA3657B53E6D_.wvu.PrintTitles" localSheetId="4" hidden="1">'Matriz Riesgos Seg. Información'!$1:$6</definedName>
  </definedNames>
  <calcPr calcId="162913"/>
  <customWorkbookViews>
    <customWorkbookView name="LUCY MARGARITA OSORIO MASTRODOMÉNICO - Vista personalizada" guid="{82BC0C9B-70E2-44EC-8408-64CC9B36E280}" mergeInterval="0" personalView="1" maximized="1" xWindow="-8" yWindow="-8" windowWidth="1616" windowHeight="876" tabRatio="859" activeSheetId="1"/>
    <customWorkbookView name="MAURICIO ORDOÑEZ GUTIERREZ - Vista personalizada" guid="{795C8354-6623-430F-B16F-866AD45BC174}" mergeInterval="0" personalView="1" maximized="1" xWindow="-8" yWindow="-8" windowWidth="1616" windowHeight="876" tabRatio="859" activeSheetId="1"/>
    <customWorkbookView name="DIEGO ORLANDO BUSTOS FORERO - Vista personalizada" guid="{F8FDF2EC-A9AD-41AC-8138-AA3657B53E6D}" mergeInterval="0" personalView="1" maximized="1" xWindow="-8" yWindow="-8" windowWidth="1936" windowHeight="1056" tabRatio="859"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25" i="6" l="1"/>
  <c r="BI26" i="6"/>
  <c r="BI27" i="6"/>
  <c r="BC27" i="6"/>
  <c r="AW27" i="6"/>
  <c r="AU27" i="6"/>
  <c r="AK27" i="6"/>
  <c r="AC27" i="6"/>
  <c r="AC26" i="6"/>
  <c r="AD27" i="6"/>
  <c r="AF27" i="6" s="1"/>
  <c r="AE27" i="6" l="1"/>
  <c r="AK13" i="6" l="1"/>
  <c r="AQ13" i="6"/>
  <c r="AD45" i="6" l="1"/>
  <c r="AK45" i="6"/>
  <c r="AQ45" i="6"/>
  <c r="AU45" i="6"/>
  <c r="AW45" i="6"/>
  <c r="BA45" i="6"/>
  <c r="AX45" i="6" l="1"/>
  <c r="AY45" i="6" s="1"/>
  <c r="BB45" i="6" s="1"/>
  <c r="BC45" i="6" s="1"/>
  <c r="C22" i="6"/>
  <c r="BA33" i="6" l="1"/>
  <c r="BA34" i="6"/>
  <c r="AU33" i="6"/>
  <c r="AW33" i="6"/>
  <c r="AU34" i="6"/>
  <c r="AW34" i="6"/>
  <c r="AQ33" i="6"/>
  <c r="AQ34" i="6"/>
  <c r="AO33" i="6"/>
  <c r="AO34" i="6"/>
  <c r="AM33" i="6"/>
  <c r="AM34" i="6"/>
  <c r="AK33" i="6"/>
  <c r="AK34" i="6"/>
  <c r="C35" i="6"/>
  <c r="AX34" i="6" l="1"/>
  <c r="AY34" i="6" s="1"/>
  <c r="BB34" i="6" s="1"/>
  <c r="BC34" i="6" s="1"/>
  <c r="BD34" i="6" s="1"/>
  <c r="AX33" i="6"/>
  <c r="AY33" i="6" s="1"/>
  <c r="BB33" i="6" s="1"/>
  <c r="BC33" i="6" s="1"/>
  <c r="BD33" i="6" s="1"/>
  <c r="BC25" i="6" l="1"/>
  <c r="BC26" i="6"/>
  <c r="AW37" i="6"/>
  <c r="AW38" i="6"/>
  <c r="AW39" i="6"/>
  <c r="AW40" i="6"/>
  <c r="AW41" i="6"/>
  <c r="AW42" i="6"/>
  <c r="AW43" i="6"/>
  <c r="AW44" i="6"/>
  <c r="AW46" i="6"/>
  <c r="AW47" i="6"/>
  <c r="AW48" i="6"/>
  <c r="AW31" i="6"/>
  <c r="AW32" i="6"/>
  <c r="AW35" i="6"/>
  <c r="AW36" i="6"/>
  <c r="AW28" i="6"/>
  <c r="AW29" i="6"/>
  <c r="AW30" i="6"/>
  <c r="AW25" i="6"/>
  <c r="AW26" i="6"/>
  <c r="AW18" i="6"/>
  <c r="AW19" i="6"/>
  <c r="AW20" i="6"/>
  <c r="AW21" i="6"/>
  <c r="AW22" i="6"/>
  <c r="AW15" i="6"/>
  <c r="AW16" i="6"/>
  <c r="AW17" i="6"/>
  <c r="AW13" i="6"/>
  <c r="AW14" i="6"/>
  <c r="AW10" i="6"/>
  <c r="AW11" i="6"/>
  <c r="AW12" i="6"/>
  <c r="AW8" i="6"/>
  <c r="AW9" i="6"/>
  <c r="AU48" i="6"/>
  <c r="AU46" i="6"/>
  <c r="AU47" i="6"/>
  <c r="AU42" i="6"/>
  <c r="AU43" i="6"/>
  <c r="AU44" i="6"/>
  <c r="AU41" i="6"/>
  <c r="AU39" i="6"/>
  <c r="AU40" i="6"/>
  <c r="AU37" i="6"/>
  <c r="AU38" i="6"/>
  <c r="AU35" i="6"/>
  <c r="AU36" i="6"/>
  <c r="AU31" i="6"/>
  <c r="AU32" i="6"/>
  <c r="AU28" i="6"/>
  <c r="AU29" i="6"/>
  <c r="AU30" i="6"/>
  <c r="AU26" i="6"/>
  <c r="AU25" i="6"/>
  <c r="AU24" i="6"/>
  <c r="AU23" i="6"/>
  <c r="AQ22" i="6"/>
  <c r="AQ23" i="6"/>
  <c r="AQ24" i="6"/>
  <c r="AQ21" i="6"/>
  <c r="AQ48" i="6"/>
  <c r="AQ46" i="6"/>
  <c r="AQ47" i="6"/>
  <c r="AQ44" i="6"/>
  <c r="AQ41" i="6"/>
  <c r="AQ42" i="6"/>
  <c r="AQ43" i="6"/>
  <c r="AQ39" i="6"/>
  <c r="AQ40" i="6"/>
  <c r="AQ37" i="6"/>
  <c r="AQ38" i="6"/>
  <c r="AQ35" i="6"/>
  <c r="AQ36" i="6"/>
  <c r="AQ11" i="6"/>
  <c r="AQ12" i="6"/>
  <c r="AQ14" i="6"/>
  <c r="AQ15" i="6"/>
  <c r="AQ16" i="6"/>
  <c r="AQ17" i="6"/>
  <c r="AQ18" i="6"/>
  <c r="AQ19" i="6"/>
  <c r="AQ20" i="6"/>
  <c r="AQ8" i="6"/>
  <c r="AQ9" i="6"/>
  <c r="AQ10" i="6"/>
  <c r="AK40" i="6"/>
  <c r="AK41" i="6"/>
  <c r="AK42" i="6"/>
  <c r="AK43" i="6"/>
  <c r="AK44" i="6"/>
  <c r="AK46" i="6"/>
  <c r="AK47" i="6"/>
  <c r="AK48" i="6"/>
  <c r="AK39" i="6"/>
  <c r="AK35" i="6"/>
  <c r="AK36" i="6"/>
  <c r="AK37" i="6"/>
  <c r="AK38" i="6"/>
  <c r="AK32" i="6"/>
  <c r="AK31" i="6"/>
  <c r="AK28" i="6"/>
  <c r="AK29" i="6"/>
  <c r="AK30" i="6"/>
  <c r="AK25" i="6"/>
  <c r="AK26" i="6"/>
  <c r="AK23" i="6"/>
  <c r="AK24" i="6"/>
  <c r="AK22" i="6"/>
  <c r="AK21" i="6"/>
  <c r="AK20" i="6"/>
  <c r="AK19" i="6"/>
  <c r="AK18" i="6"/>
  <c r="AK17" i="6"/>
  <c r="AK16" i="6"/>
  <c r="AK15" i="6"/>
  <c r="AK14" i="6"/>
  <c r="AK7" i="6"/>
  <c r="AK8" i="6"/>
  <c r="AC46" i="6"/>
  <c r="AC41" i="6"/>
  <c r="AC39" i="6"/>
  <c r="AC37" i="6"/>
  <c r="AC35" i="6"/>
  <c r="AC31" i="6"/>
  <c r="AC28" i="6"/>
  <c r="AC25" i="6"/>
  <c r="AC22" i="6"/>
  <c r="AC20" i="6"/>
  <c r="AC17" i="6"/>
  <c r="AC14" i="6"/>
  <c r="AC12" i="6"/>
  <c r="AC11" i="6"/>
  <c r="AC9" i="6"/>
  <c r="U11" i="17"/>
  <c r="U10" i="17"/>
  <c r="U9" i="17"/>
  <c r="U8" i="17"/>
  <c r="U7" i="17"/>
  <c r="U6" i="17"/>
  <c r="U5" i="17"/>
  <c r="U4" i="17"/>
  <c r="U3" i="17"/>
  <c r="BD25" i="6" l="1"/>
  <c r="AA39" i="6"/>
  <c r="AA37" i="6"/>
  <c r="AA35" i="6"/>
  <c r="AA31" i="6"/>
  <c r="AD31" i="6" s="1"/>
  <c r="AE31" i="6" s="1"/>
  <c r="AA28" i="6"/>
  <c r="AA9" i="6"/>
  <c r="AF31" i="6" l="1"/>
  <c r="AH15" i="6" l="1"/>
  <c r="AH16" i="6"/>
  <c r="AH14" i="6"/>
  <c r="AM43" i="6" l="1"/>
  <c r="AO43" i="6"/>
  <c r="AM19" i="6" l="1"/>
  <c r="AO19" i="6"/>
  <c r="AU19" i="6"/>
  <c r="C14" i="6" l="1"/>
  <c r="AU7" i="6" l="1"/>
  <c r="AQ7" i="6"/>
  <c r="AO7" i="6"/>
  <c r="BA44" i="6" l="1"/>
  <c r="AO44" i="6"/>
  <c r="AM44" i="6"/>
  <c r="BA43" i="6"/>
  <c r="BA42" i="6"/>
  <c r="AO42" i="6"/>
  <c r="AM42" i="6"/>
  <c r="BA41" i="6"/>
  <c r="AO41" i="6"/>
  <c r="AM41" i="6"/>
  <c r="AD44" i="6"/>
  <c r="AD43" i="6"/>
  <c r="AD42" i="6"/>
  <c r="AA41" i="6"/>
  <c r="AD41" i="6" s="1"/>
  <c r="AM39" i="6"/>
  <c r="AO39" i="6"/>
  <c r="AS39" i="6"/>
  <c r="BA39" i="6"/>
  <c r="AM40" i="6"/>
  <c r="AO40" i="6"/>
  <c r="BA40" i="6"/>
  <c r="AF41" i="6" l="1"/>
  <c r="AE41" i="6"/>
  <c r="BI41" i="6"/>
  <c r="AX41" i="6"/>
  <c r="AY41" i="6" s="1"/>
  <c r="BB41" i="6" s="1"/>
  <c r="BC41" i="6" s="1"/>
  <c r="AX43" i="6"/>
  <c r="AY43" i="6" s="1"/>
  <c r="BB43" i="6" s="1"/>
  <c r="BC43" i="6" s="1"/>
  <c r="AX42" i="6"/>
  <c r="AY42" i="6" s="1"/>
  <c r="BB42" i="6" s="1"/>
  <c r="BC42" i="6" s="1"/>
  <c r="AX39" i="6"/>
  <c r="AY39" i="6" s="1"/>
  <c r="AX44" i="6"/>
  <c r="AY44" i="6" s="1"/>
  <c r="BB44" i="6" s="1"/>
  <c r="BC44" i="6" s="1"/>
  <c r="AX40" i="6"/>
  <c r="AY40" i="6" s="1"/>
  <c r="BD43" i="6" l="1"/>
  <c r="BD42" i="6"/>
  <c r="BD41" i="6"/>
  <c r="BE41" i="6" s="1"/>
  <c r="BF41" i="6" s="1"/>
  <c r="BG41" i="6" s="1"/>
  <c r="BH41" i="6" s="1"/>
  <c r="BJ41" i="6" s="1"/>
  <c r="BK41" i="6" s="1"/>
  <c r="BD44" i="6"/>
  <c r="BA32" i="6"/>
  <c r="AQ32" i="6"/>
  <c r="AO32" i="6"/>
  <c r="AM32" i="6"/>
  <c r="BA31" i="6"/>
  <c r="AQ31" i="6"/>
  <c r="AO31" i="6"/>
  <c r="AM31" i="6"/>
  <c r="AX32" i="6" l="1"/>
  <c r="AY32" i="6" s="1"/>
  <c r="BB32" i="6" s="1"/>
  <c r="BC32" i="6" s="1"/>
  <c r="BD32" i="6" s="1"/>
  <c r="AX31" i="6"/>
  <c r="AY31" i="6" s="1"/>
  <c r="BB31" i="6" s="1"/>
  <c r="BC31" i="6" s="1"/>
  <c r="BA30" i="6"/>
  <c r="AQ30" i="6"/>
  <c r="AO30" i="6"/>
  <c r="AM30" i="6"/>
  <c r="AD30" i="6"/>
  <c r="BA29" i="6"/>
  <c r="AQ29" i="6"/>
  <c r="AO29" i="6"/>
  <c r="AM29" i="6"/>
  <c r="AD29" i="6"/>
  <c r="AE28" i="6" s="1"/>
  <c r="BA28" i="6"/>
  <c r="AQ28" i="6"/>
  <c r="AO28" i="6"/>
  <c r="AM28" i="6"/>
  <c r="AD28" i="6"/>
  <c r="AF28" i="6" s="1"/>
  <c r="C28" i="6"/>
  <c r="BD31" i="6" l="1"/>
  <c r="BI28" i="6"/>
  <c r="AX28" i="6"/>
  <c r="AY28" i="6" s="1"/>
  <c r="BB28" i="6" s="1"/>
  <c r="BC28" i="6" s="1"/>
  <c r="AX29" i="6"/>
  <c r="AY29" i="6" s="1"/>
  <c r="BB29" i="6" s="1"/>
  <c r="BC29" i="6" s="1"/>
  <c r="AX30" i="6"/>
  <c r="AY30" i="6" s="1"/>
  <c r="BB30" i="6" s="1"/>
  <c r="BC30" i="6" s="1"/>
  <c r="BD27" i="6" l="1"/>
  <c r="BE27" i="6" s="1"/>
  <c r="BF27" i="6" s="1"/>
  <c r="BG27" i="6" s="1"/>
  <c r="BH27" i="6" s="1"/>
  <c r="BJ27" i="6" s="1"/>
  <c r="BK27" i="6" s="1"/>
  <c r="BD29" i="6"/>
  <c r="BD30" i="6"/>
  <c r="BD26" i="6"/>
  <c r="BE26" i="6" s="1"/>
  <c r="BF26" i="6" s="1"/>
  <c r="BG26" i="6" s="1"/>
  <c r="BH26" i="6" s="1"/>
  <c r="BJ26" i="6" s="1"/>
  <c r="BK26" i="6" s="1"/>
  <c r="BD28" i="6"/>
  <c r="BE28" i="6" s="1"/>
  <c r="BF28" i="6" s="1"/>
  <c r="BG28" i="6" s="1"/>
  <c r="BH28" i="6" s="1"/>
  <c r="BJ28" i="6" s="1"/>
  <c r="BK28" i="6" s="1"/>
  <c r="AO48" i="6" l="1"/>
  <c r="AM48" i="6"/>
  <c r="AO47" i="6"/>
  <c r="AM47" i="6"/>
  <c r="AO46" i="6"/>
  <c r="AM46" i="6"/>
  <c r="BA48" i="6"/>
  <c r="BA47" i="6"/>
  <c r="BA46" i="6"/>
  <c r="AA46" i="6"/>
  <c r="AD46" i="6" s="1"/>
  <c r="AE46" i="6" s="1"/>
  <c r="C46" i="6"/>
  <c r="AF46" i="6" l="1"/>
  <c r="AX47" i="6"/>
  <c r="AY47" i="6" s="1"/>
  <c r="AX48" i="6"/>
  <c r="AY48" i="6" s="1"/>
  <c r="AX46" i="6"/>
  <c r="AY46" i="6" s="1"/>
  <c r="BI46" i="6"/>
  <c r="BA9" i="6" l="1"/>
  <c r="AU9" i="6"/>
  <c r="AS9" i="6"/>
  <c r="AO9" i="6"/>
  <c r="AM9" i="6"/>
  <c r="AK9" i="6"/>
  <c r="AX9" i="6" l="1"/>
  <c r="AY9" i="6" s="1"/>
  <c r="AU16" i="6" l="1"/>
  <c r="AO16" i="6"/>
  <c r="AM16" i="6"/>
  <c r="AO38" i="6" l="1"/>
  <c r="AM38" i="6"/>
  <c r="AO37" i="6"/>
  <c r="AM37" i="6"/>
  <c r="AO36" i="6"/>
  <c r="AM36" i="6"/>
  <c r="AO35" i="6"/>
  <c r="AM35" i="6"/>
  <c r="AO24" i="6"/>
  <c r="AM24" i="6"/>
  <c r="AO23" i="6"/>
  <c r="AM23" i="6"/>
  <c r="AU22" i="6"/>
  <c r="AO22" i="6"/>
  <c r="AM22" i="6"/>
  <c r="AU21" i="6"/>
  <c r="AO21" i="6"/>
  <c r="AM21" i="6"/>
  <c r="AU20" i="6"/>
  <c r="AS20" i="6"/>
  <c r="AO20" i="6"/>
  <c r="AM20" i="6"/>
  <c r="AU18" i="6"/>
  <c r="AO18" i="6"/>
  <c r="AM18" i="6"/>
  <c r="AU17" i="6"/>
  <c r="AO17" i="6"/>
  <c r="AM17" i="6"/>
  <c r="U325" i="10" l="1"/>
  <c r="W325" i="10"/>
  <c r="Y325" i="10"/>
  <c r="AA325" i="10"/>
  <c r="AC325" i="10"/>
  <c r="U326" i="10"/>
  <c r="W326" i="10"/>
  <c r="Y326" i="10"/>
  <c r="AA326" i="10"/>
  <c r="AC326" i="10"/>
  <c r="AU15" i="6" l="1"/>
  <c r="AO15" i="6"/>
  <c r="AM15" i="6"/>
  <c r="AU14" i="6"/>
  <c r="AS14" i="6"/>
  <c r="AO14" i="6"/>
  <c r="AM14" i="6"/>
  <c r="AA100" i="10"/>
  <c r="Y100" i="10"/>
  <c r="W100" i="10"/>
  <c r="U100" i="10"/>
  <c r="S100" i="10"/>
  <c r="AA98" i="10"/>
  <c r="Y98" i="10"/>
  <c r="W98" i="10"/>
  <c r="U98" i="10"/>
  <c r="S98" i="10"/>
  <c r="AA97" i="10"/>
  <c r="Y97" i="10"/>
  <c r="W97" i="10"/>
  <c r="U97" i="10"/>
  <c r="S97" i="10"/>
  <c r="AC93" i="10"/>
  <c r="AA93" i="10"/>
  <c r="Y93" i="10"/>
  <c r="W93" i="10"/>
  <c r="U93" i="10"/>
  <c r="S93" i="10"/>
  <c r="AC92" i="10"/>
  <c r="AA92" i="10"/>
  <c r="Y92" i="10"/>
  <c r="W92" i="10"/>
  <c r="U92" i="10"/>
  <c r="S92" i="10"/>
  <c r="AC91" i="10"/>
  <c r="AA91" i="10"/>
  <c r="Y91" i="10"/>
  <c r="W91" i="10"/>
  <c r="U91" i="10"/>
  <c r="S91" i="10"/>
  <c r="C25" i="6" l="1"/>
  <c r="Y8" i="10" l="1"/>
  <c r="Y9" i="10"/>
  <c r="Y10" i="10"/>
  <c r="Y11" i="10"/>
  <c r="Y12" i="10"/>
  <c r="Y13" i="10"/>
  <c r="Y14" i="10"/>
  <c r="Y15" i="10"/>
  <c r="Y16" i="10"/>
  <c r="Y17" i="10"/>
  <c r="Y18" i="10"/>
  <c r="Y19" i="10"/>
  <c r="Y20" i="10"/>
  <c r="Y21" i="10"/>
  <c r="Y22" i="10"/>
  <c r="Y23" i="10"/>
  <c r="Y24" i="10"/>
  <c r="Y25" i="10"/>
  <c r="Y26" i="10"/>
  <c r="Y27" i="10"/>
  <c r="Y28"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4" i="10"/>
  <c r="Y95" i="10"/>
  <c r="Y96" i="10"/>
  <c r="Y99" i="10"/>
  <c r="Y101" i="10"/>
  <c r="Y102" i="10"/>
  <c r="Y103" i="10"/>
  <c r="Y104" i="10"/>
  <c r="Y105" i="10"/>
  <c r="Y106" i="10"/>
  <c r="Y107" i="10"/>
  <c r="Y108" i="10"/>
  <c r="Y109" i="10"/>
  <c r="Y110" i="10"/>
  <c r="Y111" i="10"/>
  <c r="Y112" i="10"/>
  <c r="Y113" i="10"/>
  <c r="Y114" i="10"/>
  <c r="Y115" i="10"/>
  <c r="Y116" i="10"/>
  <c r="Y117" i="10"/>
  <c r="Y118" i="10"/>
  <c r="Y119" i="10"/>
  <c r="Y120" i="10"/>
  <c r="Y121" i="10"/>
  <c r="Y122" i="10"/>
  <c r="Y123" i="10"/>
  <c r="Y124" i="10"/>
  <c r="Y125" i="10"/>
  <c r="Y126" i="10"/>
  <c r="Y127" i="10"/>
  <c r="Y128" i="10"/>
  <c r="Y129" i="10"/>
  <c r="Y130" i="10"/>
  <c r="Y131" i="10"/>
  <c r="Y132" i="10"/>
  <c r="Y133" i="10"/>
  <c r="Y134" i="10"/>
  <c r="Y135" i="10"/>
  <c r="Y136" i="10"/>
  <c r="Y137" i="10"/>
  <c r="Y138" i="10"/>
  <c r="Y139" i="10"/>
  <c r="Y140" i="10"/>
  <c r="Y141" i="10"/>
  <c r="Y142" i="10"/>
  <c r="Y143" i="10"/>
  <c r="Y144" i="10"/>
  <c r="Y145" i="10"/>
  <c r="Y146" i="10"/>
  <c r="Y147" i="10"/>
  <c r="Y148" i="10"/>
  <c r="Y149" i="10"/>
  <c r="Y150" i="10"/>
  <c r="Y151" i="10"/>
  <c r="Y152" i="10"/>
  <c r="Y153" i="10"/>
  <c r="Y154" i="10"/>
  <c r="Y155" i="10"/>
  <c r="Y156" i="10"/>
  <c r="Y157" i="10"/>
  <c r="Y158" i="10"/>
  <c r="Y159" i="10"/>
  <c r="Y160" i="10"/>
  <c r="Y161" i="10"/>
  <c r="Y162" i="10"/>
  <c r="Y163" i="10"/>
  <c r="Y164" i="10"/>
  <c r="Y165" i="10"/>
  <c r="Y166" i="10"/>
  <c r="Y167" i="10"/>
  <c r="Y168" i="10"/>
  <c r="Y169" i="10"/>
  <c r="Y170" i="10"/>
  <c r="Y171" i="10"/>
  <c r="Y172" i="10"/>
  <c r="Y173" i="10"/>
  <c r="Y174" i="10"/>
  <c r="Y175" i="10"/>
  <c r="Y176" i="10"/>
  <c r="Y177" i="10"/>
  <c r="Y178" i="10"/>
  <c r="Y179" i="10"/>
  <c r="Y180" i="10"/>
  <c r="Y181" i="10"/>
  <c r="Y182" i="10"/>
  <c r="Y183" i="10"/>
  <c r="Y184" i="10"/>
  <c r="Y185" i="10"/>
  <c r="Y186" i="10"/>
  <c r="Y187" i="10"/>
  <c r="Y188" i="10"/>
  <c r="Y189" i="10"/>
  <c r="Y190" i="10"/>
  <c r="Y191" i="10"/>
  <c r="Y192" i="10"/>
  <c r="Y193" i="10"/>
  <c r="Y194" i="10"/>
  <c r="Y195" i="10"/>
  <c r="Y196" i="10"/>
  <c r="Y197" i="10"/>
  <c r="Y198" i="10"/>
  <c r="Y199" i="10"/>
  <c r="Y200" i="10"/>
  <c r="Y201" i="10"/>
  <c r="Y202" i="10"/>
  <c r="Y203" i="10"/>
  <c r="Y204" i="10"/>
  <c r="Y205" i="10"/>
  <c r="Y206" i="10"/>
  <c r="Y207" i="10"/>
  <c r="Y208" i="10"/>
  <c r="Y209" i="10"/>
  <c r="Y210" i="10"/>
  <c r="Y211" i="10"/>
  <c r="Y212" i="10"/>
  <c r="Y213" i="10"/>
  <c r="Y214" i="10"/>
  <c r="Y215" i="10"/>
  <c r="Y216" i="10"/>
  <c r="Y217" i="10"/>
  <c r="Y218" i="10"/>
  <c r="Y219" i="10"/>
  <c r="Y220" i="10"/>
  <c r="Y221" i="10"/>
  <c r="Y222" i="10"/>
  <c r="Y223" i="10"/>
  <c r="Y224" i="10"/>
  <c r="Y225" i="10"/>
  <c r="Y226" i="10"/>
  <c r="Y227" i="10"/>
  <c r="Y228" i="10"/>
  <c r="Y229" i="10"/>
  <c r="Y230" i="10"/>
  <c r="Y231" i="10"/>
  <c r="Y232" i="10"/>
  <c r="Y233" i="10"/>
  <c r="Y234" i="10"/>
  <c r="Y235" i="10"/>
  <c r="Y236" i="10"/>
  <c r="Y237" i="10"/>
  <c r="Y238" i="10"/>
  <c r="Y239" i="10"/>
  <c r="Y240" i="10"/>
  <c r="Y241" i="10"/>
  <c r="Y242" i="10"/>
  <c r="Y243" i="10"/>
  <c r="Y244" i="10"/>
  <c r="Y245" i="10"/>
  <c r="Y246" i="10"/>
  <c r="Y247" i="10"/>
  <c r="Y248" i="10"/>
  <c r="Y249" i="10"/>
  <c r="Y250" i="10"/>
  <c r="Y251" i="10"/>
  <c r="Y252" i="10"/>
  <c r="Y253" i="10"/>
  <c r="Y254" i="10"/>
  <c r="Y255" i="10"/>
  <c r="Y256" i="10"/>
  <c r="Y257" i="10"/>
  <c r="Y258" i="10"/>
  <c r="Y259" i="10"/>
  <c r="Y260" i="10"/>
  <c r="Y261" i="10"/>
  <c r="Y262" i="10"/>
  <c r="Y263" i="10"/>
  <c r="Y264" i="10"/>
  <c r="Y265" i="10"/>
  <c r="Y266" i="10"/>
  <c r="Y267" i="10"/>
  <c r="Y268" i="10"/>
  <c r="Y269" i="10"/>
  <c r="Y270" i="10"/>
  <c r="Y271" i="10"/>
  <c r="Y272" i="10"/>
  <c r="Y273" i="10"/>
  <c r="Y274" i="10"/>
  <c r="Y275" i="10"/>
  <c r="Y276" i="10"/>
  <c r="Y277" i="10"/>
  <c r="Y278" i="10"/>
  <c r="Y279" i="10"/>
  <c r="Y280" i="10"/>
  <c r="Y281" i="10"/>
  <c r="Y282" i="10"/>
  <c r="Y283" i="10"/>
  <c r="Y284" i="10"/>
  <c r="Y285" i="10"/>
  <c r="Y286" i="10"/>
  <c r="Y287" i="10"/>
  <c r="Y288" i="10"/>
  <c r="Y289" i="10"/>
  <c r="Y290" i="10"/>
  <c r="Y291" i="10"/>
  <c r="Y292" i="10"/>
  <c r="Y293" i="10"/>
  <c r="Y294" i="10"/>
  <c r="Y295" i="10"/>
  <c r="Y296" i="10"/>
  <c r="Y297" i="10"/>
  <c r="Y298" i="10"/>
  <c r="Y299" i="10"/>
  <c r="Y300" i="10"/>
  <c r="Y301" i="10"/>
  <c r="Y302" i="10"/>
  <c r="Y303" i="10"/>
  <c r="Y304" i="10"/>
  <c r="Y305" i="10"/>
  <c r="Y306" i="10"/>
  <c r="Y307" i="10"/>
  <c r="Y308" i="10"/>
  <c r="Y309" i="10"/>
  <c r="Y310" i="10"/>
  <c r="Y311" i="10"/>
  <c r="Y312" i="10"/>
  <c r="Y313" i="10"/>
  <c r="Y314" i="10"/>
  <c r="Y315" i="10"/>
  <c r="Y316" i="10"/>
  <c r="Y317" i="10"/>
  <c r="Y318" i="10"/>
  <c r="Y319" i="10"/>
  <c r="Y320" i="10"/>
  <c r="Y321" i="10"/>
  <c r="Y322" i="10"/>
  <c r="Y323" i="10"/>
  <c r="Y324" i="10"/>
  <c r="Y327" i="10"/>
  <c r="Y328" i="10"/>
  <c r="Y329" i="10"/>
  <c r="Y330" i="10"/>
  <c r="Y331" i="10"/>
  <c r="Y332" i="10"/>
  <c r="Y333" i="10"/>
  <c r="Y334" i="10"/>
  <c r="Y335" i="10"/>
  <c r="Y336" i="10"/>
  <c r="Y337" i="10"/>
  <c r="Y338" i="10"/>
  <c r="Y339" i="10"/>
  <c r="Y340" i="10"/>
  <c r="Y341" i="10"/>
  <c r="Y342" i="10"/>
  <c r="Y343" i="10"/>
  <c r="Y344" i="10"/>
  <c r="Y345" i="10"/>
  <c r="Y346" i="10"/>
  <c r="Y347" i="10"/>
  <c r="Y348" i="10"/>
  <c r="Y349" i="10"/>
  <c r="Y350" i="10"/>
  <c r="Y351" i="10"/>
  <c r="Y352" i="10"/>
  <c r="Y353" i="10"/>
  <c r="Y354" i="10"/>
  <c r="Y355" i="10"/>
  <c r="Y356" i="10"/>
  <c r="Y357" i="10"/>
  <c r="Y358" i="10"/>
  <c r="Y359" i="10"/>
  <c r="Y360" i="10"/>
  <c r="Y361" i="10"/>
  <c r="Y362" i="10"/>
  <c r="Y363" i="10"/>
  <c r="Y364" i="10"/>
  <c r="Y365" i="10"/>
  <c r="Y366" i="10"/>
  <c r="Y7" i="10"/>
  <c r="C193" i="10" l="1"/>
  <c r="C187" i="10"/>
  <c r="C181" i="10"/>
  <c r="C175" i="10"/>
  <c r="C169" i="10"/>
  <c r="K283" i="10" l="1"/>
  <c r="K277" i="10" l="1"/>
  <c r="K271" i="10"/>
  <c r="K265" i="10" l="1"/>
  <c r="C265" i="10"/>
  <c r="K259" i="10"/>
  <c r="C259" i="10"/>
  <c r="K253" i="10"/>
  <c r="C253" i="10"/>
  <c r="K247" i="10"/>
  <c r="C247" i="10"/>
  <c r="K91" i="10" l="1"/>
  <c r="BA12" i="6" l="1"/>
  <c r="AU12" i="6"/>
  <c r="AS12" i="6"/>
  <c r="AO12" i="6"/>
  <c r="AM12" i="6"/>
  <c r="AK12" i="6"/>
  <c r="C13" i="10" l="1"/>
  <c r="K19" i="10"/>
  <c r="K13" i="10" l="1"/>
  <c r="M13" i="10"/>
  <c r="N13" i="10"/>
  <c r="AU8" i="12" l="1"/>
  <c r="AU9" i="12"/>
  <c r="AU10" i="12"/>
  <c r="AU11" i="12"/>
  <c r="AU12" i="12"/>
  <c r="AU13" i="12"/>
  <c r="AU14" i="12"/>
  <c r="AU15" i="12"/>
  <c r="AU16" i="12"/>
  <c r="AU17" i="12"/>
  <c r="AU18" i="12"/>
  <c r="AU19" i="12"/>
  <c r="AU20" i="12"/>
  <c r="AU21" i="12"/>
  <c r="AU22" i="12"/>
  <c r="AU23" i="12"/>
  <c r="AU24" i="12"/>
  <c r="AU25" i="12"/>
  <c r="AU26" i="12"/>
  <c r="AU27" i="12"/>
  <c r="AU28" i="12"/>
  <c r="AU29" i="12"/>
  <c r="AU30" i="12"/>
  <c r="AU31" i="12"/>
  <c r="AU32" i="12"/>
  <c r="AU33" i="12"/>
  <c r="AU34" i="12"/>
  <c r="AU35" i="12"/>
  <c r="AU36" i="12"/>
  <c r="AU37" i="12"/>
  <c r="AU38" i="12"/>
  <c r="AU39" i="12"/>
  <c r="AU40" i="12"/>
  <c r="AU41" i="12"/>
  <c r="AU42" i="12"/>
  <c r="AU43" i="12"/>
  <c r="AU44" i="12"/>
  <c r="AU45" i="12"/>
  <c r="AU46" i="12"/>
  <c r="AU47" i="12"/>
  <c r="AU48" i="12"/>
  <c r="AU49" i="12"/>
  <c r="AU50" i="12"/>
  <c r="AU51" i="12"/>
  <c r="AU52" i="12"/>
  <c r="AU53" i="12"/>
  <c r="AU54" i="12"/>
  <c r="AU55" i="12"/>
  <c r="AU56" i="12"/>
  <c r="AU57" i="12"/>
  <c r="AU58" i="12"/>
  <c r="AU59" i="12"/>
  <c r="AU60" i="12"/>
  <c r="AU61" i="12"/>
  <c r="AU62" i="12"/>
  <c r="AU63" i="12"/>
  <c r="AU64" i="12"/>
  <c r="AU65" i="12"/>
  <c r="AU66" i="12"/>
  <c r="AU67" i="12"/>
  <c r="AU68" i="12"/>
  <c r="AU69" i="12"/>
  <c r="AU70" i="12"/>
  <c r="AU71" i="12"/>
  <c r="AU72" i="12"/>
  <c r="AU73" i="12"/>
  <c r="AU74" i="12"/>
  <c r="AU75" i="12"/>
  <c r="AU76" i="12"/>
  <c r="AU77" i="12"/>
  <c r="AU78" i="12"/>
  <c r="AU79" i="12"/>
  <c r="AU80" i="12"/>
  <c r="AU81" i="12"/>
  <c r="AU82" i="12"/>
  <c r="AU83" i="12"/>
  <c r="AU84" i="12"/>
  <c r="AU85" i="12"/>
  <c r="AU86" i="12"/>
  <c r="AU87" i="12"/>
  <c r="AU88" i="12"/>
  <c r="AU89" i="12"/>
  <c r="AU90" i="12"/>
  <c r="AU91" i="12"/>
  <c r="AU92" i="12"/>
  <c r="AU93" i="12"/>
  <c r="AU94" i="12"/>
  <c r="AU95" i="12"/>
  <c r="AU96" i="12"/>
  <c r="AU97" i="12"/>
  <c r="AU98" i="12"/>
  <c r="AU99" i="12"/>
  <c r="AU100" i="12"/>
  <c r="AU101" i="12"/>
  <c r="AU102" i="12"/>
  <c r="AU103" i="12"/>
  <c r="AU104" i="12"/>
  <c r="AU105" i="12"/>
  <c r="AU106" i="12"/>
  <c r="AU107" i="12"/>
  <c r="AU108" i="12"/>
  <c r="AU109" i="12"/>
  <c r="AU110" i="12"/>
  <c r="AU111" i="12"/>
  <c r="AU112" i="12"/>
  <c r="AU113" i="12"/>
  <c r="AU114" i="12"/>
  <c r="AU115" i="12"/>
  <c r="AU116" i="12"/>
  <c r="AU117" i="12"/>
  <c r="AU118" i="12"/>
  <c r="AU119" i="12"/>
  <c r="AU120" i="12"/>
  <c r="AU121" i="12"/>
  <c r="AU122" i="12"/>
  <c r="AU123" i="12"/>
  <c r="AU124" i="12"/>
  <c r="AU125" i="12"/>
  <c r="AU126" i="12"/>
  <c r="AU127" i="12"/>
  <c r="AU128" i="12"/>
  <c r="AU129" i="12"/>
  <c r="AU130" i="12"/>
  <c r="AU131" i="12"/>
  <c r="AU132" i="12"/>
  <c r="AU133" i="12"/>
  <c r="AU134" i="12"/>
  <c r="AU135" i="12"/>
  <c r="AU136" i="12"/>
  <c r="AU137" i="12"/>
  <c r="AU138" i="12"/>
  <c r="AU139" i="12"/>
  <c r="AU140" i="12"/>
  <c r="AU141" i="12"/>
  <c r="AU142" i="12"/>
  <c r="AU143" i="12"/>
  <c r="AU144" i="12"/>
  <c r="AU145" i="12"/>
  <c r="AU146" i="12"/>
  <c r="AU147" i="12"/>
  <c r="AU148" i="12"/>
  <c r="AU149" i="12"/>
  <c r="AU150" i="12"/>
  <c r="AU151" i="12"/>
  <c r="AU152" i="12"/>
  <c r="AU153" i="12"/>
  <c r="AU154" i="12"/>
  <c r="AU155" i="12"/>
  <c r="AU156" i="12"/>
  <c r="AU157" i="12"/>
  <c r="AU158" i="12"/>
  <c r="AU159" i="12"/>
  <c r="AU160" i="12"/>
  <c r="AU161" i="12"/>
  <c r="AU162" i="12"/>
  <c r="AU163" i="12"/>
  <c r="AU164" i="12"/>
  <c r="AU165" i="12"/>
  <c r="AU166" i="12"/>
  <c r="AU167" i="12"/>
  <c r="AU168" i="12"/>
  <c r="AU169" i="12"/>
  <c r="AU170" i="12"/>
  <c r="AU171" i="12"/>
  <c r="AU172" i="12"/>
  <c r="AU173" i="12"/>
  <c r="AU174" i="12"/>
  <c r="AU175" i="12"/>
  <c r="AU176" i="12"/>
  <c r="AU177" i="12"/>
  <c r="AU178" i="12"/>
  <c r="AU179" i="12"/>
  <c r="AU180" i="12"/>
  <c r="AU181" i="12"/>
  <c r="AU182" i="12"/>
  <c r="AU183" i="12"/>
  <c r="AU184" i="12"/>
  <c r="AU185" i="12"/>
  <c r="AU186" i="12"/>
  <c r="AU187" i="12"/>
  <c r="AU188" i="12"/>
  <c r="AU189" i="12"/>
  <c r="AU190" i="12"/>
  <c r="AU191" i="12"/>
  <c r="AU192" i="12"/>
  <c r="AU193" i="12"/>
  <c r="AU194" i="12"/>
  <c r="AU195" i="12"/>
  <c r="AU196" i="12"/>
  <c r="AU197" i="12"/>
  <c r="AU198" i="12"/>
  <c r="AU199" i="12"/>
  <c r="AU200" i="12"/>
  <c r="AU201" i="12"/>
  <c r="AU202" i="12"/>
  <c r="AU203" i="12"/>
  <c r="AU204" i="12"/>
  <c r="AU205" i="12"/>
  <c r="AU206" i="12"/>
  <c r="AU207" i="12"/>
  <c r="AU208" i="12"/>
  <c r="AU209" i="12"/>
  <c r="AU210" i="12"/>
  <c r="AU211" i="12"/>
  <c r="AU212" i="12"/>
  <c r="AU213" i="12"/>
  <c r="AU214" i="12"/>
  <c r="AU215" i="12"/>
  <c r="AU216" i="12"/>
  <c r="AU217" i="12"/>
  <c r="AU218" i="12"/>
  <c r="AU219" i="12"/>
  <c r="AU220" i="12"/>
  <c r="AU221" i="12"/>
  <c r="AU222" i="12"/>
  <c r="AU223" i="12"/>
  <c r="AU224" i="12"/>
  <c r="AU225" i="12"/>
  <c r="AU226" i="12"/>
  <c r="AU227" i="12"/>
  <c r="AU228" i="12"/>
  <c r="AU229" i="12"/>
  <c r="AU230" i="12"/>
  <c r="AU231" i="12"/>
  <c r="AU232" i="12"/>
  <c r="AU233" i="12"/>
  <c r="AU234" i="12"/>
  <c r="AU235" i="12"/>
  <c r="AU236" i="12"/>
  <c r="AU237" i="12"/>
  <c r="AU238" i="12"/>
  <c r="AU239" i="12"/>
  <c r="AU240" i="12"/>
  <c r="AU241" i="12"/>
  <c r="AU242" i="12"/>
  <c r="AU243" i="12"/>
  <c r="AU244" i="12"/>
  <c r="AU245" i="12"/>
  <c r="AU246" i="12"/>
  <c r="AU247" i="12"/>
  <c r="AU248" i="12"/>
  <c r="AU249" i="12"/>
  <c r="AU250" i="12"/>
  <c r="AU251" i="12"/>
  <c r="AU252" i="12"/>
  <c r="AU253" i="12"/>
  <c r="AU254" i="12"/>
  <c r="AU255" i="12"/>
  <c r="AU256" i="12"/>
  <c r="AU257" i="12"/>
  <c r="AU258" i="12"/>
  <c r="AU259" i="12"/>
  <c r="AU260" i="12"/>
  <c r="AU261" i="12"/>
  <c r="AU262" i="12"/>
  <c r="AU263" i="12"/>
  <c r="AU264" i="12"/>
  <c r="AU265" i="12"/>
  <c r="AU266" i="12"/>
  <c r="AU267" i="12"/>
  <c r="AU268" i="12"/>
  <c r="AU269" i="12"/>
  <c r="AU270" i="12"/>
  <c r="AU271" i="12"/>
  <c r="AU272" i="12"/>
  <c r="AU273" i="12"/>
  <c r="AU274" i="12"/>
  <c r="AU275" i="12"/>
  <c r="AU276" i="12"/>
  <c r="AU277" i="12"/>
  <c r="AU278" i="12"/>
  <c r="AU279" i="12"/>
  <c r="AU280" i="12"/>
  <c r="AU281" i="12"/>
  <c r="AU282" i="12"/>
  <c r="AU283" i="12"/>
  <c r="AU284" i="12"/>
  <c r="AU285" i="12"/>
  <c r="AU286" i="12"/>
  <c r="AU287" i="12"/>
  <c r="AU288" i="12"/>
  <c r="AU289" i="12"/>
  <c r="AU290" i="12"/>
  <c r="AU291" i="12"/>
  <c r="AU292" i="12"/>
  <c r="AU293" i="12"/>
  <c r="AU294" i="12"/>
  <c r="AU295" i="12"/>
  <c r="AU296" i="12"/>
  <c r="AU297" i="12"/>
  <c r="AU298" i="12"/>
  <c r="AU299" i="12"/>
  <c r="AU300" i="12"/>
  <c r="AU301" i="12"/>
  <c r="AU302" i="12"/>
  <c r="AU303" i="12"/>
  <c r="AU304" i="12"/>
  <c r="AU305" i="12"/>
  <c r="AU306" i="12"/>
  <c r="AU307" i="12"/>
  <c r="AU308" i="12"/>
  <c r="AU309" i="12"/>
  <c r="AU310" i="12"/>
  <c r="AU311" i="12"/>
  <c r="AU312" i="12"/>
  <c r="AU313" i="12"/>
  <c r="AU314" i="12"/>
  <c r="AU315" i="12"/>
  <c r="AU316" i="12"/>
  <c r="AU317" i="12"/>
  <c r="AU318" i="12"/>
  <c r="AU319" i="12"/>
  <c r="AU320" i="12"/>
  <c r="AU321" i="12"/>
  <c r="AU322" i="12"/>
  <c r="AU323" i="12"/>
  <c r="AU324" i="12"/>
  <c r="AU325" i="12"/>
  <c r="AU326" i="12"/>
  <c r="AU327" i="12"/>
  <c r="AU328" i="12"/>
  <c r="AU329" i="12"/>
  <c r="AU330" i="12"/>
  <c r="AU331" i="12"/>
  <c r="AU332" i="12"/>
  <c r="AU333" i="12"/>
  <c r="AU334" i="12"/>
  <c r="AU335" i="12"/>
  <c r="AU336" i="12"/>
  <c r="AU337" i="12"/>
  <c r="AU338" i="12"/>
  <c r="AU339" i="12"/>
  <c r="AU340" i="12"/>
  <c r="AU341" i="12"/>
  <c r="AU342" i="12"/>
  <c r="AU343" i="12"/>
  <c r="AU344" i="12"/>
  <c r="AU345" i="12"/>
  <c r="AU346" i="12"/>
  <c r="AU347" i="12"/>
  <c r="AU348" i="12"/>
  <c r="AU349" i="12"/>
  <c r="AU350" i="12"/>
  <c r="AU351" i="12"/>
  <c r="AU352" i="12"/>
  <c r="AU353" i="12"/>
  <c r="AU354" i="12"/>
  <c r="AU355" i="12"/>
  <c r="AU356" i="12"/>
  <c r="AU357" i="12"/>
  <c r="AU358" i="12"/>
  <c r="AU359" i="12"/>
  <c r="AU360" i="12"/>
  <c r="AU361" i="12"/>
  <c r="AU362" i="12"/>
  <c r="AU363" i="12"/>
  <c r="AU364" i="12"/>
  <c r="AU365" i="12"/>
  <c r="AU366" i="12"/>
  <c r="AU7" i="12"/>
  <c r="AW9" i="12" l="1"/>
  <c r="AX9" i="12" s="1"/>
  <c r="AW10" i="12"/>
  <c r="AX10" i="12" s="1"/>
  <c r="AW12" i="12"/>
  <c r="AX12" i="12" s="1"/>
  <c r="AW13" i="12"/>
  <c r="AX13" i="12" s="1"/>
  <c r="AW14" i="12"/>
  <c r="AX14" i="12" s="1"/>
  <c r="AW15" i="12"/>
  <c r="AX15" i="12" s="1"/>
  <c r="AW16" i="12"/>
  <c r="AX16" i="12" s="1"/>
  <c r="AW17" i="12"/>
  <c r="AX17" i="12" s="1"/>
  <c r="AW18" i="12"/>
  <c r="AX18" i="12" s="1"/>
  <c r="AW19" i="12"/>
  <c r="AX19" i="12" s="1"/>
  <c r="AW20" i="12"/>
  <c r="AX20" i="12" s="1"/>
  <c r="AW21" i="12"/>
  <c r="AX21" i="12" s="1"/>
  <c r="AW22" i="12"/>
  <c r="AX22" i="12" s="1"/>
  <c r="AW23" i="12"/>
  <c r="AX23" i="12" s="1"/>
  <c r="AW24" i="12"/>
  <c r="AX24" i="12" s="1"/>
  <c r="AW25" i="12"/>
  <c r="AX25" i="12" s="1"/>
  <c r="AW26" i="12"/>
  <c r="AX26" i="12" s="1"/>
  <c r="AW27" i="12"/>
  <c r="AX27" i="12" s="1"/>
  <c r="AW28" i="12"/>
  <c r="AX28" i="12" s="1"/>
  <c r="AW29" i="12"/>
  <c r="AX29" i="12" s="1"/>
  <c r="AW30" i="12"/>
  <c r="AX30" i="12" s="1"/>
  <c r="AW31" i="12"/>
  <c r="AX31" i="12" s="1"/>
  <c r="AW32" i="12"/>
  <c r="AX32" i="12" s="1"/>
  <c r="AW33" i="12"/>
  <c r="AX33" i="12" s="1"/>
  <c r="AW34" i="12"/>
  <c r="AX34" i="12" s="1"/>
  <c r="AW35" i="12"/>
  <c r="AX35" i="12" s="1"/>
  <c r="AW36" i="12"/>
  <c r="AX36" i="12" s="1"/>
  <c r="AW37" i="12"/>
  <c r="AX37" i="12" s="1"/>
  <c r="AW38" i="12"/>
  <c r="AX38" i="12" s="1"/>
  <c r="AW39" i="12"/>
  <c r="AX39" i="12" s="1"/>
  <c r="AW40" i="12"/>
  <c r="AX40" i="12" s="1"/>
  <c r="AW41" i="12"/>
  <c r="AX41" i="12" s="1"/>
  <c r="AW42" i="12"/>
  <c r="AX42" i="12" s="1"/>
  <c r="AW43" i="12"/>
  <c r="AX43" i="12" s="1"/>
  <c r="AW44" i="12"/>
  <c r="AX44" i="12" s="1"/>
  <c r="AW45" i="12"/>
  <c r="AX45" i="12" s="1"/>
  <c r="AW46" i="12"/>
  <c r="AX46" i="12" s="1"/>
  <c r="AW47" i="12"/>
  <c r="AX47" i="12" s="1"/>
  <c r="AW48" i="12"/>
  <c r="AX48" i="12" s="1"/>
  <c r="AW49" i="12"/>
  <c r="AX49" i="12" s="1"/>
  <c r="AW50" i="12"/>
  <c r="AX50" i="12" s="1"/>
  <c r="AW51" i="12"/>
  <c r="AX51" i="12" s="1"/>
  <c r="AW52" i="12"/>
  <c r="AX52" i="12" s="1"/>
  <c r="AW53" i="12"/>
  <c r="AX53" i="12" s="1"/>
  <c r="AW54" i="12"/>
  <c r="AX54" i="12" s="1"/>
  <c r="AW55" i="12"/>
  <c r="AX55" i="12" s="1"/>
  <c r="AW56" i="12"/>
  <c r="AX56" i="12" s="1"/>
  <c r="AW57" i="12"/>
  <c r="AX57" i="12" s="1"/>
  <c r="AW58" i="12"/>
  <c r="AX58" i="12" s="1"/>
  <c r="AW59" i="12"/>
  <c r="AX59" i="12" s="1"/>
  <c r="AW60" i="12"/>
  <c r="AX60" i="12" s="1"/>
  <c r="AW61" i="12"/>
  <c r="AX61" i="12" s="1"/>
  <c r="AW62" i="12"/>
  <c r="AX62" i="12" s="1"/>
  <c r="AW63" i="12"/>
  <c r="AX63" i="12" s="1"/>
  <c r="AW64" i="12"/>
  <c r="AX64" i="12" s="1"/>
  <c r="AW65" i="12"/>
  <c r="AX65" i="12" s="1"/>
  <c r="AW66" i="12"/>
  <c r="AX66" i="12" s="1"/>
  <c r="AW67" i="12"/>
  <c r="AX67" i="12" s="1"/>
  <c r="AW68" i="12"/>
  <c r="AX68" i="12" s="1"/>
  <c r="AW69" i="12"/>
  <c r="AX69" i="12" s="1"/>
  <c r="AW70" i="12"/>
  <c r="AX70" i="12" s="1"/>
  <c r="AW71" i="12"/>
  <c r="AX71" i="12" s="1"/>
  <c r="AW72" i="12"/>
  <c r="AX72" i="12" s="1"/>
  <c r="AW73" i="12"/>
  <c r="AX73" i="12" s="1"/>
  <c r="AW74" i="12"/>
  <c r="AX74" i="12" s="1"/>
  <c r="AW75" i="12"/>
  <c r="AX75" i="12" s="1"/>
  <c r="AW76" i="12"/>
  <c r="AX76" i="12" s="1"/>
  <c r="AW77" i="12"/>
  <c r="AX77" i="12" s="1"/>
  <c r="AW78" i="12"/>
  <c r="AX78" i="12" s="1"/>
  <c r="AW79" i="12"/>
  <c r="AX79" i="12" s="1"/>
  <c r="AW80" i="12"/>
  <c r="AX80" i="12" s="1"/>
  <c r="AW81" i="12"/>
  <c r="AX81" i="12" s="1"/>
  <c r="AW82" i="12"/>
  <c r="AX82" i="12" s="1"/>
  <c r="AW83" i="12"/>
  <c r="AX83" i="12" s="1"/>
  <c r="AW84" i="12"/>
  <c r="AX84" i="12" s="1"/>
  <c r="AW85" i="12"/>
  <c r="AX85" i="12" s="1"/>
  <c r="AW86" i="12"/>
  <c r="AX86" i="12" s="1"/>
  <c r="AW87" i="12"/>
  <c r="AX87" i="12" s="1"/>
  <c r="AW88" i="12"/>
  <c r="AX88" i="12" s="1"/>
  <c r="AW89" i="12"/>
  <c r="AX89" i="12" s="1"/>
  <c r="AW90" i="12"/>
  <c r="AX90" i="12" s="1"/>
  <c r="AW91" i="12"/>
  <c r="AX91" i="12" s="1"/>
  <c r="AW92" i="12"/>
  <c r="AX92" i="12" s="1"/>
  <c r="AW93" i="12"/>
  <c r="AX93" i="12" s="1"/>
  <c r="AW94" i="12"/>
  <c r="AX94" i="12" s="1"/>
  <c r="AW95" i="12"/>
  <c r="AX95" i="12" s="1"/>
  <c r="AW96" i="12"/>
  <c r="AX96" i="12" s="1"/>
  <c r="AW97" i="12"/>
  <c r="AX97" i="12" s="1"/>
  <c r="AW98" i="12"/>
  <c r="AX98" i="12" s="1"/>
  <c r="AW99" i="12"/>
  <c r="AX99" i="12" s="1"/>
  <c r="AW100" i="12"/>
  <c r="AX100" i="12" s="1"/>
  <c r="AW101" i="12"/>
  <c r="AX101" i="12" s="1"/>
  <c r="AW102" i="12"/>
  <c r="AX102" i="12" s="1"/>
  <c r="AW103" i="12"/>
  <c r="AX103" i="12" s="1"/>
  <c r="AW104" i="12"/>
  <c r="AX104" i="12" s="1"/>
  <c r="AW105" i="12"/>
  <c r="AX105" i="12" s="1"/>
  <c r="AW106" i="12"/>
  <c r="AX106" i="12" s="1"/>
  <c r="AW107" i="12"/>
  <c r="AX107" i="12" s="1"/>
  <c r="AW108" i="12"/>
  <c r="AX108" i="12" s="1"/>
  <c r="AW109" i="12"/>
  <c r="AX109" i="12" s="1"/>
  <c r="AW110" i="12"/>
  <c r="AX110" i="12" s="1"/>
  <c r="AW111" i="12"/>
  <c r="AX111" i="12" s="1"/>
  <c r="AW112" i="12"/>
  <c r="AX112" i="12" s="1"/>
  <c r="AW113" i="12"/>
  <c r="AX113" i="12" s="1"/>
  <c r="AW114" i="12"/>
  <c r="AX114" i="12" s="1"/>
  <c r="AW115" i="12"/>
  <c r="AX115" i="12" s="1"/>
  <c r="AW116" i="12"/>
  <c r="AX116" i="12" s="1"/>
  <c r="AW117" i="12"/>
  <c r="AX117" i="12" s="1"/>
  <c r="AW118" i="12"/>
  <c r="AX118" i="12" s="1"/>
  <c r="AW119" i="12"/>
  <c r="AX119" i="12" s="1"/>
  <c r="AW120" i="12"/>
  <c r="AX120" i="12" s="1"/>
  <c r="AW121" i="12"/>
  <c r="AX121" i="12" s="1"/>
  <c r="AW122" i="12"/>
  <c r="AX122" i="12" s="1"/>
  <c r="AW123" i="12"/>
  <c r="AX123" i="12" s="1"/>
  <c r="AW124" i="12"/>
  <c r="AX124" i="12" s="1"/>
  <c r="AW125" i="12"/>
  <c r="AX125" i="12" s="1"/>
  <c r="AW126" i="12"/>
  <c r="AX126" i="12" s="1"/>
  <c r="AW127" i="12"/>
  <c r="AX127" i="12" s="1"/>
  <c r="AW128" i="12"/>
  <c r="AX128" i="12" s="1"/>
  <c r="AW129" i="12"/>
  <c r="AX129" i="12" s="1"/>
  <c r="AW130" i="12"/>
  <c r="AX130" i="12" s="1"/>
  <c r="AW131" i="12"/>
  <c r="AX131" i="12" s="1"/>
  <c r="AW132" i="12"/>
  <c r="AX132" i="12" s="1"/>
  <c r="AW133" i="12"/>
  <c r="AX133" i="12" s="1"/>
  <c r="AW134" i="12"/>
  <c r="AX134" i="12" s="1"/>
  <c r="AW135" i="12"/>
  <c r="AX135" i="12" s="1"/>
  <c r="AW136" i="12"/>
  <c r="AX136" i="12" s="1"/>
  <c r="AW137" i="12"/>
  <c r="AX137" i="12" s="1"/>
  <c r="AW138" i="12"/>
  <c r="AX138" i="12" s="1"/>
  <c r="AW139" i="12"/>
  <c r="AX139" i="12" s="1"/>
  <c r="AW140" i="12"/>
  <c r="AX140" i="12" s="1"/>
  <c r="AW141" i="12"/>
  <c r="AX141" i="12" s="1"/>
  <c r="AW142" i="12"/>
  <c r="AX142" i="12" s="1"/>
  <c r="AW143" i="12"/>
  <c r="AX143" i="12" s="1"/>
  <c r="AW144" i="12"/>
  <c r="AX144" i="12" s="1"/>
  <c r="AW145" i="12"/>
  <c r="AX145" i="12" s="1"/>
  <c r="AW146" i="12"/>
  <c r="AX146" i="12" s="1"/>
  <c r="AW147" i="12"/>
  <c r="AX147" i="12" s="1"/>
  <c r="AW148" i="12"/>
  <c r="AX148" i="12" s="1"/>
  <c r="AW149" i="12"/>
  <c r="AX149" i="12" s="1"/>
  <c r="AW150" i="12"/>
  <c r="AX150" i="12" s="1"/>
  <c r="AW151" i="12"/>
  <c r="AX151" i="12" s="1"/>
  <c r="AW152" i="12"/>
  <c r="AX152" i="12" s="1"/>
  <c r="AW153" i="12"/>
  <c r="AX153" i="12" s="1"/>
  <c r="AW154" i="12"/>
  <c r="AX154" i="12" s="1"/>
  <c r="AW155" i="12"/>
  <c r="AX155" i="12" s="1"/>
  <c r="AW156" i="12"/>
  <c r="AX156" i="12" s="1"/>
  <c r="AW157" i="12"/>
  <c r="AX157" i="12" s="1"/>
  <c r="AW158" i="12"/>
  <c r="AX158" i="12" s="1"/>
  <c r="AW159" i="12"/>
  <c r="AX159" i="12" s="1"/>
  <c r="AW160" i="12"/>
  <c r="AX160" i="12" s="1"/>
  <c r="AW161" i="12"/>
  <c r="AX161" i="12" s="1"/>
  <c r="AW162" i="12"/>
  <c r="AX162" i="12" s="1"/>
  <c r="AW163" i="12"/>
  <c r="AX163" i="12" s="1"/>
  <c r="AW164" i="12"/>
  <c r="AX164" i="12" s="1"/>
  <c r="AW165" i="12"/>
  <c r="AX165" i="12" s="1"/>
  <c r="AW166" i="12"/>
  <c r="AX166" i="12" s="1"/>
  <c r="AW167" i="12"/>
  <c r="AX167" i="12" s="1"/>
  <c r="AW168" i="12"/>
  <c r="AX168" i="12" s="1"/>
  <c r="AW169" i="12"/>
  <c r="AX169" i="12" s="1"/>
  <c r="AW170" i="12"/>
  <c r="AX170" i="12" s="1"/>
  <c r="AW171" i="12"/>
  <c r="AX171" i="12" s="1"/>
  <c r="AW172" i="12"/>
  <c r="AX172" i="12" s="1"/>
  <c r="AW173" i="12"/>
  <c r="AX173" i="12" s="1"/>
  <c r="AW174" i="12"/>
  <c r="AX174" i="12" s="1"/>
  <c r="AW175" i="12"/>
  <c r="AX175" i="12" s="1"/>
  <c r="AW176" i="12"/>
  <c r="AX176" i="12" s="1"/>
  <c r="AW177" i="12"/>
  <c r="AX177" i="12" s="1"/>
  <c r="AW178" i="12"/>
  <c r="AX178" i="12" s="1"/>
  <c r="AW179" i="12"/>
  <c r="AX179" i="12" s="1"/>
  <c r="AW180" i="12"/>
  <c r="AX180" i="12" s="1"/>
  <c r="AW181" i="12"/>
  <c r="AX181" i="12" s="1"/>
  <c r="AW182" i="12"/>
  <c r="AX182" i="12" s="1"/>
  <c r="AW183" i="12"/>
  <c r="AX183" i="12" s="1"/>
  <c r="AW184" i="12"/>
  <c r="AX184" i="12" s="1"/>
  <c r="AW185" i="12"/>
  <c r="AX185" i="12" s="1"/>
  <c r="AW186" i="12"/>
  <c r="AX186" i="12" s="1"/>
  <c r="AW187" i="12"/>
  <c r="AX187" i="12" s="1"/>
  <c r="AW188" i="12"/>
  <c r="AX188" i="12" s="1"/>
  <c r="AW189" i="12"/>
  <c r="AX189" i="12" s="1"/>
  <c r="AW190" i="12"/>
  <c r="AX190" i="12" s="1"/>
  <c r="AW192" i="12"/>
  <c r="AX192" i="12" s="1"/>
  <c r="AW193" i="12"/>
  <c r="AX193" i="12" s="1"/>
  <c r="AW194" i="12"/>
  <c r="AX194" i="12" s="1"/>
  <c r="AW195" i="12"/>
  <c r="AX195" i="12" s="1"/>
  <c r="AW196" i="12"/>
  <c r="AX196" i="12" s="1"/>
  <c r="AW197" i="12"/>
  <c r="AX197" i="12" s="1"/>
  <c r="AW198" i="12"/>
  <c r="AX198" i="12" s="1"/>
  <c r="AW199" i="12"/>
  <c r="AX199" i="12" s="1"/>
  <c r="AW200" i="12"/>
  <c r="AX200" i="12" s="1"/>
  <c r="AW201" i="12"/>
  <c r="AX201" i="12" s="1"/>
  <c r="AW202" i="12"/>
  <c r="AX202" i="12" s="1"/>
  <c r="AW203" i="12"/>
  <c r="AX203" i="12" s="1"/>
  <c r="AW204" i="12"/>
  <c r="AX204" i="12" s="1"/>
  <c r="AW205" i="12"/>
  <c r="AX205" i="12" s="1"/>
  <c r="AW206" i="12"/>
  <c r="AX206" i="12" s="1"/>
  <c r="AW207" i="12"/>
  <c r="AX207" i="12" s="1"/>
  <c r="AW208" i="12"/>
  <c r="AX208" i="12" s="1"/>
  <c r="AW209" i="12"/>
  <c r="AX209" i="12" s="1"/>
  <c r="AW210" i="12"/>
  <c r="AX210" i="12" s="1"/>
  <c r="AW211" i="12"/>
  <c r="AX211" i="12" s="1"/>
  <c r="AW212" i="12"/>
  <c r="AX212" i="12" s="1"/>
  <c r="AW213" i="12"/>
  <c r="AX213" i="12" s="1"/>
  <c r="AW214" i="12"/>
  <c r="AX214" i="12" s="1"/>
  <c r="AW215" i="12"/>
  <c r="AX215" i="12" s="1"/>
  <c r="AW216" i="12"/>
  <c r="AX216" i="12" s="1"/>
  <c r="AW217" i="12"/>
  <c r="AX217" i="12" s="1"/>
  <c r="AW218" i="12"/>
  <c r="AX218" i="12" s="1"/>
  <c r="AW219" i="12"/>
  <c r="AX219" i="12" s="1"/>
  <c r="AW220" i="12"/>
  <c r="AX220" i="12" s="1"/>
  <c r="AW221" i="12"/>
  <c r="AX221" i="12" s="1"/>
  <c r="AW222" i="12"/>
  <c r="AX222" i="12" s="1"/>
  <c r="AW223" i="12"/>
  <c r="AX223" i="12" s="1"/>
  <c r="AW224" i="12"/>
  <c r="AX224" i="12" s="1"/>
  <c r="AW225" i="12"/>
  <c r="AX225" i="12" s="1"/>
  <c r="AW226" i="12"/>
  <c r="AX226" i="12" s="1"/>
  <c r="AW227" i="12"/>
  <c r="AX227" i="12" s="1"/>
  <c r="AW228" i="12"/>
  <c r="AX228" i="12" s="1"/>
  <c r="AW229" i="12"/>
  <c r="AX229" i="12" s="1"/>
  <c r="AW230" i="12"/>
  <c r="AX230" i="12" s="1"/>
  <c r="AW231" i="12"/>
  <c r="AX231" i="12" s="1"/>
  <c r="AW232" i="12"/>
  <c r="AX232" i="12" s="1"/>
  <c r="AW233" i="12"/>
  <c r="AX233" i="12" s="1"/>
  <c r="AW234" i="12"/>
  <c r="AX234" i="12" s="1"/>
  <c r="AW235" i="12"/>
  <c r="AX235" i="12" s="1"/>
  <c r="AW236" i="12"/>
  <c r="AX236" i="12" s="1"/>
  <c r="AW237" i="12"/>
  <c r="AX237" i="12" s="1"/>
  <c r="AW238" i="12"/>
  <c r="AX238" i="12" s="1"/>
  <c r="AW239" i="12"/>
  <c r="AX239" i="12" s="1"/>
  <c r="AW240" i="12"/>
  <c r="AX240" i="12" s="1"/>
  <c r="AW241" i="12"/>
  <c r="AX241" i="12" s="1"/>
  <c r="AW242" i="12"/>
  <c r="AX242" i="12" s="1"/>
  <c r="AW243" i="12"/>
  <c r="AX243" i="12" s="1"/>
  <c r="AW244" i="12"/>
  <c r="AX244" i="12" s="1"/>
  <c r="AW245" i="12"/>
  <c r="AX245" i="12" s="1"/>
  <c r="AW246" i="12"/>
  <c r="AX246" i="12" s="1"/>
  <c r="AW247" i="12"/>
  <c r="AX247" i="12" s="1"/>
  <c r="AW248" i="12"/>
  <c r="AX248" i="12" s="1"/>
  <c r="AW249" i="12"/>
  <c r="AX249" i="12" s="1"/>
  <c r="AW250" i="12"/>
  <c r="AX250" i="12" s="1"/>
  <c r="AW251" i="12"/>
  <c r="AX251" i="12" s="1"/>
  <c r="AW252" i="12"/>
  <c r="AX252" i="12" s="1"/>
  <c r="AW253" i="12"/>
  <c r="AX253" i="12" s="1"/>
  <c r="AW254" i="12"/>
  <c r="AX254" i="12" s="1"/>
  <c r="AW255" i="12"/>
  <c r="AX255" i="12" s="1"/>
  <c r="AW256" i="12"/>
  <c r="AX256" i="12" s="1"/>
  <c r="AW257" i="12"/>
  <c r="AX257" i="12" s="1"/>
  <c r="AW258" i="12"/>
  <c r="AX258" i="12" s="1"/>
  <c r="AW259" i="12"/>
  <c r="AX259" i="12" s="1"/>
  <c r="AW260" i="12"/>
  <c r="AX260" i="12" s="1"/>
  <c r="AW261" i="12"/>
  <c r="AX261" i="12" s="1"/>
  <c r="AW262" i="12"/>
  <c r="AX262" i="12" s="1"/>
  <c r="AW263" i="12"/>
  <c r="AX263" i="12" s="1"/>
  <c r="AW264" i="12"/>
  <c r="AX264" i="12" s="1"/>
  <c r="AW265" i="12"/>
  <c r="AX265" i="12" s="1"/>
  <c r="AW266" i="12"/>
  <c r="AX266" i="12" s="1"/>
  <c r="AW267" i="12"/>
  <c r="AX267" i="12" s="1"/>
  <c r="AW268" i="12"/>
  <c r="AX268" i="12" s="1"/>
  <c r="AW269" i="12"/>
  <c r="AX269" i="12" s="1"/>
  <c r="AW270" i="12"/>
  <c r="AX270" i="12" s="1"/>
  <c r="AW271" i="12"/>
  <c r="AX271" i="12" s="1"/>
  <c r="AW272" i="12"/>
  <c r="AX272" i="12" s="1"/>
  <c r="AW273" i="12"/>
  <c r="AX273" i="12" s="1"/>
  <c r="AW274" i="12"/>
  <c r="AX274" i="12" s="1"/>
  <c r="AW275" i="12"/>
  <c r="AX275" i="12" s="1"/>
  <c r="AW276" i="12"/>
  <c r="AX276" i="12" s="1"/>
  <c r="AW277" i="12"/>
  <c r="AX277" i="12" s="1"/>
  <c r="AW278" i="12"/>
  <c r="AX278" i="12" s="1"/>
  <c r="AW279" i="12"/>
  <c r="AX279" i="12" s="1"/>
  <c r="AW280" i="12"/>
  <c r="AX280" i="12" s="1"/>
  <c r="AW281" i="12"/>
  <c r="AX281" i="12" s="1"/>
  <c r="AW282" i="12"/>
  <c r="AX282" i="12" s="1"/>
  <c r="AW283" i="12"/>
  <c r="AX283" i="12" s="1"/>
  <c r="AW284" i="12"/>
  <c r="AX284" i="12" s="1"/>
  <c r="AW285" i="12"/>
  <c r="AX285" i="12" s="1"/>
  <c r="AW286" i="12"/>
  <c r="AX286" i="12" s="1"/>
  <c r="AW287" i="12"/>
  <c r="AX287" i="12" s="1"/>
  <c r="AW288" i="12"/>
  <c r="AX288" i="12" s="1"/>
  <c r="AW289" i="12"/>
  <c r="AX289" i="12" s="1"/>
  <c r="AW290" i="12"/>
  <c r="AX290" i="12" s="1"/>
  <c r="AW291" i="12"/>
  <c r="AX291" i="12" s="1"/>
  <c r="AW292" i="12"/>
  <c r="AX292" i="12" s="1"/>
  <c r="AW293" i="12"/>
  <c r="AX293" i="12" s="1"/>
  <c r="AW294" i="12"/>
  <c r="AX294" i="12" s="1"/>
  <c r="AW295" i="12"/>
  <c r="AX295" i="12" s="1"/>
  <c r="AW296" i="12"/>
  <c r="AX296" i="12" s="1"/>
  <c r="AW297" i="12"/>
  <c r="AX297" i="12" s="1"/>
  <c r="AW298" i="12"/>
  <c r="AX298" i="12" s="1"/>
  <c r="AW299" i="12"/>
  <c r="AX299" i="12" s="1"/>
  <c r="AW300" i="12"/>
  <c r="AX300" i="12" s="1"/>
  <c r="AW301" i="12"/>
  <c r="AX301" i="12" s="1"/>
  <c r="AW302" i="12"/>
  <c r="AX302" i="12" s="1"/>
  <c r="AW303" i="12"/>
  <c r="AX303" i="12" s="1"/>
  <c r="AW304" i="12"/>
  <c r="AX304" i="12" s="1"/>
  <c r="AW305" i="12"/>
  <c r="AX305" i="12" s="1"/>
  <c r="AW306" i="12"/>
  <c r="AX306" i="12" s="1"/>
  <c r="AW307" i="12"/>
  <c r="AX307" i="12" s="1"/>
  <c r="AW308" i="12"/>
  <c r="AX308" i="12" s="1"/>
  <c r="AW309" i="12"/>
  <c r="AX309" i="12" s="1"/>
  <c r="AW310" i="12"/>
  <c r="AX310" i="12" s="1"/>
  <c r="AW312" i="12"/>
  <c r="AX312" i="12" s="1"/>
  <c r="AW313" i="12"/>
  <c r="AX313" i="12" s="1"/>
  <c r="AW314" i="12"/>
  <c r="AX314" i="12" s="1"/>
  <c r="AW315" i="12"/>
  <c r="AX315" i="12" s="1"/>
  <c r="AW316" i="12"/>
  <c r="AX316" i="12" s="1"/>
  <c r="AW317" i="12"/>
  <c r="AX317" i="12" s="1"/>
  <c r="AW318" i="12"/>
  <c r="AX318" i="12" s="1"/>
  <c r="AW319" i="12"/>
  <c r="AX319" i="12" s="1"/>
  <c r="AW320" i="12"/>
  <c r="AX320" i="12" s="1"/>
  <c r="AW321" i="12"/>
  <c r="AX321" i="12" s="1"/>
  <c r="AW322" i="12"/>
  <c r="AX322" i="12" s="1"/>
  <c r="AW323" i="12"/>
  <c r="AX323" i="12" s="1"/>
  <c r="AW324" i="12"/>
  <c r="AX324" i="12" s="1"/>
  <c r="AW325" i="12"/>
  <c r="AX325" i="12" s="1"/>
  <c r="AW326" i="12"/>
  <c r="AX326" i="12" s="1"/>
  <c r="AW327" i="12"/>
  <c r="AX327" i="12" s="1"/>
  <c r="AW328" i="12"/>
  <c r="AX328" i="12" s="1"/>
  <c r="AW329" i="12"/>
  <c r="AX329" i="12" s="1"/>
  <c r="AW330" i="12"/>
  <c r="AX330" i="12" s="1"/>
  <c r="AW331" i="12"/>
  <c r="AX331" i="12" s="1"/>
  <c r="AW332" i="12"/>
  <c r="AX332" i="12" s="1"/>
  <c r="AW333" i="12"/>
  <c r="AX333" i="12" s="1"/>
  <c r="AW334" i="12"/>
  <c r="AX334" i="12" s="1"/>
  <c r="AW335" i="12"/>
  <c r="AX335" i="12" s="1"/>
  <c r="AW336" i="12"/>
  <c r="AX336" i="12" s="1"/>
  <c r="AW337" i="12"/>
  <c r="AX337" i="12" s="1"/>
  <c r="AW338" i="12"/>
  <c r="AX338" i="12" s="1"/>
  <c r="AW339" i="12"/>
  <c r="AX339" i="12" s="1"/>
  <c r="AW340" i="12"/>
  <c r="AX340" i="12" s="1"/>
  <c r="AW341" i="12"/>
  <c r="AX341" i="12" s="1"/>
  <c r="AW342" i="12"/>
  <c r="AX342" i="12" s="1"/>
  <c r="AW343" i="12"/>
  <c r="AX343" i="12" s="1"/>
  <c r="AW344" i="12"/>
  <c r="AX344" i="12" s="1"/>
  <c r="AW345" i="12"/>
  <c r="AX345" i="12" s="1"/>
  <c r="AW346" i="12"/>
  <c r="AX346" i="12" s="1"/>
  <c r="AW347" i="12"/>
  <c r="AX347" i="12" s="1"/>
  <c r="AW348" i="12"/>
  <c r="AX348" i="12" s="1"/>
  <c r="AW349" i="12"/>
  <c r="AX349" i="12" s="1"/>
  <c r="AW350" i="12"/>
  <c r="AX350" i="12" s="1"/>
  <c r="AW351" i="12"/>
  <c r="AX351" i="12" s="1"/>
  <c r="AW352" i="12"/>
  <c r="AX352" i="12" s="1"/>
  <c r="AW353" i="12"/>
  <c r="AX353" i="12" s="1"/>
  <c r="AW354" i="12"/>
  <c r="AX354" i="12" s="1"/>
  <c r="AW355" i="12"/>
  <c r="AX355" i="12" s="1"/>
  <c r="AW356" i="12"/>
  <c r="AX356" i="12" s="1"/>
  <c r="AW357" i="12"/>
  <c r="AX357" i="12" s="1"/>
  <c r="AW358" i="12"/>
  <c r="AX358" i="12" s="1"/>
  <c r="AW359" i="12"/>
  <c r="AX359" i="12" s="1"/>
  <c r="AW360" i="12"/>
  <c r="AX360" i="12" s="1"/>
  <c r="AW361" i="12"/>
  <c r="AX361" i="12" s="1"/>
  <c r="AW362" i="12"/>
  <c r="AX362" i="12" s="1"/>
  <c r="AW363" i="12"/>
  <c r="AX363" i="12" s="1"/>
  <c r="AW364" i="12"/>
  <c r="AX364" i="12" s="1"/>
  <c r="AW365" i="12"/>
  <c r="AX365" i="12" s="1"/>
  <c r="AW366" i="12"/>
  <c r="AX366" i="12" s="1"/>
  <c r="AW311" i="12" l="1"/>
  <c r="AX311" i="12" s="1"/>
  <c r="AW7" i="12"/>
  <c r="AX7" i="12" s="1"/>
  <c r="AW8" i="12"/>
  <c r="AX8" i="12" s="1"/>
  <c r="AW11" i="12"/>
  <c r="AX11" i="12" s="1"/>
  <c r="AW191" i="12"/>
  <c r="AX191" i="12" s="1"/>
  <c r="AK366" i="12" l="1"/>
  <c r="AI366" i="12"/>
  <c r="AG366" i="12"/>
  <c r="AE366" i="12"/>
  <c r="AC366" i="12"/>
  <c r="AA366" i="12"/>
  <c r="Y366" i="12"/>
  <c r="AK365" i="12"/>
  <c r="AI365" i="12"/>
  <c r="AG365" i="12"/>
  <c r="AE365" i="12"/>
  <c r="AC365" i="12"/>
  <c r="AA365" i="12"/>
  <c r="Y365" i="12"/>
  <c r="AK364" i="12"/>
  <c r="AI364" i="12"/>
  <c r="AG364" i="12"/>
  <c r="AE364" i="12"/>
  <c r="AC364" i="12"/>
  <c r="AA364" i="12"/>
  <c r="Y364" i="12"/>
  <c r="AK363" i="12"/>
  <c r="AI363" i="12"/>
  <c r="AG363" i="12"/>
  <c r="AE363" i="12"/>
  <c r="AC363" i="12"/>
  <c r="AA363" i="12"/>
  <c r="Y363" i="12"/>
  <c r="AK362" i="12"/>
  <c r="AI362" i="12"/>
  <c r="AG362" i="12"/>
  <c r="AE362" i="12"/>
  <c r="AC362" i="12"/>
  <c r="AA362" i="12"/>
  <c r="Y362" i="12"/>
  <c r="AK361" i="12"/>
  <c r="AI361" i="12"/>
  <c r="AG361" i="12"/>
  <c r="AE361" i="12"/>
  <c r="AC361" i="12"/>
  <c r="AA361" i="12"/>
  <c r="Y361" i="12"/>
  <c r="Q361" i="12"/>
  <c r="R361" i="12" s="1"/>
  <c r="P361" i="12"/>
  <c r="N361" i="12"/>
  <c r="C361" i="12"/>
  <c r="AK360" i="12"/>
  <c r="AI360" i="12"/>
  <c r="AG360" i="12"/>
  <c r="AE360" i="12"/>
  <c r="AC360" i="12"/>
  <c r="AA360" i="12"/>
  <c r="Y360" i="12"/>
  <c r="AK359" i="12"/>
  <c r="AI359" i="12"/>
  <c r="AG359" i="12"/>
  <c r="AE359" i="12"/>
  <c r="AC359" i="12"/>
  <c r="AA359" i="12"/>
  <c r="Y359" i="12"/>
  <c r="AK358" i="12"/>
  <c r="AI358" i="12"/>
  <c r="AG358" i="12"/>
  <c r="AE358" i="12"/>
  <c r="AC358" i="12"/>
  <c r="AA358" i="12"/>
  <c r="Y358" i="12"/>
  <c r="AK357" i="12"/>
  <c r="AI357" i="12"/>
  <c r="AG357" i="12"/>
  <c r="AE357" i="12"/>
  <c r="AC357" i="12"/>
  <c r="AA357" i="12"/>
  <c r="Y357" i="12"/>
  <c r="AK356" i="12"/>
  <c r="AI356" i="12"/>
  <c r="AG356" i="12"/>
  <c r="AE356" i="12"/>
  <c r="AC356" i="12"/>
  <c r="AA356" i="12"/>
  <c r="Y356" i="12"/>
  <c r="AK355" i="12"/>
  <c r="AI355" i="12"/>
  <c r="AG355" i="12"/>
  <c r="AE355" i="12"/>
  <c r="AC355" i="12"/>
  <c r="AA355" i="12"/>
  <c r="Y355" i="12"/>
  <c r="Q355" i="12"/>
  <c r="R355" i="12" s="1"/>
  <c r="P355" i="12"/>
  <c r="N355" i="12"/>
  <c r="C355" i="12"/>
  <c r="AK354" i="12"/>
  <c r="AI354" i="12"/>
  <c r="AG354" i="12"/>
  <c r="AE354" i="12"/>
  <c r="AC354" i="12"/>
  <c r="AA354" i="12"/>
  <c r="Y354" i="12"/>
  <c r="AK353" i="12"/>
  <c r="AI353" i="12"/>
  <c r="AG353" i="12"/>
  <c r="AE353" i="12"/>
  <c r="AC353" i="12"/>
  <c r="AA353" i="12"/>
  <c r="Y353" i="12"/>
  <c r="AK352" i="12"/>
  <c r="AI352" i="12"/>
  <c r="AG352" i="12"/>
  <c r="AE352" i="12"/>
  <c r="AC352" i="12"/>
  <c r="AA352" i="12"/>
  <c r="Y352" i="12"/>
  <c r="AK351" i="12"/>
  <c r="AI351" i="12"/>
  <c r="AG351" i="12"/>
  <c r="AE351" i="12"/>
  <c r="AC351" i="12"/>
  <c r="AA351" i="12"/>
  <c r="Y351" i="12"/>
  <c r="AK350" i="12"/>
  <c r="AI350" i="12"/>
  <c r="AG350" i="12"/>
  <c r="AE350" i="12"/>
  <c r="AC350" i="12"/>
  <c r="AA350" i="12"/>
  <c r="Y350" i="12"/>
  <c r="AK349" i="12"/>
  <c r="AI349" i="12"/>
  <c r="AG349" i="12"/>
  <c r="AE349" i="12"/>
  <c r="AC349" i="12"/>
  <c r="AA349" i="12"/>
  <c r="Y349" i="12"/>
  <c r="Q349" i="12"/>
  <c r="R349" i="12" s="1"/>
  <c r="P349" i="12"/>
  <c r="N349" i="12"/>
  <c r="C349" i="12"/>
  <c r="AK348" i="12"/>
  <c r="AI348" i="12"/>
  <c r="AG348" i="12"/>
  <c r="AE348" i="12"/>
  <c r="AC348" i="12"/>
  <c r="AA348" i="12"/>
  <c r="Y348" i="12"/>
  <c r="AK347" i="12"/>
  <c r="AI347" i="12"/>
  <c r="AG347" i="12"/>
  <c r="AE347" i="12"/>
  <c r="AC347" i="12"/>
  <c r="AA347" i="12"/>
  <c r="Y347" i="12"/>
  <c r="AK346" i="12"/>
  <c r="AI346" i="12"/>
  <c r="AG346" i="12"/>
  <c r="AE346" i="12"/>
  <c r="AC346" i="12"/>
  <c r="AA346" i="12"/>
  <c r="Y346" i="12"/>
  <c r="AK345" i="12"/>
  <c r="AI345" i="12"/>
  <c r="AG345" i="12"/>
  <c r="AE345" i="12"/>
  <c r="AC345" i="12"/>
  <c r="AA345" i="12"/>
  <c r="Y345" i="12"/>
  <c r="AK344" i="12"/>
  <c r="AI344" i="12"/>
  <c r="AG344" i="12"/>
  <c r="AE344" i="12"/>
  <c r="AC344" i="12"/>
  <c r="AA344" i="12"/>
  <c r="Y344" i="12"/>
  <c r="AK343" i="12"/>
  <c r="AI343" i="12"/>
  <c r="AG343" i="12"/>
  <c r="AE343" i="12"/>
  <c r="AC343" i="12"/>
  <c r="AA343" i="12"/>
  <c r="Y343" i="12"/>
  <c r="Q343" i="12"/>
  <c r="R343" i="12" s="1"/>
  <c r="P343" i="12"/>
  <c r="N343" i="12"/>
  <c r="C343" i="12"/>
  <c r="AK342" i="12"/>
  <c r="AI342" i="12"/>
  <c r="AG342" i="12"/>
  <c r="AE342" i="12"/>
  <c r="AC342" i="12"/>
  <c r="AA342" i="12"/>
  <c r="Y342" i="12"/>
  <c r="AK341" i="12"/>
  <c r="AI341" i="12"/>
  <c r="AG341" i="12"/>
  <c r="AE341" i="12"/>
  <c r="AC341" i="12"/>
  <c r="AA341" i="12"/>
  <c r="Y341" i="12"/>
  <c r="AK340" i="12"/>
  <c r="AI340" i="12"/>
  <c r="AG340" i="12"/>
  <c r="AE340" i="12"/>
  <c r="AC340" i="12"/>
  <c r="AA340" i="12"/>
  <c r="Y340" i="12"/>
  <c r="AK339" i="12"/>
  <c r="AI339" i="12"/>
  <c r="AG339" i="12"/>
  <c r="AE339" i="12"/>
  <c r="AC339" i="12"/>
  <c r="AA339" i="12"/>
  <c r="Y339" i="12"/>
  <c r="AK338" i="12"/>
  <c r="AI338" i="12"/>
  <c r="AG338" i="12"/>
  <c r="AE338" i="12"/>
  <c r="AC338" i="12"/>
  <c r="AA338" i="12"/>
  <c r="Y338" i="12"/>
  <c r="AK337" i="12"/>
  <c r="AI337" i="12"/>
  <c r="AG337" i="12"/>
  <c r="AE337" i="12"/>
  <c r="AC337" i="12"/>
  <c r="AA337" i="12"/>
  <c r="Y337" i="12"/>
  <c r="Q337" i="12"/>
  <c r="R337" i="12" s="1"/>
  <c r="P337" i="12"/>
  <c r="N337" i="12"/>
  <c r="C337" i="12"/>
  <c r="AK336" i="12"/>
  <c r="AI336" i="12"/>
  <c r="AG336" i="12"/>
  <c r="AE336" i="12"/>
  <c r="AC336" i="12"/>
  <c r="AA336" i="12"/>
  <c r="Y336" i="12"/>
  <c r="AK335" i="12"/>
  <c r="AI335" i="12"/>
  <c r="AG335" i="12"/>
  <c r="AE335" i="12"/>
  <c r="AC335" i="12"/>
  <c r="AA335" i="12"/>
  <c r="Y335" i="12"/>
  <c r="AK334" i="12"/>
  <c r="AI334" i="12"/>
  <c r="AG334" i="12"/>
  <c r="AE334" i="12"/>
  <c r="AC334" i="12"/>
  <c r="AA334" i="12"/>
  <c r="Y334" i="12"/>
  <c r="AK333" i="12"/>
  <c r="AI333" i="12"/>
  <c r="AG333" i="12"/>
  <c r="AE333" i="12"/>
  <c r="AC333" i="12"/>
  <c r="AA333" i="12"/>
  <c r="Y333" i="12"/>
  <c r="AK332" i="12"/>
  <c r="AI332" i="12"/>
  <c r="AG332" i="12"/>
  <c r="AE332" i="12"/>
  <c r="AC332" i="12"/>
  <c r="AA332" i="12"/>
  <c r="Y332" i="12"/>
  <c r="AK331" i="12"/>
  <c r="AI331" i="12"/>
  <c r="AG331" i="12"/>
  <c r="AE331" i="12"/>
  <c r="AC331" i="12"/>
  <c r="AA331" i="12"/>
  <c r="Y331" i="12"/>
  <c r="Q331" i="12"/>
  <c r="R331" i="12" s="1"/>
  <c r="P331" i="12"/>
  <c r="N331" i="12"/>
  <c r="C331" i="12"/>
  <c r="AK330" i="12"/>
  <c r="AI330" i="12"/>
  <c r="AG330" i="12"/>
  <c r="AE330" i="12"/>
  <c r="AC330" i="12"/>
  <c r="AA330" i="12"/>
  <c r="Y330" i="12"/>
  <c r="AK329" i="12"/>
  <c r="AI329" i="12"/>
  <c r="AG329" i="12"/>
  <c r="AE329" i="12"/>
  <c r="AC329" i="12"/>
  <c r="AA329" i="12"/>
  <c r="Y329" i="12"/>
  <c r="AK328" i="12"/>
  <c r="AI328" i="12"/>
  <c r="AG328" i="12"/>
  <c r="AE328" i="12"/>
  <c r="AC328" i="12"/>
  <c r="AA328" i="12"/>
  <c r="Y328" i="12"/>
  <c r="AK327" i="12"/>
  <c r="AI327" i="12"/>
  <c r="AG327" i="12"/>
  <c r="AE327" i="12"/>
  <c r="AC327" i="12"/>
  <c r="AA327" i="12"/>
  <c r="Y327" i="12"/>
  <c r="AK326" i="12"/>
  <c r="AI326" i="12"/>
  <c r="AG326" i="12"/>
  <c r="AE326" i="12"/>
  <c r="AC326" i="12"/>
  <c r="AA326" i="12"/>
  <c r="Y326" i="12"/>
  <c r="AK325" i="12"/>
  <c r="AI325" i="12"/>
  <c r="AG325" i="12"/>
  <c r="AE325" i="12"/>
  <c r="AC325" i="12"/>
  <c r="AA325" i="12"/>
  <c r="Y325" i="12"/>
  <c r="Q325" i="12"/>
  <c r="R325" i="12" s="1"/>
  <c r="P325" i="12"/>
  <c r="N325" i="12"/>
  <c r="C325" i="12"/>
  <c r="AK324" i="12"/>
  <c r="AI324" i="12"/>
  <c r="AG324" i="12"/>
  <c r="AE324" i="12"/>
  <c r="AC324" i="12"/>
  <c r="AA324" i="12"/>
  <c r="Y324" i="12"/>
  <c r="AK323" i="12"/>
  <c r="AI323" i="12"/>
  <c r="AG323" i="12"/>
  <c r="AE323" i="12"/>
  <c r="AC323" i="12"/>
  <c r="AA323" i="12"/>
  <c r="Y323" i="12"/>
  <c r="AK322" i="12"/>
  <c r="AI322" i="12"/>
  <c r="AG322" i="12"/>
  <c r="AE322" i="12"/>
  <c r="AC322" i="12"/>
  <c r="AA322" i="12"/>
  <c r="Y322" i="12"/>
  <c r="AK321" i="12"/>
  <c r="AI321" i="12"/>
  <c r="AG321" i="12"/>
  <c r="AE321" i="12"/>
  <c r="AC321" i="12"/>
  <c r="AA321" i="12"/>
  <c r="Y321" i="12"/>
  <c r="AK320" i="12"/>
  <c r="AI320" i="12"/>
  <c r="AG320" i="12"/>
  <c r="AE320" i="12"/>
  <c r="AC320" i="12"/>
  <c r="AA320" i="12"/>
  <c r="Y320" i="12"/>
  <c r="AK319" i="12"/>
  <c r="AI319" i="12"/>
  <c r="AG319" i="12"/>
  <c r="AE319" i="12"/>
  <c r="AC319" i="12"/>
  <c r="AA319" i="12"/>
  <c r="Y319" i="12"/>
  <c r="Q319" i="12"/>
  <c r="R319" i="12" s="1"/>
  <c r="P319" i="12"/>
  <c r="N319" i="12"/>
  <c r="C319" i="12"/>
  <c r="AK318" i="12"/>
  <c r="AI318" i="12"/>
  <c r="AG318" i="12"/>
  <c r="AE318" i="12"/>
  <c r="AC318" i="12"/>
  <c r="AA318" i="12"/>
  <c r="Y318" i="12"/>
  <c r="AK317" i="12"/>
  <c r="AI317" i="12"/>
  <c r="AG317" i="12"/>
  <c r="AE317" i="12"/>
  <c r="AC317" i="12"/>
  <c r="AA317" i="12"/>
  <c r="Y317" i="12"/>
  <c r="AK316" i="12"/>
  <c r="AI316" i="12"/>
  <c r="AG316" i="12"/>
  <c r="AE316" i="12"/>
  <c r="AC316" i="12"/>
  <c r="AA316" i="12"/>
  <c r="Y316" i="12"/>
  <c r="AK315" i="12"/>
  <c r="AI315" i="12"/>
  <c r="AG315" i="12"/>
  <c r="AE315" i="12"/>
  <c r="AC315" i="12"/>
  <c r="AA315" i="12"/>
  <c r="Y315" i="12"/>
  <c r="AK314" i="12"/>
  <c r="AI314" i="12"/>
  <c r="AG314" i="12"/>
  <c r="AE314" i="12"/>
  <c r="AC314" i="12"/>
  <c r="AA314" i="12"/>
  <c r="Y314" i="12"/>
  <c r="AK313" i="12"/>
  <c r="AI313" i="12"/>
  <c r="AG313" i="12"/>
  <c r="AE313" i="12"/>
  <c r="AC313" i="12"/>
  <c r="AA313" i="12"/>
  <c r="Y313" i="12"/>
  <c r="Q313" i="12"/>
  <c r="R313" i="12" s="1"/>
  <c r="P313" i="12"/>
  <c r="N313" i="12"/>
  <c r="C313" i="12"/>
  <c r="AK312" i="12"/>
  <c r="AI312" i="12"/>
  <c r="AG312" i="12"/>
  <c r="AE312" i="12"/>
  <c r="AC312" i="12"/>
  <c r="AA312" i="12"/>
  <c r="Y312" i="12"/>
  <c r="AK311" i="12"/>
  <c r="AI311" i="12"/>
  <c r="AG311" i="12"/>
  <c r="AE311" i="12"/>
  <c r="AC311" i="12"/>
  <c r="AA311" i="12"/>
  <c r="Y311" i="12"/>
  <c r="AK310" i="12"/>
  <c r="AI310" i="12"/>
  <c r="AG310" i="12"/>
  <c r="AE310" i="12"/>
  <c r="AC310" i="12"/>
  <c r="AA310" i="12"/>
  <c r="Y310" i="12"/>
  <c r="AK309" i="12"/>
  <c r="AI309" i="12"/>
  <c r="AG309" i="12"/>
  <c r="AE309" i="12"/>
  <c r="AC309" i="12"/>
  <c r="AA309" i="12"/>
  <c r="Y309" i="12"/>
  <c r="AK308" i="12"/>
  <c r="AI308" i="12"/>
  <c r="AG308" i="12"/>
  <c r="AE308" i="12"/>
  <c r="AC308" i="12"/>
  <c r="AA308" i="12"/>
  <c r="Y308" i="12"/>
  <c r="AK307" i="12"/>
  <c r="AI307" i="12"/>
  <c r="AG307" i="12"/>
  <c r="AE307" i="12"/>
  <c r="AC307" i="12"/>
  <c r="AA307" i="12"/>
  <c r="Y307" i="12"/>
  <c r="Q307" i="12"/>
  <c r="R307" i="12" s="1"/>
  <c r="P307" i="12"/>
  <c r="N307" i="12"/>
  <c r="C307" i="12"/>
  <c r="AK306" i="12"/>
  <c r="AI306" i="12"/>
  <c r="AG306" i="12"/>
  <c r="AE306" i="12"/>
  <c r="AC306" i="12"/>
  <c r="AA306" i="12"/>
  <c r="Y306" i="12"/>
  <c r="AK305" i="12"/>
  <c r="AI305" i="12"/>
  <c r="AG305" i="12"/>
  <c r="AE305" i="12"/>
  <c r="AC305" i="12"/>
  <c r="AA305" i="12"/>
  <c r="Y305" i="12"/>
  <c r="AK304" i="12"/>
  <c r="AI304" i="12"/>
  <c r="AG304" i="12"/>
  <c r="AE304" i="12"/>
  <c r="AC304" i="12"/>
  <c r="AA304" i="12"/>
  <c r="Y304" i="12"/>
  <c r="AK303" i="12"/>
  <c r="AI303" i="12"/>
  <c r="AG303" i="12"/>
  <c r="AE303" i="12"/>
  <c r="AC303" i="12"/>
  <c r="AA303" i="12"/>
  <c r="Y303" i="12"/>
  <c r="AK302" i="12"/>
  <c r="AI302" i="12"/>
  <c r="AG302" i="12"/>
  <c r="AE302" i="12"/>
  <c r="AC302" i="12"/>
  <c r="AA302" i="12"/>
  <c r="Y302" i="12"/>
  <c r="AK301" i="12"/>
  <c r="AI301" i="12"/>
  <c r="AG301" i="12"/>
  <c r="AE301" i="12"/>
  <c r="AC301" i="12"/>
  <c r="AA301" i="12"/>
  <c r="Y301" i="12"/>
  <c r="Q301" i="12"/>
  <c r="R301" i="12" s="1"/>
  <c r="P301" i="12"/>
  <c r="N301" i="12"/>
  <c r="C301" i="12"/>
  <c r="AK300" i="12"/>
  <c r="AI300" i="12"/>
  <c r="AG300" i="12"/>
  <c r="AE300" i="12"/>
  <c r="AC300" i="12"/>
  <c r="AA300" i="12"/>
  <c r="Y300" i="12"/>
  <c r="AK299" i="12"/>
  <c r="AI299" i="12"/>
  <c r="AG299" i="12"/>
  <c r="AE299" i="12"/>
  <c r="AC299" i="12"/>
  <c r="AA299" i="12"/>
  <c r="Y299" i="12"/>
  <c r="AK298" i="12"/>
  <c r="AI298" i="12"/>
  <c r="AG298" i="12"/>
  <c r="AE298" i="12"/>
  <c r="AC298" i="12"/>
  <c r="AA298" i="12"/>
  <c r="Y298" i="12"/>
  <c r="AK297" i="12"/>
  <c r="AI297" i="12"/>
  <c r="AG297" i="12"/>
  <c r="AE297" i="12"/>
  <c r="AC297" i="12"/>
  <c r="AA297" i="12"/>
  <c r="Y297" i="12"/>
  <c r="AK296" i="12"/>
  <c r="AI296" i="12"/>
  <c r="AG296" i="12"/>
  <c r="AE296" i="12"/>
  <c r="AC296" i="12"/>
  <c r="AA296" i="12"/>
  <c r="Y296" i="12"/>
  <c r="AK295" i="12"/>
  <c r="AI295" i="12"/>
  <c r="AG295" i="12"/>
  <c r="AE295" i="12"/>
  <c r="AC295" i="12"/>
  <c r="AA295" i="12"/>
  <c r="Y295" i="12"/>
  <c r="Q295" i="12"/>
  <c r="R295" i="12" s="1"/>
  <c r="P295" i="12"/>
  <c r="N295" i="12"/>
  <c r="C295" i="12"/>
  <c r="AK294" i="12"/>
  <c r="AI294" i="12"/>
  <c r="AG294" i="12"/>
  <c r="AE294" i="12"/>
  <c r="AC294" i="12"/>
  <c r="AA294" i="12"/>
  <c r="Y294" i="12"/>
  <c r="AK293" i="12"/>
  <c r="AI293" i="12"/>
  <c r="AG293" i="12"/>
  <c r="AE293" i="12"/>
  <c r="AC293" i="12"/>
  <c r="AA293" i="12"/>
  <c r="Y293" i="12"/>
  <c r="AK292" i="12"/>
  <c r="AI292" i="12"/>
  <c r="AG292" i="12"/>
  <c r="AE292" i="12"/>
  <c r="AC292" i="12"/>
  <c r="AA292" i="12"/>
  <c r="Y292" i="12"/>
  <c r="AK291" i="12"/>
  <c r="AI291" i="12"/>
  <c r="AG291" i="12"/>
  <c r="AE291" i="12"/>
  <c r="AC291" i="12"/>
  <c r="AA291" i="12"/>
  <c r="Y291" i="12"/>
  <c r="AK290" i="12"/>
  <c r="AI290" i="12"/>
  <c r="AG290" i="12"/>
  <c r="AE290" i="12"/>
  <c r="AC290" i="12"/>
  <c r="AA290" i="12"/>
  <c r="Y290" i="12"/>
  <c r="AK289" i="12"/>
  <c r="AI289" i="12"/>
  <c r="AG289" i="12"/>
  <c r="AE289" i="12"/>
  <c r="AC289" i="12"/>
  <c r="AA289" i="12"/>
  <c r="Y289" i="12"/>
  <c r="Q289" i="12"/>
  <c r="R289" i="12" s="1"/>
  <c r="P289" i="12"/>
  <c r="N289" i="12"/>
  <c r="C289" i="12"/>
  <c r="AK288" i="12"/>
  <c r="AI288" i="12"/>
  <c r="AG288" i="12"/>
  <c r="AE288" i="12"/>
  <c r="AC288" i="12"/>
  <c r="AA288" i="12"/>
  <c r="Y288" i="12"/>
  <c r="AK287" i="12"/>
  <c r="AI287" i="12"/>
  <c r="AG287" i="12"/>
  <c r="AE287" i="12"/>
  <c r="AC287" i="12"/>
  <c r="AA287" i="12"/>
  <c r="Y287" i="12"/>
  <c r="AK286" i="12"/>
  <c r="AI286" i="12"/>
  <c r="AG286" i="12"/>
  <c r="AE286" i="12"/>
  <c r="AC286" i="12"/>
  <c r="AA286" i="12"/>
  <c r="Y286" i="12"/>
  <c r="AK285" i="12"/>
  <c r="AI285" i="12"/>
  <c r="AG285" i="12"/>
  <c r="AE285" i="12"/>
  <c r="AC285" i="12"/>
  <c r="AA285" i="12"/>
  <c r="Y285" i="12"/>
  <c r="AK284" i="12"/>
  <c r="AI284" i="12"/>
  <c r="AG284" i="12"/>
  <c r="AE284" i="12"/>
  <c r="AC284" i="12"/>
  <c r="AA284" i="12"/>
  <c r="Y284" i="12"/>
  <c r="AK283" i="12"/>
  <c r="AI283" i="12"/>
  <c r="AG283" i="12"/>
  <c r="AE283" i="12"/>
  <c r="AC283" i="12"/>
  <c r="AA283" i="12"/>
  <c r="Y283" i="12"/>
  <c r="Q283" i="12"/>
  <c r="R283" i="12" s="1"/>
  <c r="P283" i="12"/>
  <c r="N283" i="12"/>
  <c r="C283" i="12"/>
  <c r="AK282" i="12"/>
  <c r="AI282" i="12"/>
  <c r="AG282" i="12"/>
  <c r="AE282" i="12"/>
  <c r="AC282" i="12"/>
  <c r="AA282" i="12"/>
  <c r="Y282" i="12"/>
  <c r="AK281" i="12"/>
  <c r="AI281" i="12"/>
  <c r="AG281" i="12"/>
  <c r="AE281" i="12"/>
  <c r="AC281" i="12"/>
  <c r="AA281" i="12"/>
  <c r="Y281" i="12"/>
  <c r="AK280" i="12"/>
  <c r="AI280" i="12"/>
  <c r="AG280" i="12"/>
  <c r="AE280" i="12"/>
  <c r="AC280" i="12"/>
  <c r="AA280" i="12"/>
  <c r="Y280" i="12"/>
  <c r="AK279" i="12"/>
  <c r="AI279" i="12"/>
  <c r="AG279" i="12"/>
  <c r="AE279" i="12"/>
  <c r="AC279" i="12"/>
  <c r="AA279" i="12"/>
  <c r="Y279" i="12"/>
  <c r="AK278" i="12"/>
  <c r="AI278" i="12"/>
  <c r="AG278" i="12"/>
  <c r="AE278" i="12"/>
  <c r="AC278" i="12"/>
  <c r="AA278" i="12"/>
  <c r="Y278" i="12"/>
  <c r="AK277" i="12"/>
  <c r="AI277" i="12"/>
  <c r="AG277" i="12"/>
  <c r="AE277" i="12"/>
  <c r="AC277" i="12"/>
  <c r="AA277" i="12"/>
  <c r="Y277" i="12"/>
  <c r="Q277" i="12"/>
  <c r="R277" i="12" s="1"/>
  <c r="P277" i="12"/>
  <c r="N277" i="12"/>
  <c r="C277" i="12"/>
  <c r="AK276" i="12"/>
  <c r="AI276" i="12"/>
  <c r="AG276" i="12"/>
  <c r="AE276" i="12"/>
  <c r="AC276" i="12"/>
  <c r="AA276" i="12"/>
  <c r="Y276" i="12"/>
  <c r="AK275" i="12"/>
  <c r="AI275" i="12"/>
  <c r="AG275" i="12"/>
  <c r="AE275" i="12"/>
  <c r="AC275" i="12"/>
  <c r="AA275" i="12"/>
  <c r="Y275" i="12"/>
  <c r="AK274" i="12"/>
  <c r="AI274" i="12"/>
  <c r="AG274" i="12"/>
  <c r="AE274" i="12"/>
  <c r="AC274" i="12"/>
  <c r="AA274" i="12"/>
  <c r="Y274" i="12"/>
  <c r="AK273" i="12"/>
  <c r="AI273" i="12"/>
  <c r="AG273" i="12"/>
  <c r="AE273" i="12"/>
  <c r="AC273" i="12"/>
  <c r="AA273" i="12"/>
  <c r="Y273" i="12"/>
  <c r="AK272" i="12"/>
  <c r="AI272" i="12"/>
  <c r="AG272" i="12"/>
  <c r="AE272" i="12"/>
  <c r="AC272" i="12"/>
  <c r="AA272" i="12"/>
  <c r="Y272" i="12"/>
  <c r="AK271" i="12"/>
  <c r="AI271" i="12"/>
  <c r="AG271" i="12"/>
  <c r="AE271" i="12"/>
  <c r="AC271" i="12"/>
  <c r="AA271" i="12"/>
  <c r="Y271" i="12"/>
  <c r="Q271" i="12"/>
  <c r="R271" i="12" s="1"/>
  <c r="P271" i="12"/>
  <c r="N271" i="12"/>
  <c r="C271" i="12"/>
  <c r="AK270" i="12"/>
  <c r="AI270" i="12"/>
  <c r="AG270" i="12"/>
  <c r="AE270" i="12"/>
  <c r="AC270" i="12"/>
  <c r="AA270" i="12"/>
  <c r="Y270" i="12"/>
  <c r="AK269" i="12"/>
  <c r="AI269" i="12"/>
  <c r="AG269" i="12"/>
  <c r="AE269" i="12"/>
  <c r="AC269" i="12"/>
  <c r="AA269" i="12"/>
  <c r="Y269" i="12"/>
  <c r="AK268" i="12"/>
  <c r="AI268" i="12"/>
  <c r="AG268" i="12"/>
  <c r="AE268" i="12"/>
  <c r="AC268" i="12"/>
  <c r="AA268" i="12"/>
  <c r="Y268" i="12"/>
  <c r="AK267" i="12"/>
  <c r="AI267" i="12"/>
  <c r="AG267" i="12"/>
  <c r="AE267" i="12"/>
  <c r="AC267" i="12"/>
  <c r="AA267" i="12"/>
  <c r="Y267" i="12"/>
  <c r="AK266" i="12"/>
  <c r="AI266" i="12"/>
  <c r="AG266" i="12"/>
  <c r="AE266" i="12"/>
  <c r="AC266" i="12"/>
  <c r="AA266" i="12"/>
  <c r="Y266" i="12"/>
  <c r="AK265" i="12"/>
  <c r="AI265" i="12"/>
  <c r="AG265" i="12"/>
  <c r="AE265" i="12"/>
  <c r="AC265" i="12"/>
  <c r="AA265" i="12"/>
  <c r="Y265" i="12"/>
  <c r="Q265" i="12"/>
  <c r="R265" i="12" s="1"/>
  <c r="P265" i="12"/>
  <c r="N265" i="12"/>
  <c r="C265" i="12"/>
  <c r="AK264" i="12"/>
  <c r="AI264" i="12"/>
  <c r="AG264" i="12"/>
  <c r="AE264" i="12"/>
  <c r="AC264" i="12"/>
  <c r="AA264" i="12"/>
  <c r="Y264" i="12"/>
  <c r="AK263" i="12"/>
  <c r="AI263" i="12"/>
  <c r="AG263" i="12"/>
  <c r="AE263" i="12"/>
  <c r="AC263" i="12"/>
  <c r="AA263" i="12"/>
  <c r="Y263" i="12"/>
  <c r="AK262" i="12"/>
  <c r="AI262" i="12"/>
  <c r="AG262" i="12"/>
  <c r="AE262" i="12"/>
  <c r="AC262" i="12"/>
  <c r="AA262" i="12"/>
  <c r="Y262" i="12"/>
  <c r="AK261" i="12"/>
  <c r="AI261" i="12"/>
  <c r="AG261" i="12"/>
  <c r="AE261" i="12"/>
  <c r="AC261" i="12"/>
  <c r="AA261" i="12"/>
  <c r="Y261" i="12"/>
  <c r="AK260" i="12"/>
  <c r="AI260" i="12"/>
  <c r="AG260" i="12"/>
  <c r="AE260" i="12"/>
  <c r="AC260" i="12"/>
  <c r="AA260" i="12"/>
  <c r="Y260" i="12"/>
  <c r="AK259" i="12"/>
  <c r="AI259" i="12"/>
  <c r="AG259" i="12"/>
  <c r="AE259" i="12"/>
  <c r="AC259" i="12"/>
  <c r="AA259" i="12"/>
  <c r="Y259" i="12"/>
  <c r="Q259" i="12"/>
  <c r="R259" i="12" s="1"/>
  <c r="P259" i="12"/>
  <c r="N259" i="12"/>
  <c r="C259" i="12"/>
  <c r="AK258" i="12"/>
  <c r="AI258" i="12"/>
  <c r="AG258" i="12"/>
  <c r="AE258" i="12"/>
  <c r="AC258" i="12"/>
  <c r="AA258" i="12"/>
  <c r="Y258" i="12"/>
  <c r="AK257" i="12"/>
  <c r="AI257" i="12"/>
  <c r="AG257" i="12"/>
  <c r="AE257" i="12"/>
  <c r="AC257" i="12"/>
  <c r="AA257" i="12"/>
  <c r="Y257" i="12"/>
  <c r="AK256" i="12"/>
  <c r="AI256" i="12"/>
  <c r="AG256" i="12"/>
  <c r="AE256" i="12"/>
  <c r="AC256" i="12"/>
  <c r="AA256" i="12"/>
  <c r="Y256" i="12"/>
  <c r="AK255" i="12"/>
  <c r="AI255" i="12"/>
  <c r="AG255" i="12"/>
  <c r="AE255" i="12"/>
  <c r="AC255" i="12"/>
  <c r="AA255" i="12"/>
  <c r="Y255" i="12"/>
  <c r="AK254" i="12"/>
  <c r="AI254" i="12"/>
  <c r="AG254" i="12"/>
  <c r="AE254" i="12"/>
  <c r="AC254" i="12"/>
  <c r="AA254" i="12"/>
  <c r="Y254" i="12"/>
  <c r="AK253" i="12"/>
  <c r="AI253" i="12"/>
  <c r="AG253" i="12"/>
  <c r="AE253" i="12"/>
  <c r="AC253" i="12"/>
  <c r="AA253" i="12"/>
  <c r="Y253" i="12"/>
  <c r="Q253" i="12"/>
  <c r="R253" i="12" s="1"/>
  <c r="P253" i="12"/>
  <c r="N253" i="12"/>
  <c r="C253" i="12"/>
  <c r="AK252" i="12"/>
  <c r="AI252" i="12"/>
  <c r="AG252" i="12"/>
  <c r="AE252" i="12"/>
  <c r="AC252" i="12"/>
  <c r="AA252" i="12"/>
  <c r="Y252" i="12"/>
  <c r="AK251" i="12"/>
  <c r="AI251" i="12"/>
  <c r="AG251" i="12"/>
  <c r="AE251" i="12"/>
  <c r="AC251" i="12"/>
  <c r="AA251" i="12"/>
  <c r="Y251" i="12"/>
  <c r="AK250" i="12"/>
  <c r="AI250" i="12"/>
  <c r="AG250" i="12"/>
  <c r="AE250" i="12"/>
  <c r="AC250" i="12"/>
  <c r="AA250" i="12"/>
  <c r="Y250" i="12"/>
  <c r="AK249" i="12"/>
  <c r="AI249" i="12"/>
  <c r="AG249" i="12"/>
  <c r="AE249" i="12"/>
  <c r="AC249" i="12"/>
  <c r="AA249" i="12"/>
  <c r="Y249" i="12"/>
  <c r="AK248" i="12"/>
  <c r="AI248" i="12"/>
  <c r="AG248" i="12"/>
  <c r="AE248" i="12"/>
  <c r="AC248" i="12"/>
  <c r="AA248" i="12"/>
  <c r="Y248" i="12"/>
  <c r="AK247" i="12"/>
  <c r="AI247" i="12"/>
  <c r="AG247" i="12"/>
  <c r="AE247" i="12"/>
  <c r="AC247" i="12"/>
  <c r="AA247" i="12"/>
  <c r="Y247" i="12"/>
  <c r="Q247" i="12"/>
  <c r="R247" i="12" s="1"/>
  <c r="P247" i="12"/>
  <c r="N247" i="12"/>
  <c r="C247" i="12"/>
  <c r="AK246" i="12"/>
  <c r="AI246" i="12"/>
  <c r="AG246" i="12"/>
  <c r="AE246" i="12"/>
  <c r="AC246" i="12"/>
  <c r="AA246" i="12"/>
  <c r="Y246" i="12"/>
  <c r="AK245" i="12"/>
  <c r="AI245" i="12"/>
  <c r="AG245" i="12"/>
  <c r="AE245" i="12"/>
  <c r="AC245" i="12"/>
  <c r="AA245" i="12"/>
  <c r="Y245" i="12"/>
  <c r="AK244" i="12"/>
  <c r="AI244" i="12"/>
  <c r="AG244" i="12"/>
  <c r="AE244" i="12"/>
  <c r="AC244" i="12"/>
  <c r="AA244" i="12"/>
  <c r="Y244" i="12"/>
  <c r="AK243" i="12"/>
  <c r="AI243" i="12"/>
  <c r="AG243" i="12"/>
  <c r="AE243" i="12"/>
  <c r="AC243" i="12"/>
  <c r="AA243" i="12"/>
  <c r="Y243" i="12"/>
  <c r="AK242" i="12"/>
  <c r="AI242" i="12"/>
  <c r="AG242" i="12"/>
  <c r="AE242" i="12"/>
  <c r="AC242" i="12"/>
  <c r="AA242" i="12"/>
  <c r="Y242" i="12"/>
  <c r="AK241" i="12"/>
  <c r="AI241" i="12"/>
  <c r="AG241" i="12"/>
  <c r="AE241" i="12"/>
  <c r="AC241" i="12"/>
  <c r="AA241" i="12"/>
  <c r="Y241" i="12"/>
  <c r="Q241" i="12"/>
  <c r="R241" i="12" s="1"/>
  <c r="P241" i="12"/>
  <c r="N241" i="12"/>
  <c r="C241" i="12"/>
  <c r="AK240" i="12"/>
  <c r="AI240" i="12"/>
  <c r="AG240" i="12"/>
  <c r="AE240" i="12"/>
  <c r="AC240" i="12"/>
  <c r="AA240" i="12"/>
  <c r="Y240" i="12"/>
  <c r="AK239" i="12"/>
  <c r="AI239" i="12"/>
  <c r="AG239" i="12"/>
  <c r="AE239" i="12"/>
  <c r="AC239" i="12"/>
  <c r="AA239" i="12"/>
  <c r="Y239" i="12"/>
  <c r="AK238" i="12"/>
  <c r="AI238" i="12"/>
  <c r="AG238" i="12"/>
  <c r="AE238" i="12"/>
  <c r="AC238" i="12"/>
  <c r="AA238" i="12"/>
  <c r="Y238" i="12"/>
  <c r="AK237" i="12"/>
  <c r="AI237" i="12"/>
  <c r="AG237" i="12"/>
  <c r="AE237" i="12"/>
  <c r="AC237" i="12"/>
  <c r="AA237" i="12"/>
  <c r="Y237" i="12"/>
  <c r="AK236" i="12"/>
  <c r="AI236" i="12"/>
  <c r="AG236" i="12"/>
  <c r="AE236" i="12"/>
  <c r="AC236" i="12"/>
  <c r="AA236" i="12"/>
  <c r="Y236" i="12"/>
  <c r="AK235" i="12"/>
  <c r="AI235" i="12"/>
  <c r="AG235" i="12"/>
  <c r="AE235" i="12"/>
  <c r="AC235" i="12"/>
  <c r="AA235" i="12"/>
  <c r="Y235" i="12"/>
  <c r="Q235" i="12"/>
  <c r="R235" i="12" s="1"/>
  <c r="P235" i="12"/>
  <c r="N235" i="12"/>
  <c r="C235" i="12"/>
  <c r="AK234" i="12"/>
  <c r="AI234" i="12"/>
  <c r="AG234" i="12"/>
  <c r="AE234" i="12"/>
  <c r="AC234" i="12"/>
  <c r="AA234" i="12"/>
  <c r="Y234" i="12"/>
  <c r="AK233" i="12"/>
  <c r="AI233" i="12"/>
  <c r="AG233" i="12"/>
  <c r="AE233" i="12"/>
  <c r="AC233" i="12"/>
  <c r="AA233" i="12"/>
  <c r="Y233" i="12"/>
  <c r="AK232" i="12"/>
  <c r="AI232" i="12"/>
  <c r="AG232" i="12"/>
  <c r="AE232" i="12"/>
  <c r="AC232" i="12"/>
  <c r="AA232" i="12"/>
  <c r="Y232" i="12"/>
  <c r="AK231" i="12"/>
  <c r="AI231" i="12"/>
  <c r="AG231" i="12"/>
  <c r="AE231" i="12"/>
  <c r="AC231" i="12"/>
  <c r="AA231" i="12"/>
  <c r="Y231" i="12"/>
  <c r="AK230" i="12"/>
  <c r="AI230" i="12"/>
  <c r="AG230" i="12"/>
  <c r="AE230" i="12"/>
  <c r="AC230" i="12"/>
  <c r="AA230" i="12"/>
  <c r="Y230" i="12"/>
  <c r="AK229" i="12"/>
  <c r="AI229" i="12"/>
  <c r="AG229" i="12"/>
  <c r="AE229" i="12"/>
  <c r="AC229" i="12"/>
  <c r="AA229" i="12"/>
  <c r="Y229" i="12"/>
  <c r="Q229" i="12"/>
  <c r="R229" i="12" s="1"/>
  <c r="P229" i="12"/>
  <c r="N229" i="12"/>
  <c r="C229" i="12"/>
  <c r="AK228" i="12"/>
  <c r="AI228" i="12"/>
  <c r="AG228" i="12"/>
  <c r="AE228" i="12"/>
  <c r="AC228" i="12"/>
  <c r="AA228" i="12"/>
  <c r="Y228" i="12"/>
  <c r="AK227" i="12"/>
  <c r="AI227" i="12"/>
  <c r="AG227" i="12"/>
  <c r="AE227" i="12"/>
  <c r="AC227" i="12"/>
  <c r="AA227" i="12"/>
  <c r="Y227" i="12"/>
  <c r="AK226" i="12"/>
  <c r="AI226" i="12"/>
  <c r="AG226" i="12"/>
  <c r="AE226" i="12"/>
  <c r="AC226" i="12"/>
  <c r="AA226" i="12"/>
  <c r="Y226" i="12"/>
  <c r="AK225" i="12"/>
  <c r="AI225" i="12"/>
  <c r="AG225" i="12"/>
  <c r="AE225" i="12"/>
  <c r="AC225" i="12"/>
  <c r="AA225" i="12"/>
  <c r="Y225" i="12"/>
  <c r="AK224" i="12"/>
  <c r="AI224" i="12"/>
  <c r="AG224" i="12"/>
  <c r="AE224" i="12"/>
  <c r="AC224" i="12"/>
  <c r="AA224" i="12"/>
  <c r="Y224" i="12"/>
  <c r="AK223" i="12"/>
  <c r="AI223" i="12"/>
  <c r="AG223" i="12"/>
  <c r="AE223" i="12"/>
  <c r="AC223" i="12"/>
  <c r="AA223" i="12"/>
  <c r="Y223" i="12"/>
  <c r="Q223" i="12"/>
  <c r="R223" i="12" s="1"/>
  <c r="P223" i="12"/>
  <c r="N223" i="12"/>
  <c r="C223" i="12"/>
  <c r="AK222" i="12"/>
  <c r="AI222" i="12"/>
  <c r="AG222" i="12"/>
  <c r="AE222" i="12"/>
  <c r="AC222" i="12"/>
  <c r="AA222" i="12"/>
  <c r="Y222" i="12"/>
  <c r="AK221" i="12"/>
  <c r="AI221" i="12"/>
  <c r="AG221" i="12"/>
  <c r="AE221" i="12"/>
  <c r="AC221" i="12"/>
  <c r="AA221" i="12"/>
  <c r="Y221" i="12"/>
  <c r="AK220" i="12"/>
  <c r="AI220" i="12"/>
  <c r="AG220" i="12"/>
  <c r="AE220" i="12"/>
  <c r="AC220" i="12"/>
  <c r="AA220" i="12"/>
  <c r="Y220" i="12"/>
  <c r="AK219" i="12"/>
  <c r="AI219" i="12"/>
  <c r="AG219" i="12"/>
  <c r="AE219" i="12"/>
  <c r="AC219" i="12"/>
  <c r="AA219" i="12"/>
  <c r="Y219" i="12"/>
  <c r="AK218" i="12"/>
  <c r="AI218" i="12"/>
  <c r="AG218" i="12"/>
  <c r="AE218" i="12"/>
  <c r="AC218" i="12"/>
  <c r="AA218" i="12"/>
  <c r="Y218" i="12"/>
  <c r="AK217" i="12"/>
  <c r="AI217" i="12"/>
  <c r="AG217" i="12"/>
  <c r="AE217" i="12"/>
  <c r="AC217" i="12"/>
  <c r="AA217" i="12"/>
  <c r="Y217" i="12"/>
  <c r="Q217" i="12"/>
  <c r="R217" i="12" s="1"/>
  <c r="P217" i="12"/>
  <c r="N217" i="12"/>
  <c r="C217" i="12"/>
  <c r="AK216" i="12"/>
  <c r="AI216" i="12"/>
  <c r="AG216" i="12"/>
  <c r="AE216" i="12"/>
  <c r="AC216" i="12"/>
  <c r="AA216" i="12"/>
  <c r="Y216" i="12"/>
  <c r="AK215" i="12"/>
  <c r="AI215" i="12"/>
  <c r="AG215" i="12"/>
  <c r="AE215" i="12"/>
  <c r="AC215" i="12"/>
  <c r="AA215" i="12"/>
  <c r="Y215" i="12"/>
  <c r="AK214" i="12"/>
  <c r="AI214" i="12"/>
  <c r="AG214" i="12"/>
  <c r="AE214" i="12"/>
  <c r="AC214" i="12"/>
  <c r="AA214" i="12"/>
  <c r="Y214" i="12"/>
  <c r="AK213" i="12"/>
  <c r="AI213" i="12"/>
  <c r="AG213" i="12"/>
  <c r="AE213" i="12"/>
  <c r="AC213" i="12"/>
  <c r="AA213" i="12"/>
  <c r="Y213" i="12"/>
  <c r="AK212" i="12"/>
  <c r="AI212" i="12"/>
  <c r="AG212" i="12"/>
  <c r="AE212" i="12"/>
  <c r="AC212" i="12"/>
  <c r="AA212" i="12"/>
  <c r="Y212" i="12"/>
  <c r="AK211" i="12"/>
  <c r="AI211" i="12"/>
  <c r="AG211" i="12"/>
  <c r="AE211" i="12"/>
  <c r="AC211" i="12"/>
  <c r="AA211" i="12"/>
  <c r="Y211" i="12"/>
  <c r="Q211" i="12"/>
  <c r="R211" i="12" s="1"/>
  <c r="P211" i="12"/>
  <c r="N211" i="12"/>
  <c r="C211" i="12"/>
  <c r="AK210" i="12"/>
  <c r="AI210" i="12"/>
  <c r="AG210" i="12"/>
  <c r="AE210" i="12"/>
  <c r="AC210" i="12"/>
  <c r="AA210" i="12"/>
  <c r="Y210" i="12"/>
  <c r="AK209" i="12"/>
  <c r="AI209" i="12"/>
  <c r="AG209" i="12"/>
  <c r="AE209" i="12"/>
  <c r="AC209" i="12"/>
  <c r="AA209" i="12"/>
  <c r="Y209" i="12"/>
  <c r="AK208" i="12"/>
  <c r="AI208" i="12"/>
  <c r="AG208" i="12"/>
  <c r="AE208" i="12"/>
  <c r="AC208" i="12"/>
  <c r="AA208" i="12"/>
  <c r="Y208" i="12"/>
  <c r="AK207" i="12"/>
  <c r="AI207" i="12"/>
  <c r="AG207" i="12"/>
  <c r="AE207" i="12"/>
  <c r="AC207" i="12"/>
  <c r="AA207" i="12"/>
  <c r="Y207" i="12"/>
  <c r="AK206" i="12"/>
  <c r="AI206" i="12"/>
  <c r="AG206" i="12"/>
  <c r="AE206" i="12"/>
  <c r="AC206" i="12"/>
  <c r="AA206" i="12"/>
  <c r="Y206" i="12"/>
  <c r="AK205" i="12"/>
  <c r="AI205" i="12"/>
  <c r="AG205" i="12"/>
  <c r="AE205" i="12"/>
  <c r="AC205" i="12"/>
  <c r="AA205" i="12"/>
  <c r="Y205" i="12"/>
  <c r="Q205" i="12"/>
  <c r="R205" i="12" s="1"/>
  <c r="P205" i="12"/>
  <c r="N205" i="12"/>
  <c r="C205" i="12"/>
  <c r="AK204" i="12"/>
  <c r="AI204" i="12"/>
  <c r="AG204" i="12"/>
  <c r="AE204" i="12"/>
  <c r="AC204" i="12"/>
  <c r="AA204" i="12"/>
  <c r="Y204" i="12"/>
  <c r="AK203" i="12"/>
  <c r="AI203" i="12"/>
  <c r="AG203" i="12"/>
  <c r="AE203" i="12"/>
  <c r="AC203" i="12"/>
  <c r="AA203" i="12"/>
  <c r="Y203" i="12"/>
  <c r="AK202" i="12"/>
  <c r="AI202" i="12"/>
  <c r="AG202" i="12"/>
  <c r="AE202" i="12"/>
  <c r="AC202" i="12"/>
  <c r="AA202" i="12"/>
  <c r="Y202" i="12"/>
  <c r="AK201" i="12"/>
  <c r="AI201" i="12"/>
  <c r="AG201" i="12"/>
  <c r="AE201" i="12"/>
  <c r="AC201" i="12"/>
  <c r="AA201" i="12"/>
  <c r="Y201" i="12"/>
  <c r="AK200" i="12"/>
  <c r="AI200" i="12"/>
  <c r="AG200" i="12"/>
  <c r="AE200" i="12"/>
  <c r="AC200" i="12"/>
  <c r="AA200" i="12"/>
  <c r="Y200" i="12"/>
  <c r="AK199" i="12"/>
  <c r="AI199" i="12"/>
  <c r="AG199" i="12"/>
  <c r="AE199" i="12"/>
  <c r="AC199" i="12"/>
  <c r="AA199" i="12"/>
  <c r="Y199" i="12"/>
  <c r="Q199" i="12"/>
  <c r="R199" i="12" s="1"/>
  <c r="P199" i="12"/>
  <c r="N199" i="12"/>
  <c r="C199" i="12"/>
  <c r="AK198" i="12"/>
  <c r="AI198" i="12"/>
  <c r="AG198" i="12"/>
  <c r="AE198" i="12"/>
  <c r="AC198" i="12"/>
  <c r="AA198" i="12"/>
  <c r="Y198" i="12"/>
  <c r="AK197" i="12"/>
  <c r="AI197" i="12"/>
  <c r="AG197" i="12"/>
  <c r="AE197" i="12"/>
  <c r="AC197" i="12"/>
  <c r="AA197" i="12"/>
  <c r="Y197" i="12"/>
  <c r="AK196" i="12"/>
  <c r="AI196" i="12"/>
  <c r="AG196" i="12"/>
  <c r="AE196" i="12"/>
  <c r="AC196" i="12"/>
  <c r="AA196" i="12"/>
  <c r="Y196" i="12"/>
  <c r="AK195" i="12"/>
  <c r="AI195" i="12"/>
  <c r="AG195" i="12"/>
  <c r="AE195" i="12"/>
  <c r="AC195" i="12"/>
  <c r="AA195" i="12"/>
  <c r="Y195" i="12"/>
  <c r="AK194" i="12"/>
  <c r="AI194" i="12"/>
  <c r="AG194" i="12"/>
  <c r="AE194" i="12"/>
  <c r="AC194" i="12"/>
  <c r="AA194" i="12"/>
  <c r="Y194" i="12"/>
  <c r="AK193" i="12"/>
  <c r="AI193" i="12"/>
  <c r="AG193" i="12"/>
  <c r="AE193" i="12"/>
  <c r="AC193" i="12"/>
  <c r="AA193" i="12"/>
  <c r="Y193" i="12"/>
  <c r="Q193" i="12"/>
  <c r="R193" i="12" s="1"/>
  <c r="P193" i="12"/>
  <c r="N193" i="12"/>
  <c r="C193" i="12"/>
  <c r="AK192" i="12"/>
  <c r="AI192" i="12"/>
  <c r="AG192" i="12"/>
  <c r="AE192" i="12"/>
  <c r="AC192" i="12"/>
  <c r="AA192" i="12"/>
  <c r="Y192" i="12"/>
  <c r="AK191" i="12"/>
  <c r="AI191" i="12"/>
  <c r="AG191" i="12"/>
  <c r="AE191" i="12"/>
  <c r="AC191" i="12"/>
  <c r="AA191" i="12"/>
  <c r="Y191" i="12"/>
  <c r="AK190" i="12"/>
  <c r="AI190" i="12"/>
  <c r="AG190" i="12"/>
  <c r="AE190" i="12"/>
  <c r="AC190" i="12"/>
  <c r="AA190" i="12"/>
  <c r="Y190" i="12"/>
  <c r="AK189" i="12"/>
  <c r="AI189" i="12"/>
  <c r="AG189" i="12"/>
  <c r="AE189" i="12"/>
  <c r="AC189" i="12"/>
  <c r="AA189" i="12"/>
  <c r="Y189" i="12"/>
  <c r="AK188" i="12"/>
  <c r="AI188" i="12"/>
  <c r="AG188" i="12"/>
  <c r="AE188" i="12"/>
  <c r="AC188" i="12"/>
  <c r="AA188" i="12"/>
  <c r="Y188" i="12"/>
  <c r="AK187" i="12"/>
  <c r="AI187" i="12"/>
  <c r="AG187" i="12"/>
  <c r="AE187" i="12"/>
  <c r="AC187" i="12"/>
  <c r="AA187" i="12"/>
  <c r="Y187" i="12"/>
  <c r="Q187" i="12"/>
  <c r="R187" i="12" s="1"/>
  <c r="P187" i="12"/>
  <c r="N187" i="12"/>
  <c r="C187" i="12"/>
  <c r="AK186" i="12"/>
  <c r="AI186" i="12"/>
  <c r="AG186" i="12"/>
  <c r="AE186" i="12"/>
  <c r="AC186" i="12"/>
  <c r="AA186" i="12"/>
  <c r="Y186" i="12"/>
  <c r="AK185" i="12"/>
  <c r="AI185" i="12"/>
  <c r="AG185" i="12"/>
  <c r="AE185" i="12"/>
  <c r="AC185" i="12"/>
  <c r="AA185" i="12"/>
  <c r="Y185" i="12"/>
  <c r="AK184" i="12"/>
  <c r="AI184" i="12"/>
  <c r="AG184" i="12"/>
  <c r="AE184" i="12"/>
  <c r="AC184" i="12"/>
  <c r="AA184" i="12"/>
  <c r="Y184" i="12"/>
  <c r="AK183" i="12"/>
  <c r="AI183" i="12"/>
  <c r="AG183" i="12"/>
  <c r="AE183" i="12"/>
  <c r="AC183" i="12"/>
  <c r="AA183" i="12"/>
  <c r="Y183" i="12"/>
  <c r="AK182" i="12"/>
  <c r="AI182" i="12"/>
  <c r="AG182" i="12"/>
  <c r="AE182" i="12"/>
  <c r="AC182" i="12"/>
  <c r="AA182" i="12"/>
  <c r="Y182" i="12"/>
  <c r="AK181" i="12"/>
  <c r="AI181" i="12"/>
  <c r="AG181" i="12"/>
  <c r="AE181" i="12"/>
  <c r="AC181" i="12"/>
  <c r="AA181" i="12"/>
  <c r="Y181" i="12"/>
  <c r="Q181" i="12"/>
  <c r="R181" i="12" s="1"/>
  <c r="P181" i="12"/>
  <c r="N181" i="12"/>
  <c r="C181" i="12"/>
  <c r="AK180" i="12"/>
  <c r="AI180" i="12"/>
  <c r="AG180" i="12"/>
  <c r="AE180" i="12"/>
  <c r="AC180" i="12"/>
  <c r="AA180" i="12"/>
  <c r="Y180" i="12"/>
  <c r="AK179" i="12"/>
  <c r="AI179" i="12"/>
  <c r="AG179" i="12"/>
  <c r="AE179" i="12"/>
  <c r="AC179" i="12"/>
  <c r="AA179" i="12"/>
  <c r="Y179" i="12"/>
  <c r="AK178" i="12"/>
  <c r="AI178" i="12"/>
  <c r="AG178" i="12"/>
  <c r="AE178" i="12"/>
  <c r="AC178" i="12"/>
  <c r="AA178" i="12"/>
  <c r="Y178" i="12"/>
  <c r="AK177" i="12"/>
  <c r="AI177" i="12"/>
  <c r="AG177" i="12"/>
  <c r="AE177" i="12"/>
  <c r="AC177" i="12"/>
  <c r="AA177" i="12"/>
  <c r="Y177" i="12"/>
  <c r="AK176" i="12"/>
  <c r="AI176" i="12"/>
  <c r="AG176" i="12"/>
  <c r="AE176" i="12"/>
  <c r="AC176" i="12"/>
  <c r="AA176" i="12"/>
  <c r="Y176" i="12"/>
  <c r="AK175" i="12"/>
  <c r="AI175" i="12"/>
  <c r="AG175" i="12"/>
  <c r="AE175" i="12"/>
  <c r="AC175" i="12"/>
  <c r="AA175" i="12"/>
  <c r="Y175" i="12"/>
  <c r="Q175" i="12"/>
  <c r="R175" i="12" s="1"/>
  <c r="P175" i="12"/>
  <c r="N175" i="12"/>
  <c r="C175" i="12"/>
  <c r="AK174" i="12"/>
  <c r="AI174" i="12"/>
  <c r="AG174" i="12"/>
  <c r="AE174" i="12"/>
  <c r="AC174" i="12"/>
  <c r="AA174" i="12"/>
  <c r="Y174" i="12"/>
  <c r="AK173" i="12"/>
  <c r="AI173" i="12"/>
  <c r="AG173" i="12"/>
  <c r="AE173" i="12"/>
  <c r="AC173" i="12"/>
  <c r="AA173" i="12"/>
  <c r="Y173" i="12"/>
  <c r="AK172" i="12"/>
  <c r="AI172" i="12"/>
  <c r="AG172" i="12"/>
  <c r="AE172" i="12"/>
  <c r="AC172" i="12"/>
  <c r="AA172" i="12"/>
  <c r="Y172" i="12"/>
  <c r="AK171" i="12"/>
  <c r="AI171" i="12"/>
  <c r="AG171" i="12"/>
  <c r="AE171" i="12"/>
  <c r="AC171" i="12"/>
  <c r="AA171" i="12"/>
  <c r="Y171" i="12"/>
  <c r="AK170" i="12"/>
  <c r="AI170" i="12"/>
  <c r="AG170" i="12"/>
  <c r="AE170" i="12"/>
  <c r="AC170" i="12"/>
  <c r="AA170" i="12"/>
  <c r="Y170" i="12"/>
  <c r="AK169" i="12"/>
  <c r="AI169" i="12"/>
  <c r="AG169" i="12"/>
  <c r="AE169" i="12"/>
  <c r="AC169" i="12"/>
  <c r="AA169" i="12"/>
  <c r="Y169" i="12"/>
  <c r="Q169" i="12"/>
  <c r="R169" i="12" s="1"/>
  <c r="P169" i="12"/>
  <c r="N169" i="12"/>
  <c r="C169" i="12"/>
  <c r="AK168" i="12"/>
  <c r="AI168" i="12"/>
  <c r="AG168" i="12"/>
  <c r="AE168" i="12"/>
  <c r="AC168" i="12"/>
  <c r="AA168" i="12"/>
  <c r="Y168" i="12"/>
  <c r="AK167" i="12"/>
  <c r="AI167" i="12"/>
  <c r="AG167" i="12"/>
  <c r="AE167" i="12"/>
  <c r="AC167" i="12"/>
  <c r="AA167" i="12"/>
  <c r="Y167" i="12"/>
  <c r="AK166" i="12"/>
  <c r="AI166" i="12"/>
  <c r="AG166" i="12"/>
  <c r="AE166" i="12"/>
  <c r="AC166" i="12"/>
  <c r="AA166" i="12"/>
  <c r="Y166" i="12"/>
  <c r="AK165" i="12"/>
  <c r="AI165" i="12"/>
  <c r="AG165" i="12"/>
  <c r="AE165" i="12"/>
  <c r="AC165" i="12"/>
  <c r="AA165" i="12"/>
  <c r="Y165" i="12"/>
  <c r="AK164" i="12"/>
  <c r="AI164" i="12"/>
  <c r="AG164" i="12"/>
  <c r="AE164" i="12"/>
  <c r="AC164" i="12"/>
  <c r="AA164" i="12"/>
  <c r="Y164" i="12"/>
  <c r="AK163" i="12"/>
  <c r="AI163" i="12"/>
  <c r="AG163" i="12"/>
  <c r="AE163" i="12"/>
  <c r="AC163" i="12"/>
  <c r="AA163" i="12"/>
  <c r="Y163" i="12"/>
  <c r="Q163" i="12"/>
  <c r="R163" i="12" s="1"/>
  <c r="P163" i="12"/>
  <c r="N163" i="12"/>
  <c r="C163" i="12"/>
  <c r="AK162" i="12"/>
  <c r="AI162" i="12"/>
  <c r="AG162" i="12"/>
  <c r="AE162" i="12"/>
  <c r="AC162" i="12"/>
  <c r="AA162" i="12"/>
  <c r="Y162" i="12"/>
  <c r="AK161" i="12"/>
  <c r="AI161" i="12"/>
  <c r="AG161" i="12"/>
  <c r="AE161" i="12"/>
  <c r="AC161" i="12"/>
  <c r="AA161" i="12"/>
  <c r="Y161" i="12"/>
  <c r="AK160" i="12"/>
  <c r="AI160" i="12"/>
  <c r="AG160" i="12"/>
  <c r="AE160" i="12"/>
  <c r="AC160" i="12"/>
  <c r="AA160" i="12"/>
  <c r="Y160" i="12"/>
  <c r="AK159" i="12"/>
  <c r="AI159" i="12"/>
  <c r="AG159" i="12"/>
  <c r="AE159" i="12"/>
  <c r="AC159" i="12"/>
  <c r="AA159" i="12"/>
  <c r="Y159" i="12"/>
  <c r="AK158" i="12"/>
  <c r="AI158" i="12"/>
  <c r="AG158" i="12"/>
  <c r="AE158" i="12"/>
  <c r="AC158" i="12"/>
  <c r="AA158" i="12"/>
  <c r="Y158" i="12"/>
  <c r="AK157" i="12"/>
  <c r="AI157" i="12"/>
  <c r="AG157" i="12"/>
  <c r="AE157" i="12"/>
  <c r="AC157" i="12"/>
  <c r="AA157" i="12"/>
  <c r="Y157" i="12"/>
  <c r="Q157" i="12"/>
  <c r="R157" i="12" s="1"/>
  <c r="P157" i="12"/>
  <c r="N157" i="12"/>
  <c r="C157" i="12"/>
  <c r="AK156" i="12"/>
  <c r="AI156" i="12"/>
  <c r="AG156" i="12"/>
  <c r="AE156" i="12"/>
  <c r="AC156" i="12"/>
  <c r="AA156" i="12"/>
  <c r="Y156" i="12"/>
  <c r="AK155" i="12"/>
  <c r="AI155" i="12"/>
  <c r="AG155" i="12"/>
  <c r="AE155" i="12"/>
  <c r="AC155" i="12"/>
  <c r="AA155" i="12"/>
  <c r="Y155" i="12"/>
  <c r="AK154" i="12"/>
  <c r="AI154" i="12"/>
  <c r="AG154" i="12"/>
  <c r="AE154" i="12"/>
  <c r="AC154" i="12"/>
  <c r="AA154" i="12"/>
  <c r="Y154" i="12"/>
  <c r="AK153" i="12"/>
  <c r="AI153" i="12"/>
  <c r="AG153" i="12"/>
  <c r="AE153" i="12"/>
  <c r="AC153" i="12"/>
  <c r="AA153" i="12"/>
  <c r="Y153" i="12"/>
  <c r="AK152" i="12"/>
  <c r="AI152" i="12"/>
  <c r="AG152" i="12"/>
  <c r="AE152" i="12"/>
  <c r="AC152" i="12"/>
  <c r="AA152" i="12"/>
  <c r="Y152" i="12"/>
  <c r="AK151" i="12"/>
  <c r="AI151" i="12"/>
  <c r="AG151" i="12"/>
  <c r="AE151" i="12"/>
  <c r="AC151" i="12"/>
  <c r="AA151" i="12"/>
  <c r="Y151" i="12"/>
  <c r="Q151" i="12"/>
  <c r="R151" i="12" s="1"/>
  <c r="P151" i="12"/>
  <c r="N151" i="12"/>
  <c r="C151" i="12"/>
  <c r="AK150" i="12"/>
  <c r="AI150" i="12"/>
  <c r="AG150" i="12"/>
  <c r="AE150" i="12"/>
  <c r="AC150" i="12"/>
  <c r="AA150" i="12"/>
  <c r="Y150" i="12"/>
  <c r="AK149" i="12"/>
  <c r="AI149" i="12"/>
  <c r="AG149" i="12"/>
  <c r="AE149" i="12"/>
  <c r="AC149" i="12"/>
  <c r="AA149" i="12"/>
  <c r="Y149" i="12"/>
  <c r="AK148" i="12"/>
  <c r="AI148" i="12"/>
  <c r="AG148" i="12"/>
  <c r="AE148" i="12"/>
  <c r="AC148" i="12"/>
  <c r="AA148" i="12"/>
  <c r="Y148" i="12"/>
  <c r="AK147" i="12"/>
  <c r="AI147" i="12"/>
  <c r="AG147" i="12"/>
  <c r="AE147" i="12"/>
  <c r="AC147" i="12"/>
  <c r="AA147" i="12"/>
  <c r="Y147" i="12"/>
  <c r="AK146" i="12"/>
  <c r="AI146" i="12"/>
  <c r="AG146" i="12"/>
  <c r="AE146" i="12"/>
  <c r="AC146" i="12"/>
  <c r="AA146" i="12"/>
  <c r="Y146" i="12"/>
  <c r="AK145" i="12"/>
  <c r="AI145" i="12"/>
  <c r="AG145" i="12"/>
  <c r="AE145" i="12"/>
  <c r="AC145" i="12"/>
  <c r="AA145" i="12"/>
  <c r="Y145" i="12"/>
  <c r="Q145" i="12"/>
  <c r="R145" i="12" s="1"/>
  <c r="P145" i="12"/>
  <c r="N145" i="12"/>
  <c r="C145" i="12"/>
  <c r="AK144" i="12"/>
  <c r="AI144" i="12"/>
  <c r="AG144" i="12"/>
  <c r="AE144" i="12"/>
  <c r="AC144" i="12"/>
  <c r="AA144" i="12"/>
  <c r="Y144" i="12"/>
  <c r="AK143" i="12"/>
  <c r="AI143" i="12"/>
  <c r="AG143" i="12"/>
  <c r="AE143" i="12"/>
  <c r="AC143" i="12"/>
  <c r="AA143" i="12"/>
  <c r="Y143" i="12"/>
  <c r="AK142" i="12"/>
  <c r="AI142" i="12"/>
  <c r="AG142" i="12"/>
  <c r="AE142" i="12"/>
  <c r="AC142" i="12"/>
  <c r="AA142" i="12"/>
  <c r="Y142" i="12"/>
  <c r="AK141" i="12"/>
  <c r="AI141" i="12"/>
  <c r="AG141" i="12"/>
  <c r="AE141" i="12"/>
  <c r="AC141" i="12"/>
  <c r="AA141" i="12"/>
  <c r="Y141" i="12"/>
  <c r="AK140" i="12"/>
  <c r="AI140" i="12"/>
  <c r="AG140" i="12"/>
  <c r="AE140" i="12"/>
  <c r="AC140" i="12"/>
  <c r="AA140" i="12"/>
  <c r="Y140" i="12"/>
  <c r="AK139" i="12"/>
  <c r="AI139" i="12"/>
  <c r="AG139" i="12"/>
  <c r="AE139" i="12"/>
  <c r="AC139" i="12"/>
  <c r="AA139" i="12"/>
  <c r="Y139" i="12"/>
  <c r="Q139" i="12"/>
  <c r="R139" i="12" s="1"/>
  <c r="P139" i="12"/>
  <c r="N139" i="12"/>
  <c r="C139" i="12"/>
  <c r="AK138" i="12"/>
  <c r="AI138" i="12"/>
  <c r="AG138" i="12"/>
  <c r="AE138" i="12"/>
  <c r="AC138" i="12"/>
  <c r="AA138" i="12"/>
  <c r="Y138" i="12"/>
  <c r="AK137" i="12"/>
  <c r="AI137" i="12"/>
  <c r="AG137" i="12"/>
  <c r="AE137" i="12"/>
  <c r="AC137" i="12"/>
  <c r="AA137" i="12"/>
  <c r="Y137" i="12"/>
  <c r="AK136" i="12"/>
  <c r="AI136" i="12"/>
  <c r="AG136" i="12"/>
  <c r="AE136" i="12"/>
  <c r="AC136" i="12"/>
  <c r="AA136" i="12"/>
  <c r="Y136" i="12"/>
  <c r="AK135" i="12"/>
  <c r="AI135" i="12"/>
  <c r="AG135" i="12"/>
  <c r="AE135" i="12"/>
  <c r="AC135" i="12"/>
  <c r="AA135" i="12"/>
  <c r="Y135" i="12"/>
  <c r="AK134" i="12"/>
  <c r="AI134" i="12"/>
  <c r="AG134" i="12"/>
  <c r="AE134" i="12"/>
  <c r="AC134" i="12"/>
  <c r="AA134" i="12"/>
  <c r="Y134" i="12"/>
  <c r="AK133" i="12"/>
  <c r="AI133" i="12"/>
  <c r="AG133" i="12"/>
  <c r="AE133" i="12"/>
  <c r="AC133" i="12"/>
  <c r="AA133" i="12"/>
  <c r="Y133" i="12"/>
  <c r="Q133" i="12"/>
  <c r="R133" i="12" s="1"/>
  <c r="P133" i="12"/>
  <c r="N133" i="12"/>
  <c r="C133" i="12"/>
  <c r="AK132" i="12"/>
  <c r="AI132" i="12"/>
  <c r="AG132" i="12"/>
  <c r="AE132" i="12"/>
  <c r="AC132" i="12"/>
  <c r="AA132" i="12"/>
  <c r="Y132" i="12"/>
  <c r="AK131" i="12"/>
  <c r="AI131" i="12"/>
  <c r="AG131" i="12"/>
  <c r="AE131" i="12"/>
  <c r="AC131" i="12"/>
  <c r="AA131" i="12"/>
  <c r="Y131" i="12"/>
  <c r="AK130" i="12"/>
  <c r="AI130" i="12"/>
  <c r="AG130" i="12"/>
  <c r="AE130" i="12"/>
  <c r="AC130" i="12"/>
  <c r="AA130" i="12"/>
  <c r="Y130" i="12"/>
  <c r="AK129" i="12"/>
  <c r="AI129" i="12"/>
  <c r="AG129" i="12"/>
  <c r="AE129" i="12"/>
  <c r="AC129" i="12"/>
  <c r="AA129" i="12"/>
  <c r="Y129" i="12"/>
  <c r="AK128" i="12"/>
  <c r="AI128" i="12"/>
  <c r="AG128" i="12"/>
  <c r="AE128" i="12"/>
  <c r="AC128" i="12"/>
  <c r="AA128" i="12"/>
  <c r="Y128" i="12"/>
  <c r="AK127" i="12"/>
  <c r="AI127" i="12"/>
  <c r="AG127" i="12"/>
  <c r="AE127" i="12"/>
  <c r="AC127" i="12"/>
  <c r="AA127" i="12"/>
  <c r="Y127" i="12"/>
  <c r="Q127" i="12"/>
  <c r="R127" i="12" s="1"/>
  <c r="P127" i="12"/>
  <c r="N127" i="12"/>
  <c r="C127" i="12"/>
  <c r="AK126" i="12"/>
  <c r="AI126" i="12"/>
  <c r="AG126" i="12"/>
  <c r="AE126" i="12"/>
  <c r="AC126" i="12"/>
  <c r="AA126" i="12"/>
  <c r="Y126" i="12"/>
  <c r="AK125" i="12"/>
  <c r="AI125" i="12"/>
  <c r="AG125" i="12"/>
  <c r="AE125" i="12"/>
  <c r="AC125" i="12"/>
  <c r="AA125" i="12"/>
  <c r="Y125" i="12"/>
  <c r="AK124" i="12"/>
  <c r="AI124" i="12"/>
  <c r="AG124" i="12"/>
  <c r="AE124" i="12"/>
  <c r="AC124" i="12"/>
  <c r="AA124" i="12"/>
  <c r="Y124" i="12"/>
  <c r="AK123" i="12"/>
  <c r="AI123" i="12"/>
  <c r="AG123" i="12"/>
  <c r="AE123" i="12"/>
  <c r="AC123" i="12"/>
  <c r="AA123" i="12"/>
  <c r="Y123" i="12"/>
  <c r="AK122" i="12"/>
  <c r="AI122" i="12"/>
  <c r="AG122" i="12"/>
  <c r="AE122" i="12"/>
  <c r="AC122" i="12"/>
  <c r="AA122" i="12"/>
  <c r="Y122" i="12"/>
  <c r="AK121" i="12"/>
  <c r="AI121" i="12"/>
  <c r="AG121" i="12"/>
  <c r="AE121" i="12"/>
  <c r="AC121" i="12"/>
  <c r="AA121" i="12"/>
  <c r="Y121" i="12"/>
  <c r="Q121" i="12"/>
  <c r="R121" i="12" s="1"/>
  <c r="P121" i="12"/>
  <c r="N121" i="12"/>
  <c r="C121" i="12"/>
  <c r="AK120" i="12"/>
  <c r="AI120" i="12"/>
  <c r="AG120" i="12"/>
  <c r="AE120" i="12"/>
  <c r="AC120" i="12"/>
  <c r="AA120" i="12"/>
  <c r="Y120" i="12"/>
  <c r="AK119" i="12"/>
  <c r="AI119" i="12"/>
  <c r="AG119" i="12"/>
  <c r="AE119" i="12"/>
  <c r="AC119" i="12"/>
  <c r="AA119" i="12"/>
  <c r="Y119" i="12"/>
  <c r="AK118" i="12"/>
  <c r="AI118" i="12"/>
  <c r="AG118" i="12"/>
  <c r="AE118" i="12"/>
  <c r="AC118" i="12"/>
  <c r="AA118" i="12"/>
  <c r="Y118" i="12"/>
  <c r="AK117" i="12"/>
  <c r="AI117" i="12"/>
  <c r="AG117" i="12"/>
  <c r="AE117" i="12"/>
  <c r="AC117" i="12"/>
  <c r="AA117" i="12"/>
  <c r="Y117" i="12"/>
  <c r="AK116" i="12"/>
  <c r="AI116" i="12"/>
  <c r="AG116" i="12"/>
  <c r="AE116" i="12"/>
  <c r="AC116" i="12"/>
  <c r="AA116" i="12"/>
  <c r="Y116" i="12"/>
  <c r="AK115" i="12"/>
  <c r="AI115" i="12"/>
  <c r="AG115" i="12"/>
  <c r="AE115" i="12"/>
  <c r="AC115" i="12"/>
  <c r="AA115" i="12"/>
  <c r="Y115" i="12"/>
  <c r="Q115" i="12"/>
  <c r="R115" i="12" s="1"/>
  <c r="P115" i="12"/>
  <c r="N115" i="12"/>
  <c r="C115" i="12"/>
  <c r="AK114" i="12"/>
  <c r="AI114" i="12"/>
  <c r="AG114" i="12"/>
  <c r="AE114" i="12"/>
  <c r="AC114" i="12"/>
  <c r="AA114" i="12"/>
  <c r="Y114" i="12"/>
  <c r="AK113" i="12"/>
  <c r="AI113" i="12"/>
  <c r="AG113" i="12"/>
  <c r="AE113" i="12"/>
  <c r="AC113" i="12"/>
  <c r="AA113" i="12"/>
  <c r="Y113" i="12"/>
  <c r="AK112" i="12"/>
  <c r="AI112" i="12"/>
  <c r="AG112" i="12"/>
  <c r="AE112" i="12"/>
  <c r="AC112" i="12"/>
  <c r="AA112" i="12"/>
  <c r="Y112" i="12"/>
  <c r="AK111" i="12"/>
  <c r="AI111" i="12"/>
  <c r="AG111" i="12"/>
  <c r="AE111" i="12"/>
  <c r="AC111" i="12"/>
  <c r="AA111" i="12"/>
  <c r="Y111" i="12"/>
  <c r="AK110" i="12"/>
  <c r="AI110" i="12"/>
  <c r="AG110" i="12"/>
  <c r="AE110" i="12"/>
  <c r="AC110" i="12"/>
  <c r="AA110" i="12"/>
  <c r="Y110" i="12"/>
  <c r="AK109" i="12"/>
  <c r="AI109" i="12"/>
  <c r="AG109" i="12"/>
  <c r="AE109" i="12"/>
  <c r="AC109" i="12"/>
  <c r="AA109" i="12"/>
  <c r="Y109" i="12"/>
  <c r="Q109" i="12"/>
  <c r="R109" i="12" s="1"/>
  <c r="P109" i="12"/>
  <c r="N109" i="12"/>
  <c r="C109" i="12"/>
  <c r="AK108" i="12"/>
  <c r="AI108" i="12"/>
  <c r="AG108" i="12"/>
  <c r="AE108" i="12"/>
  <c r="AC108" i="12"/>
  <c r="AA108" i="12"/>
  <c r="Y108" i="12"/>
  <c r="AK107" i="12"/>
  <c r="AI107" i="12"/>
  <c r="AG107" i="12"/>
  <c r="AE107" i="12"/>
  <c r="AC107" i="12"/>
  <c r="AA107" i="12"/>
  <c r="Y107" i="12"/>
  <c r="AK106" i="12"/>
  <c r="AI106" i="12"/>
  <c r="AG106" i="12"/>
  <c r="AE106" i="12"/>
  <c r="AC106" i="12"/>
  <c r="AA106" i="12"/>
  <c r="Y106" i="12"/>
  <c r="AK105" i="12"/>
  <c r="AI105" i="12"/>
  <c r="AG105" i="12"/>
  <c r="AE105" i="12"/>
  <c r="AC105" i="12"/>
  <c r="AA105" i="12"/>
  <c r="Y105" i="12"/>
  <c r="AK104" i="12"/>
  <c r="AI104" i="12"/>
  <c r="AG104" i="12"/>
  <c r="AE104" i="12"/>
  <c r="AC104" i="12"/>
  <c r="AA104" i="12"/>
  <c r="Y104" i="12"/>
  <c r="AK103" i="12"/>
  <c r="AI103" i="12"/>
  <c r="AG103" i="12"/>
  <c r="AE103" i="12"/>
  <c r="AC103" i="12"/>
  <c r="AA103" i="12"/>
  <c r="Y103" i="12"/>
  <c r="Q103" i="12"/>
  <c r="R103" i="12" s="1"/>
  <c r="P103" i="12"/>
  <c r="N103" i="12"/>
  <c r="C103" i="12"/>
  <c r="AK102" i="12"/>
  <c r="AI102" i="12"/>
  <c r="AG102" i="12"/>
  <c r="AE102" i="12"/>
  <c r="AC102" i="12"/>
  <c r="AA102" i="12"/>
  <c r="Y102" i="12"/>
  <c r="AK101" i="12"/>
  <c r="AI101" i="12"/>
  <c r="AG101" i="12"/>
  <c r="AE101" i="12"/>
  <c r="AC101" i="12"/>
  <c r="AA101" i="12"/>
  <c r="Y101" i="12"/>
  <c r="AK100" i="12"/>
  <c r="AI100" i="12"/>
  <c r="AG100" i="12"/>
  <c r="AE100" i="12"/>
  <c r="AC100" i="12"/>
  <c r="AA100" i="12"/>
  <c r="Y100" i="12"/>
  <c r="AK99" i="12"/>
  <c r="AI99" i="12"/>
  <c r="AG99" i="12"/>
  <c r="AE99" i="12"/>
  <c r="AC99" i="12"/>
  <c r="AA99" i="12"/>
  <c r="Y99" i="12"/>
  <c r="AK98" i="12"/>
  <c r="AI98" i="12"/>
  <c r="AG98" i="12"/>
  <c r="AE98" i="12"/>
  <c r="AC98" i="12"/>
  <c r="AA98" i="12"/>
  <c r="Y98" i="12"/>
  <c r="AK97" i="12"/>
  <c r="AI97" i="12"/>
  <c r="AG97" i="12"/>
  <c r="AE97" i="12"/>
  <c r="AC97" i="12"/>
  <c r="AA97" i="12"/>
  <c r="Y97" i="12"/>
  <c r="Q97" i="12"/>
  <c r="R97" i="12" s="1"/>
  <c r="P97" i="12"/>
  <c r="N97" i="12"/>
  <c r="C97" i="12"/>
  <c r="AK96" i="12"/>
  <c r="AI96" i="12"/>
  <c r="AG96" i="12"/>
  <c r="AE96" i="12"/>
  <c r="AC96" i="12"/>
  <c r="AA96" i="12"/>
  <c r="Y96" i="12"/>
  <c r="AK95" i="12"/>
  <c r="AI95" i="12"/>
  <c r="AG95" i="12"/>
  <c r="AE95" i="12"/>
  <c r="AC95" i="12"/>
  <c r="AA95" i="12"/>
  <c r="Y95" i="12"/>
  <c r="AK94" i="12"/>
  <c r="AI94" i="12"/>
  <c r="AG94" i="12"/>
  <c r="AE94" i="12"/>
  <c r="AC94" i="12"/>
  <c r="AA94" i="12"/>
  <c r="Y94" i="12"/>
  <c r="AK93" i="12"/>
  <c r="AI93" i="12"/>
  <c r="AG93" i="12"/>
  <c r="AE93" i="12"/>
  <c r="AC93" i="12"/>
  <c r="AA93" i="12"/>
  <c r="Y93" i="12"/>
  <c r="AK92" i="12"/>
  <c r="AI92" i="12"/>
  <c r="AG92" i="12"/>
  <c r="AE92" i="12"/>
  <c r="AC92" i="12"/>
  <c r="AA92" i="12"/>
  <c r="Y92" i="12"/>
  <c r="AK91" i="12"/>
  <c r="AI91" i="12"/>
  <c r="AG91" i="12"/>
  <c r="AE91" i="12"/>
  <c r="AC91" i="12"/>
  <c r="AA91" i="12"/>
  <c r="Y91" i="12"/>
  <c r="Q91" i="12"/>
  <c r="R91" i="12" s="1"/>
  <c r="P91" i="12"/>
  <c r="N91" i="12"/>
  <c r="C91" i="12"/>
  <c r="AK90" i="12"/>
  <c r="AI90" i="12"/>
  <c r="AG90" i="12"/>
  <c r="AE90" i="12"/>
  <c r="AC90" i="12"/>
  <c r="AA90" i="12"/>
  <c r="Y90" i="12"/>
  <c r="AK89" i="12"/>
  <c r="AI89" i="12"/>
  <c r="AG89" i="12"/>
  <c r="AE89" i="12"/>
  <c r="AC89" i="12"/>
  <c r="AA89" i="12"/>
  <c r="Y89" i="12"/>
  <c r="AK88" i="12"/>
  <c r="AI88" i="12"/>
  <c r="AG88" i="12"/>
  <c r="AE88" i="12"/>
  <c r="AC88" i="12"/>
  <c r="AA88" i="12"/>
  <c r="Y88" i="12"/>
  <c r="AK87" i="12"/>
  <c r="AI87" i="12"/>
  <c r="AG87" i="12"/>
  <c r="AE87" i="12"/>
  <c r="AC87" i="12"/>
  <c r="AA87" i="12"/>
  <c r="Y87" i="12"/>
  <c r="AK86" i="12"/>
  <c r="AI86" i="12"/>
  <c r="AG86" i="12"/>
  <c r="AE86" i="12"/>
  <c r="AC86" i="12"/>
  <c r="AA86" i="12"/>
  <c r="Y86" i="12"/>
  <c r="AK85" i="12"/>
  <c r="AI85" i="12"/>
  <c r="AG85" i="12"/>
  <c r="AE85" i="12"/>
  <c r="AC85" i="12"/>
  <c r="AA85" i="12"/>
  <c r="Y85" i="12"/>
  <c r="Q85" i="12"/>
  <c r="R85" i="12" s="1"/>
  <c r="P85" i="12"/>
  <c r="N85" i="12"/>
  <c r="C85" i="12"/>
  <c r="AK84" i="12"/>
  <c r="AI84" i="12"/>
  <c r="AG84" i="12"/>
  <c r="AE84" i="12"/>
  <c r="AC84" i="12"/>
  <c r="AA84" i="12"/>
  <c r="Y84" i="12"/>
  <c r="AK83" i="12"/>
  <c r="AI83" i="12"/>
  <c r="AG83" i="12"/>
  <c r="AE83" i="12"/>
  <c r="AC83" i="12"/>
  <c r="AA83" i="12"/>
  <c r="Y83" i="12"/>
  <c r="AK82" i="12"/>
  <c r="AI82" i="12"/>
  <c r="AG82" i="12"/>
  <c r="AE82" i="12"/>
  <c r="AC82" i="12"/>
  <c r="AA82" i="12"/>
  <c r="Y82" i="12"/>
  <c r="AK81" i="12"/>
  <c r="AI81" i="12"/>
  <c r="AG81" i="12"/>
  <c r="AE81" i="12"/>
  <c r="AC81" i="12"/>
  <c r="AA81" i="12"/>
  <c r="Y81" i="12"/>
  <c r="AK80" i="12"/>
  <c r="AI80" i="12"/>
  <c r="AG80" i="12"/>
  <c r="AE80" i="12"/>
  <c r="AC80" i="12"/>
  <c r="AA80" i="12"/>
  <c r="Y80" i="12"/>
  <c r="AK79" i="12"/>
  <c r="AI79" i="12"/>
  <c r="AG79" i="12"/>
  <c r="AE79" i="12"/>
  <c r="AC79" i="12"/>
  <c r="AA79" i="12"/>
  <c r="Y79" i="12"/>
  <c r="Q79" i="12"/>
  <c r="R79" i="12" s="1"/>
  <c r="P79" i="12"/>
  <c r="N79" i="12"/>
  <c r="C79" i="12"/>
  <c r="AK78" i="12"/>
  <c r="AI78" i="12"/>
  <c r="AG78" i="12"/>
  <c r="AE78" i="12"/>
  <c r="AC78" i="12"/>
  <c r="AA78" i="12"/>
  <c r="Y78" i="12"/>
  <c r="AK77" i="12"/>
  <c r="AI77" i="12"/>
  <c r="AG77" i="12"/>
  <c r="AE77" i="12"/>
  <c r="AC77" i="12"/>
  <c r="AA77" i="12"/>
  <c r="Y77" i="12"/>
  <c r="AK76" i="12"/>
  <c r="AI76" i="12"/>
  <c r="AG76" i="12"/>
  <c r="AE76" i="12"/>
  <c r="AC76" i="12"/>
  <c r="AA76" i="12"/>
  <c r="Y76" i="12"/>
  <c r="AK75" i="12"/>
  <c r="AI75" i="12"/>
  <c r="AG75" i="12"/>
  <c r="AE75" i="12"/>
  <c r="AC75" i="12"/>
  <c r="AA75" i="12"/>
  <c r="Y75" i="12"/>
  <c r="AK74" i="12"/>
  <c r="AI74" i="12"/>
  <c r="AG74" i="12"/>
  <c r="AE74" i="12"/>
  <c r="AC74" i="12"/>
  <c r="AA74" i="12"/>
  <c r="Y74" i="12"/>
  <c r="AK73" i="12"/>
  <c r="AI73" i="12"/>
  <c r="AG73" i="12"/>
  <c r="AE73" i="12"/>
  <c r="AC73" i="12"/>
  <c r="AA73" i="12"/>
  <c r="Y73" i="12"/>
  <c r="Q73" i="12"/>
  <c r="R73" i="12" s="1"/>
  <c r="P73" i="12"/>
  <c r="N73" i="12"/>
  <c r="C73" i="12"/>
  <c r="AK72" i="12"/>
  <c r="AI72" i="12"/>
  <c r="AG72" i="12"/>
  <c r="AE72" i="12"/>
  <c r="AC72" i="12"/>
  <c r="AA72" i="12"/>
  <c r="Y72" i="12"/>
  <c r="AK71" i="12"/>
  <c r="AI71" i="12"/>
  <c r="AG71" i="12"/>
  <c r="AE71" i="12"/>
  <c r="AC71" i="12"/>
  <c r="AA71" i="12"/>
  <c r="Y71" i="12"/>
  <c r="AK70" i="12"/>
  <c r="AI70" i="12"/>
  <c r="AG70" i="12"/>
  <c r="AE70" i="12"/>
  <c r="AC70" i="12"/>
  <c r="AA70" i="12"/>
  <c r="Y70" i="12"/>
  <c r="AK69" i="12"/>
  <c r="AI69" i="12"/>
  <c r="AG69" i="12"/>
  <c r="AE69" i="12"/>
  <c r="AC69" i="12"/>
  <c r="AA69" i="12"/>
  <c r="Y69" i="12"/>
  <c r="AK68" i="12"/>
  <c r="AI68" i="12"/>
  <c r="AG68" i="12"/>
  <c r="AE68" i="12"/>
  <c r="AC68" i="12"/>
  <c r="AA68" i="12"/>
  <c r="Y68" i="12"/>
  <c r="AK67" i="12"/>
  <c r="AI67" i="12"/>
  <c r="AG67" i="12"/>
  <c r="AE67" i="12"/>
  <c r="AC67" i="12"/>
  <c r="AA67" i="12"/>
  <c r="Y67" i="12"/>
  <c r="Q67" i="12"/>
  <c r="R67" i="12" s="1"/>
  <c r="P67" i="12"/>
  <c r="N67" i="12"/>
  <c r="C67" i="12"/>
  <c r="AK66" i="12"/>
  <c r="AI66" i="12"/>
  <c r="AG66" i="12"/>
  <c r="AE66" i="12"/>
  <c r="AC66" i="12"/>
  <c r="AA66" i="12"/>
  <c r="Y66" i="12"/>
  <c r="AK65" i="12"/>
  <c r="AI65" i="12"/>
  <c r="AG65" i="12"/>
  <c r="AE65" i="12"/>
  <c r="AC65" i="12"/>
  <c r="AA65" i="12"/>
  <c r="Y65" i="12"/>
  <c r="AK64" i="12"/>
  <c r="AI64" i="12"/>
  <c r="AG64" i="12"/>
  <c r="AE64" i="12"/>
  <c r="AC64" i="12"/>
  <c r="AA64" i="12"/>
  <c r="Y64" i="12"/>
  <c r="AK63" i="12"/>
  <c r="AI63" i="12"/>
  <c r="AG63" i="12"/>
  <c r="AE63" i="12"/>
  <c r="AC63" i="12"/>
  <c r="AA63" i="12"/>
  <c r="Y63" i="12"/>
  <c r="AK62" i="12"/>
  <c r="AI62" i="12"/>
  <c r="AG62" i="12"/>
  <c r="AE62" i="12"/>
  <c r="AC62" i="12"/>
  <c r="AA62" i="12"/>
  <c r="Y62" i="12"/>
  <c r="AK61" i="12"/>
  <c r="AI61" i="12"/>
  <c r="AG61" i="12"/>
  <c r="AE61" i="12"/>
  <c r="AC61" i="12"/>
  <c r="AA61" i="12"/>
  <c r="Y61" i="12"/>
  <c r="Q61" i="12"/>
  <c r="R61" i="12" s="1"/>
  <c r="P61" i="12"/>
  <c r="N61" i="12"/>
  <c r="C61" i="12"/>
  <c r="AK60" i="12"/>
  <c r="AI60" i="12"/>
  <c r="AG60" i="12"/>
  <c r="AE60" i="12"/>
  <c r="AC60" i="12"/>
  <c r="AA60" i="12"/>
  <c r="Y60" i="12"/>
  <c r="AK59" i="12"/>
  <c r="AI59" i="12"/>
  <c r="AG59" i="12"/>
  <c r="AE59" i="12"/>
  <c r="AC59" i="12"/>
  <c r="AA59" i="12"/>
  <c r="Y59" i="12"/>
  <c r="AK58" i="12"/>
  <c r="AI58" i="12"/>
  <c r="AG58" i="12"/>
  <c r="AE58" i="12"/>
  <c r="AC58" i="12"/>
  <c r="AA58" i="12"/>
  <c r="Y58" i="12"/>
  <c r="AK57" i="12"/>
  <c r="AI57" i="12"/>
  <c r="AG57" i="12"/>
  <c r="AE57" i="12"/>
  <c r="AC57" i="12"/>
  <c r="AA57" i="12"/>
  <c r="Y57" i="12"/>
  <c r="AK56" i="12"/>
  <c r="AI56" i="12"/>
  <c r="AG56" i="12"/>
  <c r="AE56" i="12"/>
  <c r="AC56" i="12"/>
  <c r="AA56" i="12"/>
  <c r="Y56" i="12"/>
  <c r="AK55" i="12"/>
  <c r="AI55" i="12"/>
  <c r="AG55" i="12"/>
  <c r="AE55" i="12"/>
  <c r="AC55" i="12"/>
  <c r="AA55" i="12"/>
  <c r="Y55" i="12"/>
  <c r="Q55" i="12"/>
  <c r="R55" i="12" s="1"/>
  <c r="P55" i="12"/>
  <c r="N55" i="12"/>
  <c r="C55" i="12"/>
  <c r="AK54" i="12"/>
  <c r="AI54" i="12"/>
  <c r="AG54" i="12"/>
  <c r="AE54" i="12"/>
  <c r="AC54" i="12"/>
  <c r="AA54" i="12"/>
  <c r="Y54" i="12"/>
  <c r="AK53" i="12"/>
  <c r="AI53" i="12"/>
  <c r="AG53" i="12"/>
  <c r="AE53" i="12"/>
  <c r="AC53" i="12"/>
  <c r="AA53" i="12"/>
  <c r="Y53" i="12"/>
  <c r="AK52" i="12"/>
  <c r="AI52" i="12"/>
  <c r="AG52" i="12"/>
  <c r="AE52" i="12"/>
  <c r="AC52" i="12"/>
  <c r="AA52" i="12"/>
  <c r="Y52" i="12"/>
  <c r="AK51" i="12"/>
  <c r="AI51" i="12"/>
  <c r="AG51" i="12"/>
  <c r="AE51" i="12"/>
  <c r="AC51" i="12"/>
  <c r="AA51" i="12"/>
  <c r="Y51" i="12"/>
  <c r="AK50" i="12"/>
  <c r="AI50" i="12"/>
  <c r="AG50" i="12"/>
  <c r="AE50" i="12"/>
  <c r="AC50" i="12"/>
  <c r="AA50" i="12"/>
  <c r="Y50" i="12"/>
  <c r="AK49" i="12"/>
  <c r="AI49" i="12"/>
  <c r="AG49" i="12"/>
  <c r="AE49" i="12"/>
  <c r="AC49" i="12"/>
  <c r="AA49" i="12"/>
  <c r="Y49" i="12"/>
  <c r="Q49" i="12"/>
  <c r="R49" i="12" s="1"/>
  <c r="P49" i="12"/>
  <c r="N49" i="12"/>
  <c r="C49" i="12"/>
  <c r="AK48" i="12"/>
  <c r="AI48" i="12"/>
  <c r="AG48" i="12"/>
  <c r="AE48" i="12"/>
  <c r="AC48" i="12"/>
  <c r="AA48" i="12"/>
  <c r="Y48" i="12"/>
  <c r="AK47" i="12"/>
  <c r="AI47" i="12"/>
  <c r="AG47" i="12"/>
  <c r="AE47" i="12"/>
  <c r="AC47" i="12"/>
  <c r="AA47" i="12"/>
  <c r="Y47" i="12"/>
  <c r="AK46" i="12"/>
  <c r="AI46" i="12"/>
  <c r="AG46" i="12"/>
  <c r="AE46" i="12"/>
  <c r="AC46" i="12"/>
  <c r="AA46" i="12"/>
  <c r="Y46" i="12"/>
  <c r="AK45" i="12"/>
  <c r="AI45" i="12"/>
  <c r="AG45" i="12"/>
  <c r="AE45" i="12"/>
  <c r="AC45" i="12"/>
  <c r="AA45" i="12"/>
  <c r="Y45" i="12"/>
  <c r="AK44" i="12"/>
  <c r="AI44" i="12"/>
  <c r="AG44" i="12"/>
  <c r="AE44" i="12"/>
  <c r="AC44" i="12"/>
  <c r="AA44" i="12"/>
  <c r="Y44" i="12"/>
  <c r="AK43" i="12"/>
  <c r="AI43" i="12"/>
  <c r="AG43" i="12"/>
  <c r="AE43" i="12"/>
  <c r="AC43" i="12"/>
  <c r="AA43" i="12"/>
  <c r="Y43" i="12"/>
  <c r="Q43" i="12"/>
  <c r="R43" i="12" s="1"/>
  <c r="P43" i="12"/>
  <c r="N43" i="12"/>
  <c r="C43" i="12"/>
  <c r="AK42" i="12"/>
  <c r="AI42" i="12"/>
  <c r="AG42" i="12"/>
  <c r="AE42" i="12"/>
  <c r="AC42" i="12"/>
  <c r="AA42" i="12"/>
  <c r="Y42" i="12"/>
  <c r="AK41" i="12"/>
  <c r="AI41" i="12"/>
  <c r="AG41" i="12"/>
  <c r="AE41" i="12"/>
  <c r="AC41" i="12"/>
  <c r="AA41" i="12"/>
  <c r="Y41" i="12"/>
  <c r="AK40" i="12"/>
  <c r="AI40" i="12"/>
  <c r="AG40" i="12"/>
  <c r="AE40" i="12"/>
  <c r="AC40" i="12"/>
  <c r="AA40" i="12"/>
  <c r="Y40" i="12"/>
  <c r="AK39" i="12"/>
  <c r="AI39" i="12"/>
  <c r="AG39" i="12"/>
  <c r="AE39" i="12"/>
  <c r="AC39" i="12"/>
  <c r="AA39" i="12"/>
  <c r="Y39" i="12"/>
  <c r="AK38" i="12"/>
  <c r="AI38" i="12"/>
  <c r="AG38" i="12"/>
  <c r="AE38" i="12"/>
  <c r="AC38" i="12"/>
  <c r="AA38" i="12"/>
  <c r="Y38" i="12"/>
  <c r="AK37" i="12"/>
  <c r="AI37" i="12"/>
  <c r="AG37" i="12"/>
  <c r="AE37" i="12"/>
  <c r="AC37" i="12"/>
  <c r="AA37" i="12"/>
  <c r="Y37" i="12"/>
  <c r="Q37" i="12"/>
  <c r="R37" i="12" s="1"/>
  <c r="P37" i="12"/>
  <c r="N37" i="12"/>
  <c r="C37" i="12"/>
  <c r="AK36" i="12"/>
  <c r="AI36" i="12"/>
  <c r="AG36" i="12"/>
  <c r="AE36" i="12"/>
  <c r="AC36" i="12"/>
  <c r="AA36" i="12"/>
  <c r="Y36" i="12"/>
  <c r="AK35" i="12"/>
  <c r="AI35" i="12"/>
  <c r="AG35" i="12"/>
  <c r="AE35" i="12"/>
  <c r="AC35" i="12"/>
  <c r="AA35" i="12"/>
  <c r="Y35" i="12"/>
  <c r="AK34" i="12"/>
  <c r="AI34" i="12"/>
  <c r="AG34" i="12"/>
  <c r="AE34" i="12"/>
  <c r="AC34" i="12"/>
  <c r="AA34" i="12"/>
  <c r="Y34" i="12"/>
  <c r="AK33" i="12"/>
  <c r="AI33" i="12"/>
  <c r="AG33" i="12"/>
  <c r="AE33" i="12"/>
  <c r="AC33" i="12"/>
  <c r="AA33" i="12"/>
  <c r="Y33" i="12"/>
  <c r="AK32" i="12"/>
  <c r="AI32" i="12"/>
  <c r="AG32" i="12"/>
  <c r="AE32" i="12"/>
  <c r="AC32" i="12"/>
  <c r="AA32" i="12"/>
  <c r="Y32" i="12"/>
  <c r="AK31" i="12"/>
  <c r="AI31" i="12"/>
  <c r="AG31" i="12"/>
  <c r="AE31" i="12"/>
  <c r="AC31" i="12"/>
  <c r="AA31" i="12"/>
  <c r="Y31" i="12"/>
  <c r="Q31" i="12"/>
  <c r="R31" i="12" s="1"/>
  <c r="P31" i="12"/>
  <c r="N31" i="12"/>
  <c r="C31" i="12"/>
  <c r="AK30" i="12"/>
  <c r="AI30" i="12"/>
  <c r="AG30" i="12"/>
  <c r="AE30" i="12"/>
  <c r="AC30" i="12"/>
  <c r="AA30" i="12"/>
  <c r="Y30" i="12"/>
  <c r="AK29" i="12"/>
  <c r="AI29" i="12"/>
  <c r="AG29" i="12"/>
  <c r="AE29" i="12"/>
  <c r="AC29" i="12"/>
  <c r="AA29" i="12"/>
  <c r="Y29" i="12"/>
  <c r="AK28" i="12"/>
  <c r="AI28" i="12"/>
  <c r="AG28" i="12"/>
  <c r="AE28" i="12"/>
  <c r="AC28" i="12"/>
  <c r="AA28" i="12"/>
  <c r="Y28" i="12"/>
  <c r="AK27" i="12"/>
  <c r="AI27" i="12"/>
  <c r="AG27" i="12"/>
  <c r="AE27" i="12"/>
  <c r="AC27" i="12"/>
  <c r="AA27" i="12"/>
  <c r="Y27" i="12"/>
  <c r="AK26" i="12"/>
  <c r="AI26" i="12"/>
  <c r="AG26" i="12"/>
  <c r="AE26" i="12"/>
  <c r="AC26" i="12"/>
  <c r="AA26" i="12"/>
  <c r="Y26" i="12"/>
  <c r="AK25" i="12"/>
  <c r="AI25" i="12"/>
  <c r="AG25" i="12"/>
  <c r="AE25" i="12"/>
  <c r="AC25" i="12"/>
  <c r="AA25" i="12"/>
  <c r="Y25" i="12"/>
  <c r="Q25" i="12"/>
  <c r="R25" i="12" s="1"/>
  <c r="P25" i="12"/>
  <c r="N25" i="12"/>
  <c r="C25" i="12"/>
  <c r="AK24" i="12"/>
  <c r="AI24" i="12"/>
  <c r="AG24" i="12"/>
  <c r="AE24" i="12"/>
  <c r="AC24" i="12"/>
  <c r="AA24" i="12"/>
  <c r="Y24" i="12"/>
  <c r="AK23" i="12"/>
  <c r="AI23" i="12"/>
  <c r="AG23" i="12"/>
  <c r="AE23" i="12"/>
  <c r="AC23" i="12"/>
  <c r="AA23" i="12"/>
  <c r="Y23" i="12"/>
  <c r="AK22" i="12"/>
  <c r="AI22" i="12"/>
  <c r="AG22" i="12"/>
  <c r="AE22" i="12"/>
  <c r="AC22" i="12"/>
  <c r="AA22" i="12"/>
  <c r="Y22" i="12"/>
  <c r="AK21" i="12"/>
  <c r="AI21" i="12"/>
  <c r="AG21" i="12"/>
  <c r="AE21" i="12"/>
  <c r="AC21" i="12"/>
  <c r="AA21" i="12"/>
  <c r="Y21" i="12"/>
  <c r="AK20" i="12"/>
  <c r="AI20" i="12"/>
  <c r="AG20" i="12"/>
  <c r="AE20" i="12"/>
  <c r="AC20" i="12"/>
  <c r="AA20" i="12"/>
  <c r="Y20" i="12"/>
  <c r="AK19" i="12"/>
  <c r="AI19" i="12"/>
  <c r="AG19" i="12"/>
  <c r="AE19" i="12"/>
  <c r="AC19" i="12"/>
  <c r="AA19" i="12"/>
  <c r="Y19" i="12"/>
  <c r="Q19" i="12"/>
  <c r="R19" i="12" s="1"/>
  <c r="P19" i="12"/>
  <c r="N19" i="12"/>
  <c r="C19" i="12"/>
  <c r="AK18" i="12"/>
  <c r="AI18" i="12"/>
  <c r="AG18" i="12"/>
  <c r="AE18" i="12"/>
  <c r="AC18" i="12"/>
  <c r="AA18" i="12"/>
  <c r="Y18" i="12"/>
  <c r="AK17" i="12"/>
  <c r="AI17" i="12"/>
  <c r="AG17" i="12"/>
  <c r="AE17" i="12"/>
  <c r="AC17" i="12"/>
  <c r="AA17" i="12"/>
  <c r="Y17" i="12"/>
  <c r="AK16" i="12"/>
  <c r="AI16" i="12"/>
  <c r="AG16" i="12"/>
  <c r="AE16" i="12"/>
  <c r="AC16" i="12"/>
  <c r="AA16" i="12"/>
  <c r="Y16" i="12"/>
  <c r="AK15" i="12"/>
  <c r="AI15" i="12"/>
  <c r="AG15" i="12"/>
  <c r="AE15" i="12"/>
  <c r="AC15" i="12"/>
  <c r="AA15" i="12"/>
  <c r="Y15" i="12"/>
  <c r="AK14" i="12"/>
  <c r="AI14" i="12"/>
  <c r="AG14" i="12"/>
  <c r="AE14" i="12"/>
  <c r="AC14" i="12"/>
  <c r="AA14" i="12"/>
  <c r="Y14" i="12"/>
  <c r="AK13" i="12"/>
  <c r="AI13" i="12"/>
  <c r="AG13" i="12"/>
  <c r="AE13" i="12"/>
  <c r="AC13" i="12"/>
  <c r="AA13" i="12"/>
  <c r="Y13" i="12"/>
  <c r="Q13" i="12"/>
  <c r="R13" i="12" s="1"/>
  <c r="P13" i="12"/>
  <c r="N13" i="12"/>
  <c r="C13" i="12"/>
  <c r="AK12" i="12"/>
  <c r="AI12" i="12"/>
  <c r="AG12" i="12"/>
  <c r="AE12" i="12"/>
  <c r="AC12" i="12"/>
  <c r="AA12" i="12"/>
  <c r="Y12" i="12"/>
  <c r="AK11" i="12"/>
  <c r="AI11" i="12"/>
  <c r="AG11" i="12"/>
  <c r="AE11" i="12"/>
  <c r="AC11" i="12"/>
  <c r="AA11" i="12"/>
  <c r="Y11" i="12"/>
  <c r="AK10" i="12"/>
  <c r="AI10" i="12"/>
  <c r="AG10" i="12"/>
  <c r="AE10" i="12"/>
  <c r="AC10" i="12"/>
  <c r="AA10" i="12"/>
  <c r="Y10" i="12"/>
  <c r="AK9" i="12"/>
  <c r="AI9" i="12"/>
  <c r="AG9" i="12"/>
  <c r="AE9" i="12"/>
  <c r="AC9" i="12"/>
  <c r="AA9" i="12"/>
  <c r="Y9" i="12"/>
  <c r="AK8" i="12"/>
  <c r="AK7" i="12"/>
  <c r="Q7" i="12"/>
  <c r="R7" i="12" s="1"/>
  <c r="P7" i="12"/>
  <c r="N7" i="12"/>
  <c r="C7" i="12"/>
  <c r="M361" i="10"/>
  <c r="M355" i="10"/>
  <c r="M349" i="10"/>
  <c r="M343" i="10"/>
  <c r="M337" i="10"/>
  <c r="M331" i="10"/>
  <c r="M325" i="10"/>
  <c r="M319" i="10"/>
  <c r="M313" i="10"/>
  <c r="M307" i="10"/>
  <c r="M301" i="10"/>
  <c r="M295" i="10"/>
  <c r="M289" i="10"/>
  <c r="M283" i="10"/>
  <c r="M277" i="10"/>
  <c r="M271" i="10"/>
  <c r="M265" i="10"/>
  <c r="M259" i="10"/>
  <c r="M253" i="10"/>
  <c r="M247" i="10"/>
  <c r="M241" i="10"/>
  <c r="M235" i="10"/>
  <c r="M229" i="10"/>
  <c r="M223" i="10"/>
  <c r="M217" i="10"/>
  <c r="M211" i="10"/>
  <c r="M205" i="10"/>
  <c r="M199" i="10"/>
  <c r="M193" i="10"/>
  <c r="M187" i="10"/>
  <c r="M181" i="10"/>
  <c r="M175" i="10"/>
  <c r="M169" i="10"/>
  <c r="M163" i="10"/>
  <c r="M157" i="10"/>
  <c r="M151" i="10"/>
  <c r="M145" i="10"/>
  <c r="M139" i="10"/>
  <c r="M133" i="10"/>
  <c r="M127" i="10"/>
  <c r="M121" i="10"/>
  <c r="M115" i="10"/>
  <c r="M109" i="10"/>
  <c r="M103" i="10"/>
  <c r="M97" i="10"/>
  <c r="M91" i="10"/>
  <c r="M85" i="10"/>
  <c r="M79" i="10"/>
  <c r="M73" i="10"/>
  <c r="M67" i="10"/>
  <c r="M61" i="10"/>
  <c r="M55" i="10"/>
  <c r="M49" i="10"/>
  <c r="M43" i="10"/>
  <c r="M37" i="10"/>
  <c r="M31" i="10"/>
  <c r="M25" i="10"/>
  <c r="M19" i="10"/>
  <c r="M7" i="10"/>
  <c r="N361" i="10"/>
  <c r="N355" i="10"/>
  <c r="N349" i="10"/>
  <c r="N343" i="10"/>
  <c r="N337" i="10"/>
  <c r="N331" i="10"/>
  <c r="N325" i="10"/>
  <c r="N319" i="10"/>
  <c r="N313" i="10"/>
  <c r="N307" i="10"/>
  <c r="N301" i="10"/>
  <c r="N295" i="10"/>
  <c r="N289" i="10"/>
  <c r="N283" i="10"/>
  <c r="N277" i="10"/>
  <c r="N271" i="10"/>
  <c r="N265" i="10"/>
  <c r="N259" i="10"/>
  <c r="N253" i="10"/>
  <c r="N247" i="10"/>
  <c r="N241" i="10"/>
  <c r="N235" i="10"/>
  <c r="N229" i="10"/>
  <c r="N223" i="10"/>
  <c r="N217" i="10"/>
  <c r="N211" i="10"/>
  <c r="N205" i="10"/>
  <c r="N199" i="10"/>
  <c r="N193" i="10"/>
  <c r="N187" i="10"/>
  <c r="N181" i="10"/>
  <c r="N175" i="10"/>
  <c r="N169" i="10"/>
  <c r="N163" i="10"/>
  <c r="N157" i="10"/>
  <c r="N151" i="10"/>
  <c r="N145" i="10"/>
  <c r="N139" i="10"/>
  <c r="N133" i="10"/>
  <c r="N127" i="10"/>
  <c r="N121" i="10"/>
  <c r="N115" i="10"/>
  <c r="N109" i="10"/>
  <c r="N103" i="10"/>
  <c r="N97" i="10"/>
  <c r="N91" i="10"/>
  <c r="N85" i="10"/>
  <c r="N79" i="10"/>
  <c r="N73" i="10"/>
  <c r="N67" i="10"/>
  <c r="N61" i="10"/>
  <c r="N55" i="10"/>
  <c r="N49" i="10"/>
  <c r="N43" i="10"/>
  <c r="N37" i="10"/>
  <c r="N31" i="10"/>
  <c r="N25" i="10"/>
  <c r="N19" i="10"/>
  <c r="N7" i="10"/>
  <c r="C19" i="11"/>
  <c r="BL19" i="12" l="1"/>
  <c r="BJ19" i="12"/>
  <c r="BM19" i="12"/>
  <c r="BK19" i="12"/>
  <c r="BL25" i="12"/>
  <c r="BJ25" i="12"/>
  <c r="BM25" i="12"/>
  <c r="BK25" i="12"/>
  <c r="BL31" i="12"/>
  <c r="BJ31" i="12"/>
  <c r="BM31" i="12"/>
  <c r="BK31" i="12"/>
  <c r="BL37" i="12"/>
  <c r="BJ37" i="12"/>
  <c r="BM37" i="12"/>
  <c r="BK37" i="12"/>
  <c r="BL43" i="12"/>
  <c r="BJ43" i="12"/>
  <c r="BK43" i="12"/>
  <c r="BM43" i="12"/>
  <c r="BL49" i="12"/>
  <c r="BJ49" i="12"/>
  <c r="BM49" i="12"/>
  <c r="BK49" i="12"/>
  <c r="BL55" i="12"/>
  <c r="BJ55" i="12"/>
  <c r="BM55" i="12"/>
  <c r="BK55" i="12"/>
  <c r="BL61" i="12"/>
  <c r="BJ61" i="12"/>
  <c r="BM61" i="12"/>
  <c r="BK61" i="12"/>
  <c r="BL67" i="12"/>
  <c r="BJ67" i="12"/>
  <c r="BM67" i="12"/>
  <c r="BK67" i="12"/>
  <c r="BL73" i="12"/>
  <c r="BJ73" i="12"/>
  <c r="BM73" i="12"/>
  <c r="BK73" i="12"/>
  <c r="BL79" i="12"/>
  <c r="BJ79" i="12"/>
  <c r="BM79" i="12"/>
  <c r="BK79" i="12"/>
  <c r="BL85" i="12"/>
  <c r="BJ85" i="12"/>
  <c r="BM85" i="12"/>
  <c r="BK85" i="12"/>
  <c r="BL91" i="12"/>
  <c r="BJ91" i="12"/>
  <c r="BM91" i="12"/>
  <c r="BK91" i="12"/>
  <c r="BL97" i="12"/>
  <c r="BJ97" i="12"/>
  <c r="BM97" i="12"/>
  <c r="BK97" i="12"/>
  <c r="BL103" i="12"/>
  <c r="BJ103" i="12"/>
  <c r="BM103" i="12"/>
  <c r="BK103" i="12"/>
  <c r="BM109" i="12"/>
  <c r="BL109" i="12"/>
  <c r="BJ109" i="12"/>
  <c r="BK109" i="12"/>
  <c r="BM115" i="12"/>
  <c r="BK115" i="12"/>
  <c r="BL115" i="12"/>
  <c r="BJ115" i="12"/>
  <c r="BM121" i="12"/>
  <c r="BK121" i="12"/>
  <c r="BL121" i="12"/>
  <c r="BJ121" i="12"/>
  <c r="BM127" i="12"/>
  <c r="BK127" i="12"/>
  <c r="BL127" i="12"/>
  <c r="BJ127" i="12"/>
  <c r="BM133" i="12"/>
  <c r="BK133" i="12"/>
  <c r="BL133" i="12"/>
  <c r="BJ133" i="12"/>
  <c r="BM139" i="12"/>
  <c r="BK139" i="12"/>
  <c r="BL139" i="12"/>
  <c r="BJ139" i="12"/>
  <c r="BM145" i="12"/>
  <c r="BK145" i="12"/>
  <c r="BL145" i="12"/>
  <c r="BJ145" i="12"/>
  <c r="BM151" i="12"/>
  <c r="BK151" i="12"/>
  <c r="BL151" i="12"/>
  <c r="BJ151" i="12"/>
  <c r="BM157" i="12"/>
  <c r="BK157" i="12"/>
  <c r="BL157" i="12"/>
  <c r="BJ157" i="12"/>
  <c r="BM163" i="12"/>
  <c r="BK163" i="12"/>
  <c r="BL163" i="12"/>
  <c r="BJ163" i="12"/>
  <c r="BM169" i="12"/>
  <c r="BK169" i="12"/>
  <c r="BL169" i="12"/>
  <c r="BJ169" i="12"/>
  <c r="BM175" i="12"/>
  <c r="BK175" i="12"/>
  <c r="BL175" i="12"/>
  <c r="BJ175" i="12"/>
  <c r="BM181" i="12"/>
  <c r="BK181" i="12"/>
  <c r="BL181" i="12"/>
  <c r="BJ181" i="12"/>
  <c r="BM187" i="12"/>
  <c r="BK187" i="12"/>
  <c r="BL187" i="12"/>
  <c r="BJ187" i="12"/>
  <c r="BM193" i="12"/>
  <c r="BK193" i="12"/>
  <c r="BL193" i="12"/>
  <c r="BJ193" i="12"/>
  <c r="BM199" i="12"/>
  <c r="BK199" i="12"/>
  <c r="BL199" i="12"/>
  <c r="BJ199" i="12"/>
  <c r="BM205" i="12"/>
  <c r="BK205" i="12"/>
  <c r="BL205" i="12"/>
  <c r="BJ205" i="12"/>
  <c r="BM211" i="12"/>
  <c r="BK211" i="12"/>
  <c r="BL211" i="12"/>
  <c r="BJ211" i="12"/>
  <c r="BM217" i="12"/>
  <c r="BK217" i="12"/>
  <c r="BL217" i="12"/>
  <c r="BJ217" i="12"/>
  <c r="BM223" i="12"/>
  <c r="BK223" i="12"/>
  <c r="BL223" i="12"/>
  <c r="BJ223" i="12"/>
  <c r="BM229" i="12"/>
  <c r="BK229" i="12"/>
  <c r="BL229" i="12"/>
  <c r="BJ229" i="12"/>
  <c r="BM235" i="12"/>
  <c r="BK235" i="12"/>
  <c r="BL235" i="12"/>
  <c r="BJ235" i="12"/>
  <c r="BM241" i="12"/>
  <c r="BK241" i="12"/>
  <c r="BL241" i="12"/>
  <c r="BJ241" i="12"/>
  <c r="BM247" i="12"/>
  <c r="BK247" i="12"/>
  <c r="BL247" i="12"/>
  <c r="BJ247" i="12"/>
  <c r="BM253" i="12"/>
  <c r="BK253" i="12"/>
  <c r="BL253" i="12"/>
  <c r="BJ253" i="12"/>
  <c r="BM259" i="12"/>
  <c r="BK259" i="12"/>
  <c r="BL259" i="12"/>
  <c r="BJ259" i="12"/>
  <c r="BM265" i="12"/>
  <c r="BK265" i="12"/>
  <c r="BL265" i="12"/>
  <c r="BJ265" i="12"/>
  <c r="BM271" i="12"/>
  <c r="BK271" i="12"/>
  <c r="BL271" i="12"/>
  <c r="BJ271" i="12"/>
  <c r="BM277" i="12"/>
  <c r="BK277" i="12"/>
  <c r="BL277" i="12"/>
  <c r="BJ277" i="12"/>
  <c r="BM283" i="12"/>
  <c r="BK283" i="12"/>
  <c r="BL283" i="12"/>
  <c r="BJ283" i="12"/>
  <c r="BM289" i="12"/>
  <c r="BK289" i="12"/>
  <c r="BL289" i="12"/>
  <c r="BJ289" i="12"/>
  <c r="BM295" i="12"/>
  <c r="BK295" i="12"/>
  <c r="BL295" i="12"/>
  <c r="BJ295" i="12"/>
  <c r="BM301" i="12"/>
  <c r="BK301" i="12"/>
  <c r="BL301" i="12"/>
  <c r="BJ301" i="12"/>
  <c r="BM307" i="12"/>
  <c r="BK307" i="12"/>
  <c r="BL307" i="12"/>
  <c r="BJ307" i="12"/>
  <c r="BM313" i="12"/>
  <c r="BK313" i="12"/>
  <c r="BL313" i="12"/>
  <c r="BJ313" i="12"/>
  <c r="BM319" i="12"/>
  <c r="BK319" i="12"/>
  <c r="BL319" i="12"/>
  <c r="BJ319" i="12"/>
  <c r="BM325" i="12"/>
  <c r="BK325" i="12"/>
  <c r="BL325" i="12"/>
  <c r="BJ325" i="12"/>
  <c r="BM331" i="12"/>
  <c r="BK331" i="12"/>
  <c r="BL331" i="12"/>
  <c r="BJ331" i="12"/>
  <c r="BM337" i="12"/>
  <c r="BK337" i="12"/>
  <c r="BL337" i="12"/>
  <c r="BJ337" i="12"/>
  <c r="BM343" i="12"/>
  <c r="BK343" i="12"/>
  <c r="BL343" i="12"/>
  <c r="BJ343" i="12"/>
  <c r="BM349" i="12"/>
  <c r="BK349" i="12"/>
  <c r="BL349" i="12"/>
  <c r="BJ349" i="12"/>
  <c r="BM355" i="12"/>
  <c r="BK355" i="12"/>
  <c r="BL355" i="12"/>
  <c r="BJ355" i="12"/>
  <c r="BM361" i="12"/>
  <c r="BK361" i="12"/>
  <c r="BL361" i="12"/>
  <c r="BJ361" i="12"/>
  <c r="BM13" i="12"/>
  <c r="BL13" i="12"/>
  <c r="BJ13" i="12"/>
  <c r="BK13" i="12"/>
  <c r="BM7" i="12"/>
  <c r="BL7" i="12"/>
  <c r="BK7" i="12"/>
  <c r="BJ7" i="12"/>
  <c r="AL8" i="12"/>
  <c r="AM8" i="12" s="1"/>
  <c r="AL39" i="12"/>
  <c r="AM39" i="12" s="1"/>
  <c r="AL43" i="12"/>
  <c r="AM43" i="12" s="1"/>
  <c r="AL130" i="12"/>
  <c r="AM130" i="12" s="1"/>
  <c r="AL132" i="12"/>
  <c r="AM132" i="12" s="1"/>
  <c r="AL140" i="12"/>
  <c r="AM140" i="12" s="1"/>
  <c r="AL158" i="12"/>
  <c r="AM158" i="12" s="1"/>
  <c r="AL161" i="12"/>
  <c r="AM161" i="12" s="1"/>
  <c r="AL162" i="12"/>
  <c r="AM162" i="12" s="1"/>
  <c r="AL163" i="12"/>
  <c r="AM163" i="12" s="1"/>
  <c r="AL170" i="12"/>
  <c r="AM170" i="12" s="1"/>
  <c r="AL171" i="12"/>
  <c r="AM171" i="12" s="1"/>
  <c r="AL172" i="12"/>
  <c r="AM172" i="12" s="1"/>
  <c r="AL173" i="12"/>
  <c r="AM173" i="12" s="1"/>
  <c r="AL174" i="12"/>
  <c r="AM174" i="12" s="1"/>
  <c r="AL175" i="12"/>
  <c r="AM175" i="12" s="1"/>
  <c r="AL182" i="12"/>
  <c r="AM182" i="12" s="1"/>
  <c r="AL183" i="12"/>
  <c r="AM183" i="12" s="1"/>
  <c r="AL184" i="12"/>
  <c r="AM184" i="12" s="1"/>
  <c r="AL185" i="12"/>
  <c r="AM185" i="12" s="1"/>
  <c r="AL186" i="12"/>
  <c r="AM186" i="12" s="1"/>
  <c r="AL187" i="12"/>
  <c r="AM187" i="12" s="1"/>
  <c r="AL194" i="12"/>
  <c r="AM194" i="12" s="1"/>
  <c r="AL195" i="12"/>
  <c r="AM195" i="12" s="1"/>
  <c r="AL196" i="12"/>
  <c r="AM196" i="12" s="1"/>
  <c r="AL197" i="12"/>
  <c r="AM197" i="12" s="1"/>
  <c r="AL198" i="12"/>
  <c r="AM198" i="12" s="1"/>
  <c r="AL199" i="12"/>
  <c r="AM199" i="12" s="1"/>
  <c r="AL204" i="12"/>
  <c r="AM204" i="12" s="1"/>
  <c r="AL213" i="12"/>
  <c r="AM213" i="12" s="1"/>
  <c r="AL216" i="12"/>
  <c r="AM216" i="12" s="1"/>
  <c r="AL217" i="12"/>
  <c r="AM217" i="12" s="1"/>
  <c r="AL219" i="12"/>
  <c r="AM219" i="12" s="1"/>
  <c r="AL268" i="12"/>
  <c r="AM268" i="12" s="1"/>
  <c r="AL269" i="12"/>
  <c r="AM269" i="12" s="1"/>
  <c r="AL52" i="12"/>
  <c r="AM52" i="12" s="1"/>
  <c r="AL62" i="12"/>
  <c r="AM62" i="12" s="1"/>
  <c r="AL64" i="12"/>
  <c r="AM64" i="12" s="1"/>
  <c r="AL65" i="12"/>
  <c r="AM65" i="12" s="1"/>
  <c r="AL67" i="12"/>
  <c r="AM67" i="12" s="1"/>
  <c r="AL69" i="12"/>
  <c r="AM69" i="12" s="1"/>
  <c r="AL71" i="12"/>
  <c r="AM71" i="12" s="1"/>
  <c r="AL87" i="12"/>
  <c r="AM87" i="12" s="1"/>
  <c r="AL91" i="12"/>
  <c r="AM91" i="12" s="1"/>
  <c r="AL94" i="12"/>
  <c r="AM94" i="12" s="1"/>
  <c r="AL110" i="12"/>
  <c r="AM110" i="12" s="1"/>
  <c r="AL111" i="12"/>
  <c r="AM111" i="12" s="1"/>
  <c r="AL112" i="12"/>
  <c r="AM112" i="12" s="1"/>
  <c r="AL117" i="12"/>
  <c r="AM117" i="12" s="1"/>
  <c r="AL119" i="12"/>
  <c r="AM119" i="12" s="1"/>
  <c r="AL123" i="12"/>
  <c r="AM123" i="12" s="1"/>
  <c r="AL125" i="12"/>
  <c r="AM125" i="12" s="1"/>
  <c r="AL128" i="12"/>
  <c r="AM128" i="12" s="1"/>
  <c r="AL151" i="12"/>
  <c r="AM151" i="12" s="1"/>
  <c r="AL284" i="12"/>
  <c r="AM284" i="12" s="1"/>
  <c r="AL299" i="12"/>
  <c r="AM299" i="12" s="1"/>
  <c r="AL306" i="12"/>
  <c r="AM306" i="12" s="1"/>
  <c r="AL308" i="12"/>
  <c r="AM308" i="12" s="1"/>
  <c r="AL309" i="12"/>
  <c r="AM309" i="12" s="1"/>
  <c r="AL312" i="12"/>
  <c r="AM312" i="12" s="1"/>
  <c r="AL313" i="12"/>
  <c r="AM313" i="12" s="1"/>
  <c r="AL316" i="12"/>
  <c r="AM316" i="12" s="1"/>
  <c r="AL317" i="12"/>
  <c r="AM317" i="12" s="1"/>
  <c r="AL323" i="12"/>
  <c r="AM323" i="12" s="1"/>
  <c r="AL59" i="12"/>
  <c r="AM59" i="12" s="1"/>
  <c r="AL66" i="12"/>
  <c r="AM66" i="12" s="1"/>
  <c r="AL68" i="12"/>
  <c r="AM68" i="12" s="1"/>
  <c r="AL70" i="12"/>
  <c r="AM70" i="12" s="1"/>
  <c r="AL72" i="12"/>
  <c r="AM72" i="12" s="1"/>
  <c r="AL86" i="12"/>
  <c r="AM86" i="12" s="1"/>
  <c r="AL88" i="12"/>
  <c r="AM88" i="12" s="1"/>
  <c r="AL92" i="12"/>
  <c r="AM92" i="12" s="1"/>
  <c r="AL96" i="12"/>
  <c r="AM96" i="12" s="1"/>
  <c r="AL51" i="12"/>
  <c r="AM51" i="12" s="1"/>
  <c r="AL53" i="12"/>
  <c r="AM53" i="12" s="1"/>
  <c r="AL230" i="12"/>
  <c r="AM230" i="12" s="1"/>
  <c r="AL232" i="12"/>
  <c r="AM232" i="12" s="1"/>
  <c r="AL234" i="12"/>
  <c r="AM234" i="12" s="1"/>
  <c r="AL243" i="12"/>
  <c r="AM243" i="12" s="1"/>
  <c r="AL245" i="12"/>
  <c r="AM245" i="12" s="1"/>
  <c r="AL247" i="12"/>
  <c r="AM247" i="12" s="1"/>
  <c r="AL254" i="12"/>
  <c r="AM254" i="12" s="1"/>
  <c r="AL256" i="12"/>
  <c r="AM256" i="12" s="1"/>
  <c r="AL40" i="12"/>
  <c r="AM40" i="12" s="1"/>
  <c r="AL41" i="12"/>
  <c r="AM41" i="12" s="1"/>
  <c r="AL290" i="12"/>
  <c r="AM290" i="12" s="1"/>
  <c r="AL293" i="12"/>
  <c r="AM293" i="12" s="1"/>
  <c r="AL294" i="12"/>
  <c r="AM294" i="12" s="1"/>
  <c r="AL50" i="12"/>
  <c r="AM50" i="12" s="1"/>
  <c r="AL7" i="12"/>
  <c r="AL14" i="12"/>
  <c r="AM14" i="12" s="1"/>
  <c r="AL15" i="12"/>
  <c r="AM15" i="12" s="1"/>
  <c r="AL16" i="12"/>
  <c r="AM16" i="12" s="1"/>
  <c r="AL17" i="12"/>
  <c r="AM17" i="12" s="1"/>
  <c r="AL18" i="12"/>
  <c r="AM18" i="12" s="1"/>
  <c r="AL19" i="12"/>
  <c r="AM19" i="12" s="1"/>
  <c r="AL26" i="12"/>
  <c r="AM26" i="12" s="1"/>
  <c r="AL27" i="12"/>
  <c r="AM27" i="12" s="1"/>
  <c r="AL28" i="12"/>
  <c r="AM28" i="12" s="1"/>
  <c r="AL29" i="12"/>
  <c r="AM29" i="12" s="1"/>
  <c r="AL30" i="12"/>
  <c r="AM30" i="12" s="1"/>
  <c r="AL31" i="12"/>
  <c r="AM31" i="12" s="1"/>
  <c r="AL89" i="12"/>
  <c r="AM89" i="12" s="1"/>
  <c r="AL90" i="12"/>
  <c r="AM90" i="12" s="1"/>
  <c r="AL9" i="12"/>
  <c r="AM9" i="12" s="1"/>
  <c r="AL10" i="12"/>
  <c r="AM10" i="12" s="1"/>
  <c r="AL11" i="12"/>
  <c r="AM11" i="12" s="1"/>
  <c r="AL12" i="12"/>
  <c r="AM12" i="12" s="1"/>
  <c r="AL13" i="12"/>
  <c r="AM13" i="12" s="1"/>
  <c r="AL20" i="12"/>
  <c r="AM20" i="12" s="1"/>
  <c r="AL21" i="12"/>
  <c r="AM21" i="12" s="1"/>
  <c r="AL22" i="12"/>
  <c r="AM22" i="12" s="1"/>
  <c r="AL23" i="12"/>
  <c r="AM23" i="12" s="1"/>
  <c r="AL24" i="12"/>
  <c r="AM24" i="12" s="1"/>
  <c r="AL25" i="12"/>
  <c r="AM25" i="12" s="1"/>
  <c r="AL32" i="12"/>
  <c r="AM32" i="12" s="1"/>
  <c r="AL42" i="12"/>
  <c r="AM42" i="12" s="1"/>
  <c r="AL33" i="12"/>
  <c r="AM33" i="12" s="1"/>
  <c r="AL34" i="12"/>
  <c r="AM34" i="12" s="1"/>
  <c r="AL35" i="12"/>
  <c r="AM35" i="12" s="1"/>
  <c r="AL36" i="12"/>
  <c r="AM36" i="12" s="1"/>
  <c r="AL37" i="12"/>
  <c r="AM37" i="12" s="1"/>
  <c r="AL44" i="12"/>
  <c r="AM44" i="12" s="1"/>
  <c r="AL45" i="12"/>
  <c r="AM45" i="12" s="1"/>
  <c r="AL46" i="12"/>
  <c r="AM46" i="12" s="1"/>
  <c r="AL47" i="12"/>
  <c r="AM47" i="12" s="1"/>
  <c r="AL48" i="12"/>
  <c r="AM48" i="12" s="1"/>
  <c r="AL49" i="12"/>
  <c r="AM49" i="12" s="1"/>
  <c r="AL56" i="12"/>
  <c r="AM56" i="12" s="1"/>
  <c r="AL57" i="12"/>
  <c r="AM57" i="12" s="1"/>
  <c r="AL135" i="12"/>
  <c r="AM135" i="12" s="1"/>
  <c r="AL137" i="12"/>
  <c r="AM137" i="12" s="1"/>
  <c r="AL139" i="12"/>
  <c r="AM139" i="12" s="1"/>
  <c r="AL142" i="12"/>
  <c r="AM142" i="12" s="1"/>
  <c r="AL143" i="12"/>
  <c r="AM143" i="12" s="1"/>
  <c r="AL144" i="12"/>
  <c r="AM144" i="12" s="1"/>
  <c r="AL145" i="12"/>
  <c r="AM145" i="12" s="1"/>
  <c r="AL150" i="12"/>
  <c r="AM150" i="12" s="1"/>
  <c r="AL152" i="12"/>
  <c r="AM152" i="12" s="1"/>
  <c r="AL154" i="12"/>
  <c r="AM154" i="12" s="1"/>
  <c r="AL157" i="12"/>
  <c r="AM157" i="12" s="1"/>
  <c r="AL159" i="12"/>
  <c r="AM159" i="12" s="1"/>
  <c r="AL160" i="12"/>
  <c r="AM160" i="12" s="1"/>
  <c r="AL205" i="12"/>
  <c r="AM205" i="12" s="1"/>
  <c r="AL209" i="12"/>
  <c r="AM209" i="12" s="1"/>
  <c r="AL212" i="12"/>
  <c r="AM212" i="12" s="1"/>
  <c r="AL214" i="12"/>
  <c r="AM214" i="12" s="1"/>
  <c r="AL215" i="12"/>
  <c r="AM215" i="12" s="1"/>
  <c r="AL224" i="12"/>
  <c r="AM224" i="12" s="1"/>
  <c r="AL225" i="12"/>
  <c r="AM225" i="12" s="1"/>
  <c r="AL242" i="12"/>
  <c r="AM242" i="12" s="1"/>
  <c r="AL244" i="12"/>
  <c r="AM244" i="12" s="1"/>
  <c r="AL246" i="12"/>
  <c r="AM246" i="12" s="1"/>
  <c r="AL258" i="12"/>
  <c r="AM258" i="12" s="1"/>
  <c r="AL259" i="12"/>
  <c r="AM259" i="12" s="1"/>
  <c r="AL271" i="12"/>
  <c r="AM271" i="12" s="1"/>
  <c r="AL279" i="12"/>
  <c r="AM279" i="12" s="1"/>
  <c r="AL280" i="12"/>
  <c r="AM280" i="12" s="1"/>
  <c r="AL285" i="12"/>
  <c r="AM285" i="12" s="1"/>
  <c r="AL288" i="12"/>
  <c r="AM288" i="12" s="1"/>
  <c r="AL291" i="12"/>
  <c r="AM291" i="12" s="1"/>
  <c r="AL292" i="12"/>
  <c r="AM292" i="12" s="1"/>
  <c r="AL320" i="12"/>
  <c r="AM320" i="12" s="1"/>
  <c r="AL324" i="12"/>
  <c r="AM324" i="12" s="1"/>
  <c r="AL332" i="12"/>
  <c r="AM332" i="12" s="1"/>
  <c r="AL333" i="12"/>
  <c r="AM333" i="12" s="1"/>
  <c r="AL334" i="12"/>
  <c r="AM334" i="12" s="1"/>
  <c r="AL335" i="12"/>
  <c r="AM335" i="12" s="1"/>
  <c r="AL336" i="12"/>
  <c r="AM336" i="12" s="1"/>
  <c r="AL337" i="12"/>
  <c r="AM337" i="12" s="1"/>
  <c r="AL340" i="12"/>
  <c r="AM340" i="12" s="1"/>
  <c r="AL341" i="12"/>
  <c r="AM341" i="12" s="1"/>
  <c r="AL342" i="12"/>
  <c r="AM342" i="12" s="1"/>
  <c r="AL343" i="12"/>
  <c r="AM343" i="12" s="1"/>
  <c r="AL351" i="12"/>
  <c r="AM351" i="12" s="1"/>
  <c r="AL352" i="12"/>
  <c r="AM352" i="12" s="1"/>
  <c r="AL353" i="12"/>
  <c r="AM353" i="12" s="1"/>
  <c r="AL354" i="12"/>
  <c r="AM354" i="12" s="1"/>
  <c r="AL355" i="12"/>
  <c r="AM355" i="12" s="1"/>
  <c r="AL362" i="12"/>
  <c r="AM362" i="12" s="1"/>
  <c r="AL363" i="12"/>
  <c r="AM363" i="12" s="1"/>
  <c r="AL364" i="12"/>
  <c r="AM364" i="12" s="1"/>
  <c r="AL73" i="12"/>
  <c r="AM73" i="12" s="1"/>
  <c r="AL93" i="12"/>
  <c r="AM93" i="12" s="1"/>
  <c r="AL95" i="12"/>
  <c r="AM95" i="12" s="1"/>
  <c r="AL97" i="12"/>
  <c r="AM97" i="12" s="1"/>
  <c r="AL147" i="12"/>
  <c r="AM147" i="12" s="1"/>
  <c r="AL164" i="12"/>
  <c r="AM164" i="12" s="1"/>
  <c r="AL165" i="12"/>
  <c r="AM165" i="12" s="1"/>
  <c r="AL166" i="12"/>
  <c r="AM166" i="12" s="1"/>
  <c r="AL167" i="12"/>
  <c r="AM167" i="12" s="1"/>
  <c r="AL168" i="12"/>
  <c r="AM168" i="12" s="1"/>
  <c r="AL169" i="12"/>
  <c r="AM169" i="12" s="1"/>
  <c r="AL176" i="12"/>
  <c r="AM176" i="12" s="1"/>
  <c r="AL177" i="12"/>
  <c r="AM177" i="12" s="1"/>
  <c r="AL178" i="12"/>
  <c r="AM178" i="12" s="1"/>
  <c r="AL179" i="12"/>
  <c r="AM179" i="12" s="1"/>
  <c r="AL180" i="12"/>
  <c r="AM180" i="12" s="1"/>
  <c r="AL181" i="12"/>
  <c r="AM181" i="12" s="1"/>
  <c r="AL188" i="12"/>
  <c r="AM188" i="12" s="1"/>
  <c r="AL189" i="12"/>
  <c r="AM189" i="12" s="1"/>
  <c r="AL190" i="12"/>
  <c r="AM190" i="12" s="1"/>
  <c r="AL191" i="12"/>
  <c r="AM191" i="12" s="1"/>
  <c r="AL192" i="12"/>
  <c r="AM192" i="12" s="1"/>
  <c r="AL193" i="12"/>
  <c r="AM193" i="12" s="1"/>
  <c r="AL200" i="12"/>
  <c r="AM200" i="12" s="1"/>
  <c r="AL201" i="12"/>
  <c r="AM201" i="12" s="1"/>
  <c r="AL202" i="12"/>
  <c r="AM202" i="12" s="1"/>
  <c r="AL203" i="12"/>
  <c r="AM203" i="12" s="1"/>
  <c r="AL218" i="12"/>
  <c r="AM218" i="12" s="1"/>
  <c r="AL226" i="12"/>
  <c r="AM226" i="12" s="1"/>
  <c r="AL227" i="12"/>
  <c r="AM227" i="12" s="1"/>
  <c r="AL231" i="12"/>
  <c r="AM231" i="12" s="1"/>
  <c r="AL233" i="12"/>
  <c r="AM233" i="12" s="1"/>
  <c r="AL236" i="12"/>
  <c r="AM236" i="12" s="1"/>
  <c r="AL238" i="12"/>
  <c r="AM238" i="12" s="1"/>
  <c r="AL240" i="12"/>
  <c r="AM240" i="12" s="1"/>
  <c r="AL248" i="12"/>
  <c r="AM248" i="12" s="1"/>
  <c r="AL250" i="12"/>
  <c r="AM250" i="12" s="1"/>
  <c r="AL252" i="12"/>
  <c r="AM252" i="12" s="1"/>
  <c r="AL255" i="12"/>
  <c r="AM255" i="12" s="1"/>
  <c r="AL257" i="12"/>
  <c r="AM257" i="12" s="1"/>
  <c r="AL266" i="12"/>
  <c r="AM266" i="12" s="1"/>
  <c r="AL274" i="12"/>
  <c r="AM274" i="12" s="1"/>
  <c r="AL278" i="12"/>
  <c r="AM278" i="12" s="1"/>
  <c r="AL283" i="12"/>
  <c r="AM283" i="12" s="1"/>
  <c r="AL289" i="12"/>
  <c r="AM289" i="12" s="1"/>
  <c r="AL295" i="12"/>
  <c r="AM295" i="12" s="1"/>
  <c r="AL303" i="12"/>
  <c r="AM303" i="12" s="1"/>
  <c r="AL304" i="12"/>
  <c r="AM304" i="12" s="1"/>
  <c r="AL310" i="12"/>
  <c r="AM310" i="12" s="1"/>
  <c r="AL321" i="12"/>
  <c r="AM321" i="12" s="1"/>
  <c r="AL325" i="12"/>
  <c r="AM325" i="12" s="1"/>
  <c r="AL38" i="12"/>
  <c r="AM38" i="12" s="1"/>
  <c r="AL54" i="12"/>
  <c r="AM54" i="12" s="1"/>
  <c r="AL55" i="12"/>
  <c r="AM55" i="12" s="1"/>
  <c r="AL63" i="12"/>
  <c r="AM63" i="12" s="1"/>
  <c r="AL116" i="12"/>
  <c r="AM116" i="12" s="1"/>
  <c r="AL118" i="12"/>
  <c r="AM118" i="12" s="1"/>
  <c r="AL120" i="12"/>
  <c r="AM120" i="12" s="1"/>
  <c r="AL129" i="12"/>
  <c r="AM129" i="12" s="1"/>
  <c r="AL131" i="12"/>
  <c r="AM131" i="12" s="1"/>
  <c r="AL133" i="12"/>
  <c r="AM133" i="12" s="1"/>
  <c r="AL141" i="12"/>
  <c r="AM141" i="12" s="1"/>
  <c r="AL146" i="12"/>
  <c r="AM146" i="12" s="1"/>
  <c r="AL148" i="12"/>
  <c r="AM148" i="12" s="1"/>
  <c r="AL149" i="12"/>
  <c r="AM149" i="12" s="1"/>
  <c r="AL153" i="12"/>
  <c r="AM153" i="12" s="1"/>
  <c r="AL221" i="12"/>
  <c r="AM221" i="12" s="1"/>
  <c r="AL223" i="12"/>
  <c r="AM223" i="12" s="1"/>
  <c r="AL228" i="12"/>
  <c r="AM228" i="12" s="1"/>
  <c r="AL229" i="12"/>
  <c r="AM229" i="12" s="1"/>
  <c r="AL237" i="12"/>
  <c r="AM237" i="12" s="1"/>
  <c r="AL239" i="12"/>
  <c r="AM239" i="12" s="1"/>
  <c r="AL241" i="12"/>
  <c r="AM241" i="12" s="1"/>
  <c r="AL249" i="12"/>
  <c r="AM249" i="12" s="1"/>
  <c r="AL251" i="12"/>
  <c r="AM251" i="12" s="1"/>
  <c r="AL253" i="12"/>
  <c r="AM253" i="12" s="1"/>
  <c r="AL260" i="12"/>
  <c r="AM260" i="12" s="1"/>
  <c r="AL261" i="12"/>
  <c r="AM261" i="12" s="1"/>
  <c r="AL264" i="12"/>
  <c r="AM264" i="12" s="1"/>
  <c r="AL267" i="12"/>
  <c r="AM267" i="12" s="1"/>
  <c r="AL270" i="12"/>
  <c r="AM270" i="12" s="1"/>
  <c r="AL275" i="12"/>
  <c r="AM275" i="12" s="1"/>
  <c r="AL281" i="12"/>
  <c r="AM281" i="12" s="1"/>
  <c r="AL282" i="12"/>
  <c r="AM282" i="12" s="1"/>
  <c r="AL298" i="12"/>
  <c r="AM298" i="12" s="1"/>
  <c r="AL302" i="12"/>
  <c r="AM302" i="12" s="1"/>
  <c r="AL305" i="12"/>
  <c r="AM305" i="12" s="1"/>
  <c r="AL311" i="12"/>
  <c r="AM311" i="12" s="1"/>
  <c r="AL322" i="12"/>
  <c r="AM322" i="12" s="1"/>
  <c r="AL326" i="12"/>
  <c r="AM326" i="12" s="1"/>
  <c r="AL327" i="12"/>
  <c r="AM327" i="12" s="1"/>
  <c r="AL328" i="12"/>
  <c r="AM328" i="12" s="1"/>
  <c r="AL329" i="12"/>
  <c r="AM329" i="12" s="1"/>
  <c r="AL330" i="12"/>
  <c r="AM330" i="12" s="1"/>
  <c r="AL331" i="12"/>
  <c r="AM331" i="12" s="1"/>
  <c r="AL338" i="12"/>
  <c r="AM338" i="12" s="1"/>
  <c r="AL339" i="12"/>
  <c r="AM339" i="12" s="1"/>
  <c r="AL344" i="12"/>
  <c r="AM344" i="12" s="1"/>
  <c r="AL345" i="12"/>
  <c r="AM345" i="12" s="1"/>
  <c r="AL346" i="12"/>
  <c r="AM346" i="12" s="1"/>
  <c r="AL347" i="12"/>
  <c r="AM347" i="12" s="1"/>
  <c r="AL348" i="12"/>
  <c r="AM348" i="12" s="1"/>
  <c r="AL349" i="12"/>
  <c r="AM349" i="12" s="1"/>
  <c r="AL350" i="12"/>
  <c r="AM350" i="12" s="1"/>
  <c r="AL356" i="12"/>
  <c r="AM356" i="12" s="1"/>
  <c r="AL357" i="12"/>
  <c r="AM357" i="12" s="1"/>
  <c r="AL358" i="12"/>
  <c r="AM358" i="12" s="1"/>
  <c r="AL359" i="12"/>
  <c r="AM359" i="12" s="1"/>
  <c r="AL360" i="12"/>
  <c r="AM360" i="12" s="1"/>
  <c r="AL361" i="12"/>
  <c r="AM361" i="12" s="1"/>
  <c r="AL60" i="12"/>
  <c r="AM60" i="12" s="1"/>
  <c r="AL80" i="12"/>
  <c r="AM80" i="12" s="1"/>
  <c r="AL81" i="12"/>
  <c r="AM81" i="12" s="1"/>
  <c r="AL82" i="12"/>
  <c r="AM82" i="12" s="1"/>
  <c r="AL83" i="12"/>
  <c r="AM83" i="12" s="1"/>
  <c r="AL84" i="12"/>
  <c r="AM84" i="12" s="1"/>
  <c r="AL85" i="12"/>
  <c r="AM85" i="12" s="1"/>
  <c r="AL104" i="12"/>
  <c r="AM104" i="12" s="1"/>
  <c r="AL105" i="12"/>
  <c r="AM105" i="12" s="1"/>
  <c r="AL106" i="12"/>
  <c r="AM106" i="12" s="1"/>
  <c r="AL107" i="12"/>
  <c r="AM107" i="12" s="1"/>
  <c r="AL108" i="12"/>
  <c r="AM108" i="12" s="1"/>
  <c r="AL109" i="12"/>
  <c r="AM109" i="12" s="1"/>
  <c r="AL114" i="12"/>
  <c r="AM114" i="12" s="1"/>
  <c r="AL127" i="12"/>
  <c r="AM127" i="12" s="1"/>
  <c r="AL61" i="12"/>
  <c r="AM61" i="12" s="1"/>
  <c r="AL74" i="12"/>
  <c r="AM74" i="12" s="1"/>
  <c r="AL75" i="12"/>
  <c r="AM75" i="12" s="1"/>
  <c r="AL76" i="12"/>
  <c r="AM76" i="12" s="1"/>
  <c r="AL77" i="12"/>
  <c r="AM77" i="12" s="1"/>
  <c r="AL78" i="12"/>
  <c r="AM78" i="12" s="1"/>
  <c r="AL79" i="12"/>
  <c r="AM79" i="12" s="1"/>
  <c r="AL98" i="12"/>
  <c r="AM98" i="12" s="1"/>
  <c r="AL99" i="12"/>
  <c r="AM99" i="12" s="1"/>
  <c r="AL100" i="12"/>
  <c r="AM100" i="12" s="1"/>
  <c r="AL101" i="12"/>
  <c r="AM101" i="12" s="1"/>
  <c r="AL102" i="12"/>
  <c r="AM102" i="12" s="1"/>
  <c r="AL103" i="12"/>
  <c r="AM103" i="12" s="1"/>
  <c r="AL121" i="12"/>
  <c r="AM121" i="12" s="1"/>
  <c r="AL58" i="12"/>
  <c r="AM58" i="12" s="1"/>
  <c r="AL115" i="12"/>
  <c r="AM115" i="12" s="1"/>
  <c r="AL122" i="12"/>
  <c r="AM122" i="12" s="1"/>
  <c r="AL126" i="12"/>
  <c r="AM126" i="12" s="1"/>
  <c r="AL136" i="12"/>
  <c r="AM136" i="12" s="1"/>
  <c r="AL113" i="12"/>
  <c r="AM113" i="12" s="1"/>
  <c r="AL124" i="12"/>
  <c r="AM124" i="12" s="1"/>
  <c r="AL134" i="12"/>
  <c r="AM134" i="12" s="1"/>
  <c r="AL138" i="12"/>
  <c r="AM138" i="12" s="1"/>
  <c r="AL156" i="12"/>
  <c r="AM156" i="12" s="1"/>
  <c r="AL155" i="12"/>
  <c r="AM155" i="12" s="1"/>
  <c r="AL208" i="12"/>
  <c r="AM208" i="12" s="1"/>
  <c r="AL206" i="12"/>
  <c r="AM206" i="12" s="1"/>
  <c r="AL210" i="12"/>
  <c r="AM210" i="12" s="1"/>
  <c r="AL220" i="12"/>
  <c r="AM220" i="12" s="1"/>
  <c r="AL222" i="12"/>
  <c r="AM222" i="12" s="1"/>
  <c r="AL207" i="12"/>
  <c r="AM207" i="12" s="1"/>
  <c r="AL211" i="12"/>
  <c r="AM211" i="12" s="1"/>
  <c r="AL235" i="12"/>
  <c r="AM235" i="12" s="1"/>
  <c r="AL265" i="12"/>
  <c r="AM265" i="12" s="1"/>
  <c r="AL263" i="12"/>
  <c r="AM263" i="12" s="1"/>
  <c r="AL273" i="12"/>
  <c r="AM273" i="12" s="1"/>
  <c r="AL277" i="12"/>
  <c r="AM277" i="12" s="1"/>
  <c r="AL287" i="12"/>
  <c r="AM287" i="12" s="1"/>
  <c r="AL297" i="12"/>
  <c r="AM297" i="12" s="1"/>
  <c r="AL301" i="12"/>
  <c r="AM301" i="12" s="1"/>
  <c r="AL262" i="12"/>
  <c r="AM262" i="12" s="1"/>
  <c r="AL272" i="12"/>
  <c r="AM272" i="12" s="1"/>
  <c r="AL276" i="12"/>
  <c r="AM276" i="12" s="1"/>
  <c r="AL286" i="12"/>
  <c r="AM286" i="12" s="1"/>
  <c r="AL296" i="12"/>
  <c r="AM296" i="12" s="1"/>
  <c r="AL300" i="12"/>
  <c r="AM300" i="12" s="1"/>
  <c r="AL307" i="12"/>
  <c r="AM307" i="12" s="1"/>
  <c r="AL314" i="12"/>
  <c r="AM314" i="12" s="1"/>
  <c r="AL318" i="12"/>
  <c r="AM318" i="12" s="1"/>
  <c r="AL319" i="12"/>
  <c r="AM319" i="12" s="1"/>
  <c r="AL315" i="12"/>
  <c r="AM315" i="12" s="1"/>
  <c r="AL365" i="12"/>
  <c r="AM365" i="12" s="1"/>
  <c r="AL366" i="12"/>
  <c r="AM366" i="12" s="1"/>
  <c r="AM7" i="12" l="1"/>
  <c r="AI366" i="10" l="1"/>
  <c r="AE366" i="10"/>
  <c r="AC366" i="10"/>
  <c r="AA366" i="10"/>
  <c r="W366" i="10"/>
  <c r="U366" i="10"/>
  <c r="S366" i="10"/>
  <c r="AI365" i="10"/>
  <c r="AE365" i="10"/>
  <c r="AC365" i="10"/>
  <c r="AA365" i="10"/>
  <c r="W365" i="10"/>
  <c r="U365" i="10"/>
  <c r="S365" i="10"/>
  <c r="AI364" i="10"/>
  <c r="AE364" i="10"/>
  <c r="AC364" i="10"/>
  <c r="AA364" i="10"/>
  <c r="W364" i="10"/>
  <c r="U364" i="10"/>
  <c r="S364" i="10"/>
  <c r="AI363" i="10"/>
  <c r="AE363" i="10"/>
  <c r="AC363" i="10"/>
  <c r="AA363" i="10"/>
  <c r="W363" i="10"/>
  <c r="U363" i="10"/>
  <c r="S363" i="10"/>
  <c r="AI362" i="10"/>
  <c r="AE362" i="10"/>
  <c r="AC362" i="10"/>
  <c r="AA362" i="10"/>
  <c r="W362" i="10"/>
  <c r="U362" i="10"/>
  <c r="S362" i="10"/>
  <c r="AI361" i="10"/>
  <c r="AE361" i="10"/>
  <c r="AC361" i="10"/>
  <c r="AA361" i="10"/>
  <c r="W361" i="10"/>
  <c r="U361" i="10"/>
  <c r="S361" i="10"/>
  <c r="K361" i="10"/>
  <c r="C361" i="10"/>
  <c r="AI360" i="10"/>
  <c r="AE360" i="10"/>
  <c r="AC360" i="10"/>
  <c r="AA360" i="10"/>
  <c r="W360" i="10"/>
  <c r="U360" i="10"/>
  <c r="S360" i="10"/>
  <c r="AI359" i="10"/>
  <c r="AE359" i="10"/>
  <c r="AC359" i="10"/>
  <c r="AA359" i="10"/>
  <c r="W359" i="10"/>
  <c r="U359" i="10"/>
  <c r="S359" i="10"/>
  <c r="AI358" i="10"/>
  <c r="AE358" i="10"/>
  <c r="AC358" i="10"/>
  <c r="AA358" i="10"/>
  <c r="W358" i="10"/>
  <c r="U358" i="10"/>
  <c r="S358" i="10"/>
  <c r="AI357" i="10"/>
  <c r="AE357" i="10"/>
  <c r="AC357" i="10"/>
  <c r="AA357" i="10"/>
  <c r="W357" i="10"/>
  <c r="U357" i="10"/>
  <c r="S357" i="10"/>
  <c r="AI356" i="10"/>
  <c r="AE356" i="10"/>
  <c r="AC356" i="10"/>
  <c r="AA356" i="10"/>
  <c r="W356" i="10"/>
  <c r="U356" i="10"/>
  <c r="S356" i="10"/>
  <c r="AI355" i="10"/>
  <c r="AE355" i="10"/>
  <c r="AC355" i="10"/>
  <c r="AA355" i="10"/>
  <c r="W355" i="10"/>
  <c r="U355" i="10"/>
  <c r="S355" i="10"/>
  <c r="K355" i="10"/>
  <c r="C355" i="10"/>
  <c r="AI354" i="10"/>
  <c r="AE354" i="10"/>
  <c r="AC354" i="10"/>
  <c r="AA354" i="10"/>
  <c r="W354" i="10"/>
  <c r="U354" i="10"/>
  <c r="S354" i="10"/>
  <c r="AI353" i="10"/>
  <c r="AE353" i="10"/>
  <c r="AC353" i="10"/>
  <c r="AA353" i="10"/>
  <c r="W353" i="10"/>
  <c r="U353" i="10"/>
  <c r="S353" i="10"/>
  <c r="AI352" i="10"/>
  <c r="AE352" i="10"/>
  <c r="AC352" i="10"/>
  <c r="AA352" i="10"/>
  <c r="W352" i="10"/>
  <c r="U352" i="10"/>
  <c r="S352" i="10"/>
  <c r="AI351" i="10"/>
  <c r="AE351" i="10"/>
  <c r="AC351" i="10"/>
  <c r="AA351" i="10"/>
  <c r="W351" i="10"/>
  <c r="U351" i="10"/>
  <c r="S351" i="10"/>
  <c r="AI350" i="10"/>
  <c r="AE350" i="10"/>
  <c r="AC350" i="10"/>
  <c r="AA350" i="10"/>
  <c r="W350" i="10"/>
  <c r="U350" i="10"/>
  <c r="S350" i="10"/>
  <c r="AI349" i="10"/>
  <c r="AE349" i="10"/>
  <c r="AC349" i="10"/>
  <c r="AA349" i="10"/>
  <c r="W349" i="10"/>
  <c r="U349" i="10"/>
  <c r="S349" i="10"/>
  <c r="K349" i="10"/>
  <c r="C349" i="10"/>
  <c r="AI348" i="10"/>
  <c r="AE348" i="10"/>
  <c r="AC348" i="10"/>
  <c r="AA348" i="10"/>
  <c r="W348" i="10"/>
  <c r="U348" i="10"/>
  <c r="S348" i="10"/>
  <c r="AI347" i="10"/>
  <c r="AE347" i="10"/>
  <c r="AC347" i="10"/>
  <c r="AA347" i="10"/>
  <c r="W347" i="10"/>
  <c r="U347" i="10"/>
  <c r="S347" i="10"/>
  <c r="AI346" i="10"/>
  <c r="AE346" i="10"/>
  <c r="AC346" i="10"/>
  <c r="AA346" i="10"/>
  <c r="W346" i="10"/>
  <c r="U346" i="10"/>
  <c r="S346" i="10"/>
  <c r="AI345" i="10"/>
  <c r="AE345" i="10"/>
  <c r="AC345" i="10"/>
  <c r="AA345" i="10"/>
  <c r="W345" i="10"/>
  <c r="U345" i="10"/>
  <c r="S345" i="10"/>
  <c r="AI344" i="10"/>
  <c r="AE344" i="10"/>
  <c r="AC344" i="10"/>
  <c r="AA344" i="10"/>
  <c r="W344" i="10"/>
  <c r="U344" i="10"/>
  <c r="S344" i="10"/>
  <c r="AI343" i="10"/>
  <c r="AE343" i="10"/>
  <c r="AC343" i="10"/>
  <c r="AA343" i="10"/>
  <c r="W343" i="10"/>
  <c r="U343" i="10"/>
  <c r="S343" i="10"/>
  <c r="K343" i="10"/>
  <c r="C343" i="10"/>
  <c r="AI342" i="10"/>
  <c r="AE342" i="10"/>
  <c r="AC342" i="10"/>
  <c r="AA342" i="10"/>
  <c r="W342" i="10"/>
  <c r="U342" i="10"/>
  <c r="S342" i="10"/>
  <c r="AI341" i="10"/>
  <c r="AE341" i="10"/>
  <c r="AC341" i="10"/>
  <c r="AA341" i="10"/>
  <c r="W341" i="10"/>
  <c r="U341" i="10"/>
  <c r="S341" i="10"/>
  <c r="AI340" i="10"/>
  <c r="AE340" i="10"/>
  <c r="AC340" i="10"/>
  <c r="AA340" i="10"/>
  <c r="W340" i="10"/>
  <c r="U340" i="10"/>
  <c r="S340" i="10"/>
  <c r="AI339" i="10"/>
  <c r="AE339" i="10"/>
  <c r="AC339" i="10"/>
  <c r="AA339" i="10"/>
  <c r="W339" i="10"/>
  <c r="U339" i="10"/>
  <c r="S339" i="10"/>
  <c r="AI338" i="10"/>
  <c r="AE338" i="10"/>
  <c r="AC338" i="10"/>
  <c r="AA338" i="10"/>
  <c r="W338" i="10"/>
  <c r="U338" i="10"/>
  <c r="S338" i="10"/>
  <c r="AI337" i="10"/>
  <c r="AE337" i="10"/>
  <c r="AC337" i="10"/>
  <c r="AA337" i="10"/>
  <c r="W337" i="10"/>
  <c r="U337" i="10"/>
  <c r="S337" i="10"/>
  <c r="K337" i="10"/>
  <c r="C337" i="10"/>
  <c r="AI336" i="10"/>
  <c r="AE336" i="10"/>
  <c r="AC336" i="10"/>
  <c r="AA336" i="10"/>
  <c r="W336" i="10"/>
  <c r="U336" i="10"/>
  <c r="S336" i="10"/>
  <c r="AI335" i="10"/>
  <c r="AE335" i="10"/>
  <c r="AC335" i="10"/>
  <c r="AA335" i="10"/>
  <c r="W335" i="10"/>
  <c r="U335" i="10"/>
  <c r="S335" i="10"/>
  <c r="AI334" i="10"/>
  <c r="AE334" i="10"/>
  <c r="AC334" i="10"/>
  <c r="AA334" i="10"/>
  <c r="W334" i="10"/>
  <c r="U334" i="10"/>
  <c r="S334" i="10"/>
  <c r="AI333" i="10"/>
  <c r="AE333" i="10"/>
  <c r="AC333" i="10"/>
  <c r="AA333" i="10"/>
  <c r="W333" i="10"/>
  <c r="U333" i="10"/>
  <c r="S333" i="10"/>
  <c r="AI332" i="10"/>
  <c r="AE332" i="10"/>
  <c r="AC332" i="10"/>
  <c r="AA332" i="10"/>
  <c r="W332" i="10"/>
  <c r="U332" i="10"/>
  <c r="S332" i="10"/>
  <c r="AI331" i="10"/>
  <c r="AE331" i="10"/>
  <c r="AC331" i="10"/>
  <c r="AA331" i="10"/>
  <c r="W331" i="10"/>
  <c r="U331" i="10"/>
  <c r="S331" i="10"/>
  <c r="K331" i="10"/>
  <c r="C331" i="10"/>
  <c r="AI330" i="10"/>
  <c r="AE330" i="10"/>
  <c r="AC330" i="10"/>
  <c r="AA330" i="10"/>
  <c r="W330" i="10"/>
  <c r="U330" i="10"/>
  <c r="S330" i="10"/>
  <c r="AI329" i="10"/>
  <c r="AE329" i="10"/>
  <c r="AC329" i="10"/>
  <c r="AA329" i="10"/>
  <c r="W329" i="10"/>
  <c r="U329" i="10"/>
  <c r="S329" i="10"/>
  <c r="AI328" i="10"/>
  <c r="AE328" i="10"/>
  <c r="AC328" i="10"/>
  <c r="AA328" i="10"/>
  <c r="W328" i="10"/>
  <c r="U328" i="10"/>
  <c r="S328" i="10"/>
  <c r="AI327" i="10"/>
  <c r="AE327" i="10"/>
  <c r="AC327" i="10"/>
  <c r="AA327" i="10"/>
  <c r="W327" i="10"/>
  <c r="U327" i="10"/>
  <c r="S327" i="10"/>
  <c r="AI326" i="10"/>
  <c r="AE326" i="10"/>
  <c r="S326" i="10"/>
  <c r="AI325" i="10"/>
  <c r="AE325" i="10"/>
  <c r="S325" i="10"/>
  <c r="K325" i="10"/>
  <c r="C325" i="10"/>
  <c r="AI324" i="10"/>
  <c r="AE324" i="10"/>
  <c r="AC324" i="10"/>
  <c r="AA324" i="10"/>
  <c r="W324" i="10"/>
  <c r="U324" i="10"/>
  <c r="S324" i="10"/>
  <c r="AI323" i="10"/>
  <c r="AE323" i="10"/>
  <c r="AC323" i="10"/>
  <c r="AA323" i="10"/>
  <c r="W323" i="10"/>
  <c r="U323" i="10"/>
  <c r="S323" i="10"/>
  <c r="AI322" i="10"/>
  <c r="AE322" i="10"/>
  <c r="AC322" i="10"/>
  <c r="AA322" i="10"/>
  <c r="W322" i="10"/>
  <c r="U322" i="10"/>
  <c r="S322" i="10"/>
  <c r="AI321" i="10"/>
  <c r="AE321" i="10"/>
  <c r="AC321" i="10"/>
  <c r="AA321" i="10"/>
  <c r="W321" i="10"/>
  <c r="U321" i="10"/>
  <c r="S321" i="10"/>
  <c r="AI320" i="10"/>
  <c r="AE320" i="10"/>
  <c r="AC320" i="10"/>
  <c r="AA320" i="10"/>
  <c r="W320" i="10"/>
  <c r="U320" i="10"/>
  <c r="S320" i="10"/>
  <c r="AI319" i="10"/>
  <c r="AE319" i="10"/>
  <c r="AC319" i="10"/>
  <c r="AA319" i="10"/>
  <c r="W319" i="10"/>
  <c r="U319" i="10"/>
  <c r="S319" i="10"/>
  <c r="K319" i="10"/>
  <c r="C319" i="10"/>
  <c r="AI318" i="10"/>
  <c r="AE318" i="10"/>
  <c r="AC318" i="10"/>
  <c r="AA318" i="10"/>
  <c r="W318" i="10"/>
  <c r="U318" i="10"/>
  <c r="S318" i="10"/>
  <c r="AI317" i="10"/>
  <c r="AE317" i="10"/>
  <c r="AC317" i="10"/>
  <c r="AA317" i="10"/>
  <c r="W317" i="10"/>
  <c r="U317" i="10"/>
  <c r="S317" i="10"/>
  <c r="AI316" i="10"/>
  <c r="AE316" i="10"/>
  <c r="AC316" i="10"/>
  <c r="AA316" i="10"/>
  <c r="W316" i="10"/>
  <c r="U316" i="10"/>
  <c r="S316" i="10"/>
  <c r="AI315" i="10"/>
  <c r="AE315" i="10"/>
  <c r="AC315" i="10"/>
  <c r="AA315" i="10"/>
  <c r="W315" i="10"/>
  <c r="U315" i="10"/>
  <c r="S315" i="10"/>
  <c r="AI314" i="10"/>
  <c r="AE314" i="10"/>
  <c r="AC314" i="10"/>
  <c r="AA314" i="10"/>
  <c r="W314" i="10"/>
  <c r="U314" i="10"/>
  <c r="S314" i="10"/>
  <c r="AI313" i="10"/>
  <c r="AE313" i="10"/>
  <c r="AC313" i="10"/>
  <c r="AA313" i="10"/>
  <c r="W313" i="10"/>
  <c r="U313" i="10"/>
  <c r="S313" i="10"/>
  <c r="K313" i="10"/>
  <c r="C313" i="10"/>
  <c r="AI312" i="10"/>
  <c r="AE312" i="10"/>
  <c r="AC312" i="10"/>
  <c r="AA312" i="10"/>
  <c r="W312" i="10"/>
  <c r="U312" i="10"/>
  <c r="S312" i="10"/>
  <c r="AI311" i="10"/>
  <c r="AE311" i="10"/>
  <c r="AC311" i="10"/>
  <c r="AA311" i="10"/>
  <c r="W311" i="10"/>
  <c r="U311" i="10"/>
  <c r="S311" i="10"/>
  <c r="AI310" i="10"/>
  <c r="AE310" i="10"/>
  <c r="AC310" i="10"/>
  <c r="AA310" i="10"/>
  <c r="W310" i="10"/>
  <c r="U310" i="10"/>
  <c r="S310" i="10"/>
  <c r="AI309" i="10"/>
  <c r="AE309" i="10"/>
  <c r="AC309" i="10"/>
  <c r="AA309" i="10"/>
  <c r="W309" i="10"/>
  <c r="U309" i="10"/>
  <c r="S309" i="10"/>
  <c r="AI308" i="10"/>
  <c r="AE308" i="10"/>
  <c r="AC308" i="10"/>
  <c r="AA308" i="10"/>
  <c r="W308" i="10"/>
  <c r="U308" i="10"/>
  <c r="S308" i="10"/>
  <c r="AI307" i="10"/>
  <c r="AE307" i="10"/>
  <c r="AC307" i="10"/>
  <c r="AA307" i="10"/>
  <c r="W307" i="10"/>
  <c r="U307" i="10"/>
  <c r="S307" i="10"/>
  <c r="K307" i="10"/>
  <c r="C307" i="10"/>
  <c r="AI306" i="10"/>
  <c r="AE306" i="10"/>
  <c r="AC306" i="10"/>
  <c r="AA306" i="10"/>
  <c r="W306" i="10"/>
  <c r="U306" i="10"/>
  <c r="S306" i="10"/>
  <c r="AI305" i="10"/>
  <c r="AE305" i="10"/>
  <c r="AC305" i="10"/>
  <c r="AA305" i="10"/>
  <c r="W305" i="10"/>
  <c r="U305" i="10"/>
  <c r="S305" i="10"/>
  <c r="AI304" i="10"/>
  <c r="AE304" i="10"/>
  <c r="AC304" i="10"/>
  <c r="AA304" i="10"/>
  <c r="W304" i="10"/>
  <c r="U304" i="10"/>
  <c r="S304" i="10"/>
  <c r="AI303" i="10"/>
  <c r="AE303" i="10"/>
  <c r="AC303" i="10"/>
  <c r="AA303" i="10"/>
  <c r="W303" i="10"/>
  <c r="U303" i="10"/>
  <c r="S303" i="10"/>
  <c r="AI302" i="10"/>
  <c r="AE302" i="10"/>
  <c r="AC302" i="10"/>
  <c r="AA302" i="10"/>
  <c r="W302" i="10"/>
  <c r="U302" i="10"/>
  <c r="S302" i="10"/>
  <c r="AI301" i="10"/>
  <c r="AE301" i="10"/>
  <c r="AC301" i="10"/>
  <c r="AA301" i="10"/>
  <c r="W301" i="10"/>
  <c r="U301" i="10"/>
  <c r="S301" i="10"/>
  <c r="K301" i="10"/>
  <c r="C301" i="10"/>
  <c r="AI300" i="10"/>
  <c r="AE300" i="10"/>
  <c r="AC300" i="10"/>
  <c r="AA300" i="10"/>
  <c r="W300" i="10"/>
  <c r="U300" i="10"/>
  <c r="S300" i="10"/>
  <c r="AI299" i="10"/>
  <c r="AE299" i="10"/>
  <c r="AC299" i="10"/>
  <c r="AA299" i="10"/>
  <c r="W299" i="10"/>
  <c r="U299" i="10"/>
  <c r="S299" i="10"/>
  <c r="AI298" i="10"/>
  <c r="AE298" i="10"/>
  <c r="AC298" i="10"/>
  <c r="AA298" i="10"/>
  <c r="W298" i="10"/>
  <c r="U298" i="10"/>
  <c r="S298" i="10"/>
  <c r="AI297" i="10"/>
  <c r="AE297" i="10"/>
  <c r="AC297" i="10"/>
  <c r="AA297" i="10"/>
  <c r="W297" i="10"/>
  <c r="U297" i="10"/>
  <c r="S297" i="10"/>
  <c r="AI296" i="10"/>
  <c r="AE296" i="10"/>
  <c r="AC296" i="10"/>
  <c r="AA296" i="10"/>
  <c r="W296" i="10"/>
  <c r="U296" i="10"/>
  <c r="S296" i="10"/>
  <c r="AI295" i="10"/>
  <c r="AE295" i="10"/>
  <c r="AC295" i="10"/>
  <c r="AA295" i="10"/>
  <c r="W295" i="10"/>
  <c r="U295" i="10"/>
  <c r="S295" i="10"/>
  <c r="K295" i="10"/>
  <c r="C295" i="10"/>
  <c r="AI294" i="10"/>
  <c r="AE294" i="10"/>
  <c r="AC294" i="10"/>
  <c r="AA294" i="10"/>
  <c r="W294" i="10"/>
  <c r="U294" i="10"/>
  <c r="S294" i="10"/>
  <c r="AI293" i="10"/>
  <c r="AE293" i="10"/>
  <c r="AC293" i="10"/>
  <c r="AA293" i="10"/>
  <c r="W293" i="10"/>
  <c r="U293" i="10"/>
  <c r="S293" i="10"/>
  <c r="AI292" i="10"/>
  <c r="AE292" i="10"/>
  <c r="AC292" i="10"/>
  <c r="AA292" i="10"/>
  <c r="W292" i="10"/>
  <c r="U292" i="10"/>
  <c r="S292" i="10"/>
  <c r="AI291" i="10"/>
  <c r="AE291" i="10"/>
  <c r="AC291" i="10"/>
  <c r="AA291" i="10"/>
  <c r="W291" i="10"/>
  <c r="U291" i="10"/>
  <c r="S291" i="10"/>
  <c r="AI290" i="10"/>
  <c r="AE290" i="10"/>
  <c r="AC290" i="10"/>
  <c r="AA290" i="10"/>
  <c r="W290" i="10"/>
  <c r="U290" i="10"/>
  <c r="S290" i="10"/>
  <c r="AI289" i="10"/>
  <c r="AE289" i="10"/>
  <c r="AC289" i="10"/>
  <c r="AA289" i="10"/>
  <c r="W289" i="10"/>
  <c r="U289" i="10"/>
  <c r="S289" i="10"/>
  <c r="K289" i="10"/>
  <c r="C289" i="10"/>
  <c r="AI288" i="10"/>
  <c r="AE288" i="10"/>
  <c r="AC288" i="10"/>
  <c r="AA288" i="10"/>
  <c r="W288" i="10"/>
  <c r="U288" i="10"/>
  <c r="S288" i="10"/>
  <c r="AI287" i="10"/>
  <c r="AE287" i="10"/>
  <c r="AC287" i="10"/>
  <c r="AA287" i="10"/>
  <c r="W287" i="10"/>
  <c r="U287" i="10"/>
  <c r="S287" i="10"/>
  <c r="AI286" i="10"/>
  <c r="AE286" i="10"/>
  <c r="AC286" i="10"/>
  <c r="AA286" i="10"/>
  <c r="W286" i="10"/>
  <c r="U286" i="10"/>
  <c r="S286" i="10"/>
  <c r="AI285" i="10"/>
  <c r="AE285" i="10"/>
  <c r="AC285" i="10"/>
  <c r="AA285" i="10"/>
  <c r="W285" i="10"/>
  <c r="U285" i="10"/>
  <c r="S285" i="10"/>
  <c r="AI284" i="10"/>
  <c r="AE284" i="10"/>
  <c r="AC284" i="10"/>
  <c r="AA284" i="10"/>
  <c r="W284" i="10"/>
  <c r="U284" i="10"/>
  <c r="S284" i="10"/>
  <c r="AI283" i="10"/>
  <c r="AE283" i="10"/>
  <c r="AC283" i="10"/>
  <c r="AA283" i="10"/>
  <c r="W283" i="10"/>
  <c r="U283" i="10"/>
  <c r="S283" i="10"/>
  <c r="C283" i="10"/>
  <c r="AI282" i="10"/>
  <c r="AE282" i="10"/>
  <c r="AC282" i="10"/>
  <c r="AA282" i="10"/>
  <c r="W282" i="10"/>
  <c r="U282" i="10"/>
  <c r="S282" i="10"/>
  <c r="AI281" i="10"/>
  <c r="AE281" i="10"/>
  <c r="AC281" i="10"/>
  <c r="AA281" i="10"/>
  <c r="W281" i="10"/>
  <c r="U281" i="10"/>
  <c r="S281" i="10"/>
  <c r="AI280" i="10"/>
  <c r="AE280" i="10"/>
  <c r="AC280" i="10"/>
  <c r="AA280" i="10"/>
  <c r="W280" i="10"/>
  <c r="U280" i="10"/>
  <c r="S280" i="10"/>
  <c r="AI279" i="10"/>
  <c r="AE279" i="10"/>
  <c r="AC279" i="10"/>
  <c r="AA279" i="10"/>
  <c r="W279" i="10"/>
  <c r="U279" i="10"/>
  <c r="S279" i="10"/>
  <c r="AI278" i="10"/>
  <c r="AE278" i="10"/>
  <c r="AC278" i="10"/>
  <c r="AA278" i="10"/>
  <c r="W278" i="10"/>
  <c r="U278" i="10"/>
  <c r="S278" i="10"/>
  <c r="AI277" i="10"/>
  <c r="AE277" i="10"/>
  <c r="AC277" i="10"/>
  <c r="AA277" i="10"/>
  <c r="W277" i="10"/>
  <c r="U277" i="10"/>
  <c r="S277" i="10"/>
  <c r="C277" i="10"/>
  <c r="AI276" i="10"/>
  <c r="AE276" i="10"/>
  <c r="AC276" i="10"/>
  <c r="AA276" i="10"/>
  <c r="W276" i="10"/>
  <c r="U276" i="10"/>
  <c r="S276" i="10"/>
  <c r="AI275" i="10"/>
  <c r="AE275" i="10"/>
  <c r="AC275" i="10"/>
  <c r="AA275" i="10"/>
  <c r="W275" i="10"/>
  <c r="U275" i="10"/>
  <c r="S275" i="10"/>
  <c r="AI274" i="10"/>
  <c r="AE274" i="10"/>
  <c r="AC274" i="10"/>
  <c r="AA274" i="10"/>
  <c r="W274" i="10"/>
  <c r="U274" i="10"/>
  <c r="S274" i="10"/>
  <c r="AI273" i="10"/>
  <c r="AE273" i="10"/>
  <c r="AC273" i="10"/>
  <c r="AA273" i="10"/>
  <c r="W273" i="10"/>
  <c r="U273" i="10"/>
  <c r="S273" i="10"/>
  <c r="AI272" i="10"/>
  <c r="AE272" i="10"/>
  <c r="AC272" i="10"/>
  <c r="AA272" i="10"/>
  <c r="W272" i="10"/>
  <c r="U272" i="10"/>
  <c r="S272" i="10"/>
  <c r="AI271" i="10"/>
  <c r="AE271" i="10"/>
  <c r="AC271" i="10"/>
  <c r="AA271" i="10"/>
  <c r="W271" i="10"/>
  <c r="U271" i="10"/>
  <c r="S271" i="10"/>
  <c r="C271" i="10"/>
  <c r="AI270" i="10"/>
  <c r="AE270" i="10"/>
  <c r="AC270" i="10"/>
  <c r="AA270" i="10"/>
  <c r="W270" i="10"/>
  <c r="U270" i="10"/>
  <c r="S270" i="10"/>
  <c r="AI269" i="10"/>
  <c r="AE269" i="10"/>
  <c r="AC269" i="10"/>
  <c r="AA269" i="10"/>
  <c r="W269" i="10"/>
  <c r="U269" i="10"/>
  <c r="S269" i="10"/>
  <c r="AI268" i="10"/>
  <c r="AE268" i="10"/>
  <c r="AC268" i="10"/>
  <c r="AA268" i="10"/>
  <c r="W268" i="10"/>
  <c r="U268" i="10"/>
  <c r="S268" i="10"/>
  <c r="AI267" i="10"/>
  <c r="AE267" i="10"/>
  <c r="AC267" i="10"/>
  <c r="AA267" i="10"/>
  <c r="W267" i="10"/>
  <c r="U267" i="10"/>
  <c r="S267" i="10"/>
  <c r="AI266" i="10"/>
  <c r="AE266" i="10"/>
  <c r="AC266" i="10"/>
  <c r="AA266" i="10"/>
  <c r="W266" i="10"/>
  <c r="U266" i="10"/>
  <c r="S266" i="10"/>
  <c r="AI265" i="10"/>
  <c r="AE265" i="10"/>
  <c r="AC265" i="10"/>
  <c r="AA265" i="10"/>
  <c r="W265" i="10"/>
  <c r="U265" i="10"/>
  <c r="S265" i="10"/>
  <c r="AI264" i="10"/>
  <c r="AE264" i="10"/>
  <c r="AC264" i="10"/>
  <c r="AA264" i="10"/>
  <c r="W264" i="10"/>
  <c r="U264" i="10"/>
  <c r="S264" i="10"/>
  <c r="AI263" i="10"/>
  <c r="AE263" i="10"/>
  <c r="AC263" i="10"/>
  <c r="AA263" i="10"/>
  <c r="W263" i="10"/>
  <c r="U263" i="10"/>
  <c r="S263" i="10"/>
  <c r="AI262" i="10"/>
  <c r="AE262" i="10"/>
  <c r="AC262" i="10"/>
  <c r="AA262" i="10"/>
  <c r="W262" i="10"/>
  <c r="U262" i="10"/>
  <c r="S262" i="10"/>
  <c r="AI261" i="10"/>
  <c r="AE261" i="10"/>
  <c r="AC261" i="10"/>
  <c r="AA261" i="10"/>
  <c r="W261" i="10"/>
  <c r="U261" i="10"/>
  <c r="S261" i="10"/>
  <c r="AI260" i="10"/>
  <c r="AE260" i="10"/>
  <c r="AC260" i="10"/>
  <c r="AA260" i="10"/>
  <c r="W260" i="10"/>
  <c r="U260" i="10"/>
  <c r="S260" i="10"/>
  <c r="AI259" i="10"/>
  <c r="AE259" i="10"/>
  <c r="AC259" i="10"/>
  <c r="AA259" i="10"/>
  <c r="W259" i="10"/>
  <c r="U259" i="10"/>
  <c r="S259" i="10"/>
  <c r="AI258" i="10"/>
  <c r="AE258" i="10"/>
  <c r="AC258" i="10"/>
  <c r="AA258" i="10"/>
  <c r="W258" i="10"/>
  <c r="U258" i="10"/>
  <c r="S258" i="10"/>
  <c r="AI257" i="10"/>
  <c r="AE257" i="10"/>
  <c r="AC257" i="10"/>
  <c r="AA257" i="10"/>
  <c r="W257" i="10"/>
  <c r="U257" i="10"/>
  <c r="S257" i="10"/>
  <c r="AI256" i="10"/>
  <c r="AE256" i="10"/>
  <c r="AC256" i="10"/>
  <c r="AA256" i="10"/>
  <c r="W256" i="10"/>
  <c r="U256" i="10"/>
  <c r="S256" i="10"/>
  <c r="AI255" i="10"/>
  <c r="AE255" i="10"/>
  <c r="AC255" i="10"/>
  <c r="AA255" i="10"/>
  <c r="W255" i="10"/>
  <c r="U255" i="10"/>
  <c r="S255" i="10"/>
  <c r="AI254" i="10"/>
  <c r="AE254" i="10"/>
  <c r="AC254" i="10"/>
  <c r="AA254" i="10"/>
  <c r="W254" i="10"/>
  <c r="U254" i="10"/>
  <c r="S254" i="10"/>
  <c r="AI253" i="10"/>
  <c r="AE253" i="10"/>
  <c r="AC253" i="10"/>
  <c r="AA253" i="10"/>
  <c r="W253" i="10"/>
  <c r="U253" i="10"/>
  <c r="S253" i="10"/>
  <c r="AI252" i="10"/>
  <c r="AE252" i="10"/>
  <c r="AC252" i="10"/>
  <c r="AA252" i="10"/>
  <c r="W252" i="10"/>
  <c r="U252" i="10"/>
  <c r="S252" i="10"/>
  <c r="AI251" i="10"/>
  <c r="AE251" i="10"/>
  <c r="AC251" i="10"/>
  <c r="AA251" i="10"/>
  <c r="W251" i="10"/>
  <c r="U251" i="10"/>
  <c r="S251" i="10"/>
  <c r="AI250" i="10"/>
  <c r="AE250" i="10"/>
  <c r="AC250" i="10"/>
  <c r="AA250" i="10"/>
  <c r="W250" i="10"/>
  <c r="U250" i="10"/>
  <c r="S250" i="10"/>
  <c r="AI249" i="10"/>
  <c r="AE249" i="10"/>
  <c r="AC249" i="10"/>
  <c r="AA249" i="10"/>
  <c r="W249" i="10"/>
  <c r="U249" i="10"/>
  <c r="S249" i="10"/>
  <c r="AI248" i="10"/>
  <c r="AE248" i="10"/>
  <c r="AC248" i="10"/>
  <c r="AA248" i="10"/>
  <c r="W248" i="10"/>
  <c r="U248" i="10"/>
  <c r="S248" i="10"/>
  <c r="AI247" i="10"/>
  <c r="AE247" i="10"/>
  <c r="AC247" i="10"/>
  <c r="AA247" i="10"/>
  <c r="W247" i="10"/>
  <c r="U247" i="10"/>
  <c r="S247" i="10"/>
  <c r="AI246" i="10"/>
  <c r="AE246" i="10"/>
  <c r="AC246" i="10"/>
  <c r="AA246" i="10"/>
  <c r="W246" i="10"/>
  <c r="U246" i="10"/>
  <c r="S246" i="10"/>
  <c r="AI245" i="10"/>
  <c r="AE245" i="10"/>
  <c r="AC245" i="10"/>
  <c r="AA245" i="10"/>
  <c r="W245" i="10"/>
  <c r="U245" i="10"/>
  <c r="S245" i="10"/>
  <c r="AI244" i="10"/>
  <c r="AE244" i="10"/>
  <c r="AC244" i="10"/>
  <c r="AA244" i="10"/>
  <c r="W244" i="10"/>
  <c r="U244" i="10"/>
  <c r="S244" i="10"/>
  <c r="AI243" i="10"/>
  <c r="AE243" i="10"/>
  <c r="AC243" i="10"/>
  <c r="AA243" i="10"/>
  <c r="W243" i="10"/>
  <c r="U243" i="10"/>
  <c r="S243" i="10"/>
  <c r="AI242" i="10"/>
  <c r="AE242" i="10"/>
  <c r="AC242" i="10"/>
  <c r="AA242" i="10"/>
  <c r="W242" i="10"/>
  <c r="U242" i="10"/>
  <c r="S242" i="10"/>
  <c r="AI241" i="10"/>
  <c r="AE241" i="10"/>
  <c r="AC241" i="10"/>
  <c r="AA241" i="10"/>
  <c r="W241" i="10"/>
  <c r="U241" i="10"/>
  <c r="S241" i="10"/>
  <c r="K241" i="10"/>
  <c r="AI240" i="10"/>
  <c r="AE240" i="10"/>
  <c r="AC240" i="10"/>
  <c r="AA240" i="10"/>
  <c r="W240" i="10"/>
  <c r="U240" i="10"/>
  <c r="S240" i="10"/>
  <c r="AI239" i="10"/>
  <c r="AE239" i="10"/>
  <c r="AC239" i="10"/>
  <c r="AA239" i="10"/>
  <c r="W239" i="10"/>
  <c r="U239" i="10"/>
  <c r="S239" i="10"/>
  <c r="AI238" i="10"/>
  <c r="AE238" i="10"/>
  <c r="AC238" i="10"/>
  <c r="AA238" i="10"/>
  <c r="W238" i="10"/>
  <c r="U238" i="10"/>
  <c r="S238" i="10"/>
  <c r="AI237" i="10"/>
  <c r="AE237" i="10"/>
  <c r="AC237" i="10"/>
  <c r="AA237" i="10"/>
  <c r="W237" i="10"/>
  <c r="U237" i="10"/>
  <c r="S237" i="10"/>
  <c r="AI236" i="10"/>
  <c r="AE236" i="10"/>
  <c r="AC236" i="10"/>
  <c r="AA236" i="10"/>
  <c r="W236" i="10"/>
  <c r="U236" i="10"/>
  <c r="S236" i="10"/>
  <c r="AI235" i="10"/>
  <c r="AE235" i="10"/>
  <c r="AC235" i="10"/>
  <c r="AA235" i="10"/>
  <c r="W235" i="10"/>
  <c r="U235" i="10"/>
  <c r="S235" i="10"/>
  <c r="AI234" i="10"/>
  <c r="AE234" i="10"/>
  <c r="AC234" i="10"/>
  <c r="AA234" i="10"/>
  <c r="W234" i="10"/>
  <c r="U234" i="10"/>
  <c r="S234" i="10"/>
  <c r="AI233" i="10"/>
  <c r="AE233" i="10"/>
  <c r="AC233" i="10"/>
  <c r="AA233" i="10"/>
  <c r="W233" i="10"/>
  <c r="U233" i="10"/>
  <c r="S233" i="10"/>
  <c r="AI232" i="10"/>
  <c r="AE232" i="10"/>
  <c r="AC232" i="10"/>
  <c r="AA232" i="10"/>
  <c r="W232" i="10"/>
  <c r="U232" i="10"/>
  <c r="S232" i="10"/>
  <c r="AI231" i="10"/>
  <c r="AE231" i="10"/>
  <c r="AC231" i="10"/>
  <c r="AA231" i="10"/>
  <c r="W231" i="10"/>
  <c r="U231" i="10"/>
  <c r="S231" i="10"/>
  <c r="AI230" i="10"/>
  <c r="AE230" i="10"/>
  <c r="AC230" i="10"/>
  <c r="AA230" i="10"/>
  <c r="W230" i="10"/>
  <c r="U230" i="10"/>
  <c r="S230" i="10"/>
  <c r="AI229" i="10"/>
  <c r="AE229" i="10"/>
  <c r="AC229" i="10"/>
  <c r="AA229" i="10"/>
  <c r="W229" i="10"/>
  <c r="U229" i="10"/>
  <c r="S229" i="10"/>
  <c r="K229" i="10"/>
  <c r="AI228" i="10"/>
  <c r="AE228" i="10"/>
  <c r="AC228" i="10"/>
  <c r="AA228" i="10"/>
  <c r="W228" i="10"/>
  <c r="U228" i="10"/>
  <c r="S228" i="10"/>
  <c r="AI227" i="10"/>
  <c r="AE227" i="10"/>
  <c r="AC227" i="10"/>
  <c r="AA227" i="10"/>
  <c r="W227" i="10"/>
  <c r="U227" i="10"/>
  <c r="S227" i="10"/>
  <c r="AI226" i="10"/>
  <c r="AE226" i="10"/>
  <c r="AC226" i="10"/>
  <c r="AA226" i="10"/>
  <c r="W226" i="10"/>
  <c r="U226" i="10"/>
  <c r="S226" i="10"/>
  <c r="AI225" i="10"/>
  <c r="AE225" i="10"/>
  <c r="AC225" i="10"/>
  <c r="AA225" i="10"/>
  <c r="W225" i="10"/>
  <c r="U225" i="10"/>
  <c r="S225" i="10"/>
  <c r="AI224" i="10"/>
  <c r="AE224" i="10"/>
  <c r="AC224" i="10"/>
  <c r="AA224" i="10"/>
  <c r="W224" i="10"/>
  <c r="U224" i="10"/>
  <c r="S224" i="10"/>
  <c r="AI223" i="10"/>
  <c r="AE223" i="10"/>
  <c r="AC223" i="10"/>
  <c r="AA223" i="10"/>
  <c r="W223" i="10"/>
  <c r="U223" i="10"/>
  <c r="S223" i="10"/>
  <c r="K223" i="10"/>
  <c r="AI222" i="10"/>
  <c r="AE222" i="10"/>
  <c r="AC222" i="10"/>
  <c r="AA222" i="10"/>
  <c r="W222" i="10"/>
  <c r="U222" i="10"/>
  <c r="S222" i="10"/>
  <c r="AI221" i="10"/>
  <c r="AE221" i="10"/>
  <c r="AC221" i="10"/>
  <c r="AA221" i="10"/>
  <c r="W221" i="10"/>
  <c r="U221" i="10"/>
  <c r="S221" i="10"/>
  <c r="AI220" i="10"/>
  <c r="AE220" i="10"/>
  <c r="AC220" i="10"/>
  <c r="AA220" i="10"/>
  <c r="W220" i="10"/>
  <c r="U220" i="10"/>
  <c r="S220" i="10"/>
  <c r="AI219" i="10"/>
  <c r="AE219" i="10"/>
  <c r="AC219" i="10"/>
  <c r="AA219" i="10"/>
  <c r="W219" i="10"/>
  <c r="U219" i="10"/>
  <c r="S219" i="10"/>
  <c r="AI218" i="10"/>
  <c r="AE218" i="10"/>
  <c r="AC218" i="10"/>
  <c r="AA218" i="10"/>
  <c r="W218" i="10"/>
  <c r="U218" i="10"/>
  <c r="S218" i="10"/>
  <c r="AI217" i="10"/>
  <c r="AE217" i="10"/>
  <c r="AC217" i="10"/>
  <c r="AA217" i="10"/>
  <c r="W217" i="10"/>
  <c r="U217" i="10"/>
  <c r="S217" i="10"/>
  <c r="K217" i="10"/>
  <c r="C217" i="10"/>
  <c r="AI216" i="10"/>
  <c r="AE216" i="10"/>
  <c r="AC216" i="10"/>
  <c r="AA216" i="10"/>
  <c r="W216" i="10"/>
  <c r="U216" i="10"/>
  <c r="S216" i="10"/>
  <c r="AI215" i="10"/>
  <c r="AE215" i="10"/>
  <c r="AC215" i="10"/>
  <c r="AA215" i="10"/>
  <c r="W215" i="10"/>
  <c r="U215" i="10"/>
  <c r="S215" i="10"/>
  <c r="AI214" i="10"/>
  <c r="AE214" i="10"/>
  <c r="AC214" i="10"/>
  <c r="AA214" i="10"/>
  <c r="W214" i="10"/>
  <c r="U214" i="10"/>
  <c r="S214" i="10"/>
  <c r="AI213" i="10"/>
  <c r="AE213" i="10"/>
  <c r="AC213" i="10"/>
  <c r="AA213" i="10"/>
  <c r="W213" i="10"/>
  <c r="U213" i="10"/>
  <c r="S213" i="10"/>
  <c r="AI212" i="10"/>
  <c r="AE212" i="10"/>
  <c r="AC212" i="10"/>
  <c r="AA212" i="10"/>
  <c r="W212" i="10"/>
  <c r="U212" i="10"/>
  <c r="S212" i="10"/>
  <c r="AI211" i="10"/>
  <c r="AE211" i="10"/>
  <c r="AC211" i="10"/>
  <c r="AA211" i="10"/>
  <c r="W211" i="10"/>
  <c r="U211" i="10"/>
  <c r="S211" i="10"/>
  <c r="K211" i="10"/>
  <c r="C211" i="10"/>
  <c r="AI210" i="10"/>
  <c r="AE210" i="10"/>
  <c r="AC210" i="10"/>
  <c r="AA210" i="10"/>
  <c r="W210" i="10"/>
  <c r="U210" i="10"/>
  <c r="S210" i="10"/>
  <c r="AI209" i="10"/>
  <c r="AE209" i="10"/>
  <c r="AC209" i="10"/>
  <c r="AA209" i="10"/>
  <c r="W209" i="10"/>
  <c r="U209" i="10"/>
  <c r="S209" i="10"/>
  <c r="AI208" i="10"/>
  <c r="AE208" i="10"/>
  <c r="AC208" i="10"/>
  <c r="AA208" i="10"/>
  <c r="W208" i="10"/>
  <c r="U208" i="10"/>
  <c r="S208" i="10"/>
  <c r="AI207" i="10"/>
  <c r="AE207" i="10"/>
  <c r="AC207" i="10"/>
  <c r="AA207" i="10"/>
  <c r="W207" i="10"/>
  <c r="U207" i="10"/>
  <c r="S207" i="10"/>
  <c r="AI206" i="10"/>
  <c r="AE206" i="10"/>
  <c r="AC206" i="10"/>
  <c r="AA206" i="10"/>
  <c r="W206" i="10"/>
  <c r="U206" i="10"/>
  <c r="S206" i="10"/>
  <c r="AI205" i="10"/>
  <c r="AE205" i="10"/>
  <c r="AC205" i="10"/>
  <c r="AA205" i="10"/>
  <c r="W205" i="10"/>
  <c r="U205" i="10"/>
  <c r="S205" i="10"/>
  <c r="K205" i="10"/>
  <c r="C205" i="10"/>
  <c r="AI204" i="10"/>
  <c r="AE204" i="10"/>
  <c r="AC204" i="10"/>
  <c r="AA204" i="10"/>
  <c r="W204" i="10"/>
  <c r="U204" i="10"/>
  <c r="S204" i="10"/>
  <c r="AI203" i="10"/>
  <c r="AE203" i="10"/>
  <c r="AC203" i="10"/>
  <c r="AA203" i="10"/>
  <c r="W203" i="10"/>
  <c r="U203" i="10"/>
  <c r="S203" i="10"/>
  <c r="AI202" i="10"/>
  <c r="AE202" i="10"/>
  <c r="AC202" i="10"/>
  <c r="AA202" i="10"/>
  <c r="W202" i="10"/>
  <c r="U202" i="10"/>
  <c r="S202" i="10"/>
  <c r="AI201" i="10"/>
  <c r="AE201" i="10"/>
  <c r="AC201" i="10"/>
  <c r="AA201" i="10"/>
  <c r="W201" i="10"/>
  <c r="U201" i="10"/>
  <c r="S201" i="10"/>
  <c r="AI200" i="10"/>
  <c r="AE200" i="10"/>
  <c r="AC200" i="10"/>
  <c r="AA200" i="10"/>
  <c r="W200" i="10"/>
  <c r="U200" i="10"/>
  <c r="S200" i="10"/>
  <c r="AI199" i="10"/>
  <c r="AE199" i="10"/>
  <c r="AC199" i="10"/>
  <c r="AA199" i="10"/>
  <c r="W199" i="10"/>
  <c r="U199" i="10"/>
  <c r="S199" i="10"/>
  <c r="K199" i="10"/>
  <c r="C199" i="10"/>
  <c r="AI198" i="10"/>
  <c r="AE198" i="10"/>
  <c r="AC198" i="10"/>
  <c r="AA198" i="10"/>
  <c r="W198" i="10"/>
  <c r="U198" i="10"/>
  <c r="S198" i="10"/>
  <c r="AI197" i="10"/>
  <c r="AE197" i="10"/>
  <c r="AC197" i="10"/>
  <c r="AA197" i="10"/>
  <c r="W197" i="10"/>
  <c r="U197" i="10"/>
  <c r="S197" i="10"/>
  <c r="AI196" i="10"/>
  <c r="AE196" i="10"/>
  <c r="AC196" i="10"/>
  <c r="AA196" i="10"/>
  <c r="W196" i="10"/>
  <c r="U196" i="10"/>
  <c r="S196" i="10"/>
  <c r="AI195" i="10"/>
  <c r="AE195" i="10"/>
  <c r="AC195" i="10"/>
  <c r="AA195" i="10"/>
  <c r="W195" i="10"/>
  <c r="U195" i="10"/>
  <c r="S195" i="10"/>
  <c r="AI194" i="10"/>
  <c r="AE194" i="10"/>
  <c r="AC194" i="10"/>
  <c r="AA194" i="10"/>
  <c r="W194" i="10"/>
  <c r="U194" i="10"/>
  <c r="S194" i="10"/>
  <c r="AI193" i="10"/>
  <c r="AE193" i="10"/>
  <c r="AC193" i="10"/>
  <c r="AA193" i="10"/>
  <c r="W193" i="10"/>
  <c r="U193" i="10"/>
  <c r="S193" i="10"/>
  <c r="K193" i="10"/>
  <c r="AI192" i="10"/>
  <c r="AE192" i="10"/>
  <c r="AC192" i="10"/>
  <c r="AA192" i="10"/>
  <c r="W192" i="10"/>
  <c r="U192" i="10"/>
  <c r="S192" i="10"/>
  <c r="AI191" i="10"/>
  <c r="AE191" i="10"/>
  <c r="AC191" i="10"/>
  <c r="AA191" i="10"/>
  <c r="W191" i="10"/>
  <c r="U191" i="10"/>
  <c r="S191" i="10"/>
  <c r="AI190" i="10"/>
  <c r="AE190" i="10"/>
  <c r="AC190" i="10"/>
  <c r="AA190" i="10"/>
  <c r="W190" i="10"/>
  <c r="U190" i="10"/>
  <c r="S190" i="10"/>
  <c r="AI189" i="10"/>
  <c r="AE189" i="10"/>
  <c r="AC189" i="10"/>
  <c r="AA189" i="10"/>
  <c r="W189" i="10"/>
  <c r="U189" i="10"/>
  <c r="S189" i="10"/>
  <c r="AI188" i="10"/>
  <c r="AE188" i="10"/>
  <c r="AC188" i="10"/>
  <c r="AA188" i="10"/>
  <c r="W188" i="10"/>
  <c r="U188" i="10"/>
  <c r="S188" i="10"/>
  <c r="AI187" i="10"/>
  <c r="AE187" i="10"/>
  <c r="AC187" i="10"/>
  <c r="AA187" i="10"/>
  <c r="W187" i="10"/>
  <c r="U187" i="10"/>
  <c r="S187" i="10"/>
  <c r="K187" i="10"/>
  <c r="AI186" i="10"/>
  <c r="AE186" i="10"/>
  <c r="AC186" i="10"/>
  <c r="AA186" i="10"/>
  <c r="W186" i="10"/>
  <c r="U186" i="10"/>
  <c r="S186" i="10"/>
  <c r="AI185" i="10"/>
  <c r="AE185" i="10"/>
  <c r="AC185" i="10"/>
  <c r="AA185" i="10"/>
  <c r="W185" i="10"/>
  <c r="U185" i="10"/>
  <c r="S185" i="10"/>
  <c r="AI184" i="10"/>
  <c r="AE184" i="10"/>
  <c r="AC184" i="10"/>
  <c r="AA184" i="10"/>
  <c r="W184" i="10"/>
  <c r="U184" i="10"/>
  <c r="S184" i="10"/>
  <c r="AI183" i="10"/>
  <c r="AE183" i="10"/>
  <c r="AC183" i="10"/>
  <c r="AA183" i="10"/>
  <c r="W183" i="10"/>
  <c r="U183" i="10"/>
  <c r="S183" i="10"/>
  <c r="AI182" i="10"/>
  <c r="AE182" i="10"/>
  <c r="AC182" i="10"/>
  <c r="AA182" i="10"/>
  <c r="W182" i="10"/>
  <c r="U182" i="10"/>
  <c r="S182" i="10"/>
  <c r="AI181" i="10"/>
  <c r="AE181" i="10"/>
  <c r="AC181" i="10"/>
  <c r="AA181" i="10"/>
  <c r="W181" i="10"/>
  <c r="U181" i="10"/>
  <c r="S181" i="10"/>
  <c r="K181" i="10"/>
  <c r="AI180" i="10"/>
  <c r="AE180" i="10"/>
  <c r="AC180" i="10"/>
  <c r="AA180" i="10"/>
  <c r="W180" i="10"/>
  <c r="U180" i="10"/>
  <c r="S180" i="10"/>
  <c r="AI179" i="10"/>
  <c r="AE179" i="10"/>
  <c r="AC179" i="10"/>
  <c r="AA179" i="10"/>
  <c r="W179" i="10"/>
  <c r="U179" i="10"/>
  <c r="S179" i="10"/>
  <c r="AI178" i="10"/>
  <c r="AE178" i="10"/>
  <c r="AC178" i="10"/>
  <c r="AA178" i="10"/>
  <c r="W178" i="10"/>
  <c r="U178" i="10"/>
  <c r="S178" i="10"/>
  <c r="AI177" i="10"/>
  <c r="AE177" i="10"/>
  <c r="AC177" i="10"/>
  <c r="AA177" i="10"/>
  <c r="W177" i="10"/>
  <c r="U177" i="10"/>
  <c r="S177" i="10"/>
  <c r="AI176" i="10"/>
  <c r="AE176" i="10"/>
  <c r="AC176" i="10"/>
  <c r="AA176" i="10"/>
  <c r="W176" i="10"/>
  <c r="U176" i="10"/>
  <c r="S176" i="10"/>
  <c r="AI175" i="10"/>
  <c r="AE175" i="10"/>
  <c r="AC175" i="10"/>
  <c r="AA175" i="10"/>
  <c r="W175" i="10"/>
  <c r="U175" i="10"/>
  <c r="S175" i="10"/>
  <c r="K175" i="10"/>
  <c r="AI174" i="10"/>
  <c r="AE174" i="10"/>
  <c r="AC174" i="10"/>
  <c r="AA174" i="10"/>
  <c r="W174" i="10"/>
  <c r="U174" i="10"/>
  <c r="S174" i="10"/>
  <c r="AI173" i="10"/>
  <c r="AE173" i="10"/>
  <c r="AC173" i="10"/>
  <c r="AA173" i="10"/>
  <c r="W173" i="10"/>
  <c r="U173" i="10"/>
  <c r="S173" i="10"/>
  <c r="AI172" i="10"/>
  <c r="AE172" i="10"/>
  <c r="AC172" i="10"/>
  <c r="AA172" i="10"/>
  <c r="W172" i="10"/>
  <c r="U172" i="10"/>
  <c r="S172" i="10"/>
  <c r="AI171" i="10"/>
  <c r="AE171" i="10"/>
  <c r="AC171" i="10"/>
  <c r="AA171" i="10"/>
  <c r="W171" i="10"/>
  <c r="U171" i="10"/>
  <c r="S171" i="10"/>
  <c r="AI170" i="10"/>
  <c r="AE170" i="10"/>
  <c r="AC170" i="10"/>
  <c r="AA170" i="10"/>
  <c r="W170" i="10"/>
  <c r="U170" i="10"/>
  <c r="S170" i="10"/>
  <c r="AI169" i="10"/>
  <c r="AE169" i="10"/>
  <c r="AC169" i="10"/>
  <c r="AA169" i="10"/>
  <c r="W169" i="10"/>
  <c r="U169" i="10"/>
  <c r="S169" i="10"/>
  <c r="K169" i="10"/>
  <c r="AI168" i="10"/>
  <c r="AE168" i="10"/>
  <c r="AC168" i="10"/>
  <c r="AA168" i="10"/>
  <c r="W168" i="10"/>
  <c r="U168" i="10"/>
  <c r="S168" i="10"/>
  <c r="AI167" i="10"/>
  <c r="AE167" i="10"/>
  <c r="AC167" i="10"/>
  <c r="AA167" i="10"/>
  <c r="W167" i="10"/>
  <c r="U167" i="10"/>
  <c r="S167" i="10"/>
  <c r="AI166" i="10"/>
  <c r="AE166" i="10"/>
  <c r="AC166" i="10"/>
  <c r="AA166" i="10"/>
  <c r="W166" i="10"/>
  <c r="U166" i="10"/>
  <c r="S166" i="10"/>
  <c r="AI165" i="10"/>
  <c r="AE165" i="10"/>
  <c r="AC165" i="10"/>
  <c r="AA165" i="10"/>
  <c r="W165" i="10"/>
  <c r="U165" i="10"/>
  <c r="S165" i="10"/>
  <c r="AI164" i="10"/>
  <c r="AE164" i="10"/>
  <c r="AC164" i="10"/>
  <c r="AA164" i="10"/>
  <c r="W164" i="10"/>
  <c r="U164" i="10"/>
  <c r="S164" i="10"/>
  <c r="AI163" i="10"/>
  <c r="AE163" i="10"/>
  <c r="AC163" i="10"/>
  <c r="AA163" i="10"/>
  <c r="W163" i="10"/>
  <c r="U163" i="10"/>
  <c r="S163" i="10"/>
  <c r="K163" i="10"/>
  <c r="C163" i="10"/>
  <c r="AI162" i="10"/>
  <c r="AE162" i="10"/>
  <c r="AC162" i="10"/>
  <c r="AA162" i="10"/>
  <c r="W162" i="10"/>
  <c r="U162" i="10"/>
  <c r="S162" i="10"/>
  <c r="AI161" i="10"/>
  <c r="AE161" i="10"/>
  <c r="AC161" i="10"/>
  <c r="AA161" i="10"/>
  <c r="W161" i="10"/>
  <c r="U161" i="10"/>
  <c r="S161" i="10"/>
  <c r="AI160" i="10"/>
  <c r="AE160" i="10"/>
  <c r="AC160" i="10"/>
  <c r="AA160" i="10"/>
  <c r="W160" i="10"/>
  <c r="U160" i="10"/>
  <c r="S160" i="10"/>
  <c r="AI159" i="10"/>
  <c r="AE159" i="10"/>
  <c r="AC159" i="10"/>
  <c r="AA159" i="10"/>
  <c r="W159" i="10"/>
  <c r="U159" i="10"/>
  <c r="S159" i="10"/>
  <c r="AI158" i="10"/>
  <c r="AE158" i="10"/>
  <c r="AC158" i="10"/>
  <c r="AA158" i="10"/>
  <c r="W158" i="10"/>
  <c r="U158" i="10"/>
  <c r="S158" i="10"/>
  <c r="AI157" i="10"/>
  <c r="AE157" i="10"/>
  <c r="AC157" i="10"/>
  <c r="AA157" i="10"/>
  <c r="W157" i="10"/>
  <c r="U157" i="10"/>
  <c r="S157" i="10"/>
  <c r="K157" i="10"/>
  <c r="C157" i="10"/>
  <c r="AI156" i="10"/>
  <c r="AE156" i="10"/>
  <c r="AC156" i="10"/>
  <c r="AA156" i="10"/>
  <c r="W156" i="10"/>
  <c r="U156" i="10"/>
  <c r="S156" i="10"/>
  <c r="AI155" i="10"/>
  <c r="AE155" i="10"/>
  <c r="AC155" i="10"/>
  <c r="AA155" i="10"/>
  <c r="W155" i="10"/>
  <c r="U155" i="10"/>
  <c r="S155" i="10"/>
  <c r="AI154" i="10"/>
  <c r="AE154" i="10"/>
  <c r="AC154" i="10"/>
  <c r="AA154" i="10"/>
  <c r="W154" i="10"/>
  <c r="U154" i="10"/>
  <c r="S154" i="10"/>
  <c r="AI153" i="10"/>
  <c r="AE153" i="10"/>
  <c r="AC153" i="10"/>
  <c r="AA153" i="10"/>
  <c r="W153" i="10"/>
  <c r="U153" i="10"/>
  <c r="S153" i="10"/>
  <c r="AI152" i="10"/>
  <c r="AE152" i="10"/>
  <c r="AC152" i="10"/>
  <c r="AA152" i="10"/>
  <c r="W152" i="10"/>
  <c r="U152" i="10"/>
  <c r="S152" i="10"/>
  <c r="AI151" i="10"/>
  <c r="AE151" i="10"/>
  <c r="AC151" i="10"/>
  <c r="AA151" i="10"/>
  <c r="W151" i="10"/>
  <c r="U151" i="10"/>
  <c r="S151" i="10"/>
  <c r="K151" i="10"/>
  <c r="C151" i="10"/>
  <c r="AI150" i="10"/>
  <c r="AE150" i="10"/>
  <c r="AC150" i="10"/>
  <c r="AA150" i="10"/>
  <c r="W150" i="10"/>
  <c r="U150" i="10"/>
  <c r="S150" i="10"/>
  <c r="AI149" i="10"/>
  <c r="AE149" i="10"/>
  <c r="AC149" i="10"/>
  <c r="AA149" i="10"/>
  <c r="W149" i="10"/>
  <c r="U149" i="10"/>
  <c r="S149" i="10"/>
  <c r="AI148" i="10"/>
  <c r="AE148" i="10"/>
  <c r="AC148" i="10"/>
  <c r="AA148" i="10"/>
  <c r="W148" i="10"/>
  <c r="U148" i="10"/>
  <c r="S148" i="10"/>
  <c r="AI147" i="10"/>
  <c r="AE147" i="10"/>
  <c r="AC147" i="10"/>
  <c r="AA147" i="10"/>
  <c r="W147" i="10"/>
  <c r="U147" i="10"/>
  <c r="S147" i="10"/>
  <c r="AI146" i="10"/>
  <c r="AE146" i="10"/>
  <c r="AC146" i="10"/>
  <c r="AA146" i="10"/>
  <c r="W146" i="10"/>
  <c r="U146" i="10"/>
  <c r="S146" i="10"/>
  <c r="AI145" i="10"/>
  <c r="AE145" i="10"/>
  <c r="AC145" i="10"/>
  <c r="AA145" i="10"/>
  <c r="W145" i="10"/>
  <c r="U145" i="10"/>
  <c r="S145" i="10"/>
  <c r="K145" i="10"/>
  <c r="C145" i="10"/>
  <c r="AI144" i="10"/>
  <c r="AE144" i="10"/>
  <c r="AC144" i="10"/>
  <c r="AA144" i="10"/>
  <c r="W144" i="10"/>
  <c r="U144" i="10"/>
  <c r="S144" i="10"/>
  <c r="AI143" i="10"/>
  <c r="AE143" i="10"/>
  <c r="AC143" i="10"/>
  <c r="AA143" i="10"/>
  <c r="W143" i="10"/>
  <c r="U143" i="10"/>
  <c r="S143" i="10"/>
  <c r="AI142" i="10"/>
  <c r="AE142" i="10"/>
  <c r="AC142" i="10"/>
  <c r="AA142" i="10"/>
  <c r="W142" i="10"/>
  <c r="U142" i="10"/>
  <c r="S142" i="10"/>
  <c r="AI141" i="10"/>
  <c r="AE141" i="10"/>
  <c r="AC141" i="10"/>
  <c r="AA141" i="10"/>
  <c r="W141" i="10"/>
  <c r="U141" i="10"/>
  <c r="S141" i="10"/>
  <c r="AI140" i="10"/>
  <c r="AE140" i="10"/>
  <c r="AC140" i="10"/>
  <c r="AA140" i="10"/>
  <c r="W140" i="10"/>
  <c r="U140" i="10"/>
  <c r="S140" i="10"/>
  <c r="AI139" i="10"/>
  <c r="AE139" i="10"/>
  <c r="AC139" i="10"/>
  <c r="AA139" i="10"/>
  <c r="W139" i="10"/>
  <c r="U139" i="10"/>
  <c r="S139" i="10"/>
  <c r="K139" i="10"/>
  <c r="C139" i="10"/>
  <c r="AI138" i="10"/>
  <c r="AE138" i="10"/>
  <c r="AC138" i="10"/>
  <c r="AA138" i="10"/>
  <c r="W138" i="10"/>
  <c r="U138" i="10"/>
  <c r="S138" i="10"/>
  <c r="AI137" i="10"/>
  <c r="AE137" i="10"/>
  <c r="AC137" i="10"/>
  <c r="AA137" i="10"/>
  <c r="W137" i="10"/>
  <c r="U137" i="10"/>
  <c r="S137" i="10"/>
  <c r="AI136" i="10"/>
  <c r="AE136" i="10"/>
  <c r="AC136" i="10"/>
  <c r="AA136" i="10"/>
  <c r="W136" i="10"/>
  <c r="U136" i="10"/>
  <c r="S136" i="10"/>
  <c r="AI135" i="10"/>
  <c r="AE135" i="10"/>
  <c r="AC135" i="10"/>
  <c r="AA135" i="10"/>
  <c r="W135" i="10"/>
  <c r="U135" i="10"/>
  <c r="S135" i="10"/>
  <c r="AI134" i="10"/>
  <c r="AE134" i="10"/>
  <c r="AC134" i="10"/>
  <c r="AA134" i="10"/>
  <c r="W134" i="10"/>
  <c r="U134" i="10"/>
  <c r="S134" i="10"/>
  <c r="AI133" i="10"/>
  <c r="AE133" i="10"/>
  <c r="AC133" i="10"/>
  <c r="AA133" i="10"/>
  <c r="W133" i="10"/>
  <c r="U133" i="10"/>
  <c r="S133" i="10"/>
  <c r="K133" i="10"/>
  <c r="C133" i="10"/>
  <c r="AI132" i="10"/>
  <c r="AE132" i="10"/>
  <c r="AC132" i="10"/>
  <c r="AA132" i="10"/>
  <c r="W132" i="10"/>
  <c r="U132" i="10"/>
  <c r="S132" i="10"/>
  <c r="AI131" i="10"/>
  <c r="AE131" i="10"/>
  <c r="AC131" i="10"/>
  <c r="AA131" i="10"/>
  <c r="W131" i="10"/>
  <c r="U131" i="10"/>
  <c r="S131" i="10"/>
  <c r="AI130" i="10"/>
  <c r="AE130" i="10"/>
  <c r="AC130" i="10"/>
  <c r="AA130" i="10"/>
  <c r="W130" i="10"/>
  <c r="U130" i="10"/>
  <c r="S130" i="10"/>
  <c r="AI129" i="10"/>
  <c r="AE129" i="10"/>
  <c r="AC129" i="10"/>
  <c r="AA129" i="10"/>
  <c r="W129" i="10"/>
  <c r="U129" i="10"/>
  <c r="S129" i="10"/>
  <c r="AI128" i="10"/>
  <c r="AE128" i="10"/>
  <c r="AC128" i="10"/>
  <c r="AA128" i="10"/>
  <c r="W128" i="10"/>
  <c r="U128" i="10"/>
  <c r="S128" i="10"/>
  <c r="AI127" i="10"/>
  <c r="AE127" i="10"/>
  <c r="AC127" i="10"/>
  <c r="AA127" i="10"/>
  <c r="W127" i="10"/>
  <c r="U127" i="10"/>
  <c r="S127" i="10"/>
  <c r="K127" i="10"/>
  <c r="AI126" i="10"/>
  <c r="AE126" i="10"/>
  <c r="AC126" i="10"/>
  <c r="AA126" i="10"/>
  <c r="W126" i="10"/>
  <c r="U126" i="10"/>
  <c r="S126" i="10"/>
  <c r="AI125" i="10"/>
  <c r="AE125" i="10"/>
  <c r="AC125" i="10"/>
  <c r="AA125" i="10"/>
  <c r="W125" i="10"/>
  <c r="U125" i="10"/>
  <c r="S125" i="10"/>
  <c r="AI124" i="10"/>
  <c r="AE124" i="10"/>
  <c r="AC124" i="10"/>
  <c r="AA124" i="10"/>
  <c r="W124" i="10"/>
  <c r="U124" i="10"/>
  <c r="S124" i="10"/>
  <c r="AI123" i="10"/>
  <c r="AE123" i="10"/>
  <c r="AC123" i="10"/>
  <c r="AA123" i="10"/>
  <c r="W123" i="10"/>
  <c r="U123" i="10"/>
  <c r="S123" i="10"/>
  <c r="AI122" i="10"/>
  <c r="AE122" i="10"/>
  <c r="AC122" i="10"/>
  <c r="AA122" i="10"/>
  <c r="W122" i="10"/>
  <c r="U122" i="10"/>
  <c r="S122" i="10"/>
  <c r="AI121" i="10"/>
  <c r="AE121" i="10"/>
  <c r="AC121" i="10"/>
  <c r="AA121" i="10"/>
  <c r="W121" i="10"/>
  <c r="U121" i="10"/>
  <c r="S121" i="10"/>
  <c r="K121" i="10"/>
  <c r="C121" i="10"/>
  <c r="AI120" i="10"/>
  <c r="AE120" i="10"/>
  <c r="AC120" i="10"/>
  <c r="AA120" i="10"/>
  <c r="W120" i="10"/>
  <c r="U120" i="10"/>
  <c r="S120" i="10"/>
  <c r="AI119" i="10"/>
  <c r="AE119" i="10"/>
  <c r="AC119" i="10"/>
  <c r="AA119" i="10"/>
  <c r="W119" i="10"/>
  <c r="U119" i="10"/>
  <c r="S119" i="10"/>
  <c r="AI118" i="10"/>
  <c r="AE118" i="10"/>
  <c r="AC118" i="10"/>
  <c r="AA118" i="10"/>
  <c r="W118" i="10"/>
  <c r="U118" i="10"/>
  <c r="S118" i="10"/>
  <c r="AI117" i="10"/>
  <c r="AE117" i="10"/>
  <c r="AC117" i="10"/>
  <c r="AA117" i="10"/>
  <c r="W117" i="10"/>
  <c r="U117" i="10"/>
  <c r="S117" i="10"/>
  <c r="AI116" i="10"/>
  <c r="AE116" i="10"/>
  <c r="AC116" i="10"/>
  <c r="AA116" i="10"/>
  <c r="W116" i="10"/>
  <c r="U116" i="10"/>
  <c r="S116" i="10"/>
  <c r="AI115" i="10"/>
  <c r="AE115" i="10"/>
  <c r="AC115" i="10"/>
  <c r="AA115" i="10"/>
  <c r="W115" i="10"/>
  <c r="U115" i="10"/>
  <c r="S115" i="10"/>
  <c r="K115" i="10"/>
  <c r="C115" i="10"/>
  <c r="AI114" i="10"/>
  <c r="AE114" i="10"/>
  <c r="AC114" i="10"/>
  <c r="AA114" i="10"/>
  <c r="W114" i="10"/>
  <c r="U114" i="10"/>
  <c r="S114" i="10"/>
  <c r="AI113" i="10"/>
  <c r="AE113" i="10"/>
  <c r="AC113" i="10"/>
  <c r="AA113" i="10"/>
  <c r="W113" i="10"/>
  <c r="U113" i="10"/>
  <c r="S113" i="10"/>
  <c r="AI112" i="10"/>
  <c r="AE112" i="10"/>
  <c r="AC112" i="10"/>
  <c r="AA112" i="10"/>
  <c r="W112" i="10"/>
  <c r="U112" i="10"/>
  <c r="S112" i="10"/>
  <c r="AI111" i="10"/>
  <c r="AE111" i="10"/>
  <c r="AC111" i="10"/>
  <c r="AA111" i="10"/>
  <c r="W111" i="10"/>
  <c r="U111" i="10"/>
  <c r="S111" i="10"/>
  <c r="AI110" i="10"/>
  <c r="AE110" i="10"/>
  <c r="AC110" i="10"/>
  <c r="AA110" i="10"/>
  <c r="W110" i="10"/>
  <c r="U110" i="10"/>
  <c r="S110" i="10"/>
  <c r="AI109" i="10"/>
  <c r="AE109" i="10"/>
  <c r="AC109" i="10"/>
  <c r="AA109" i="10"/>
  <c r="W109" i="10"/>
  <c r="U109" i="10"/>
  <c r="S109" i="10"/>
  <c r="C109" i="10"/>
  <c r="AI108" i="10"/>
  <c r="AE108" i="10"/>
  <c r="AC108" i="10"/>
  <c r="AA108" i="10"/>
  <c r="W108" i="10"/>
  <c r="U108" i="10"/>
  <c r="S108" i="10"/>
  <c r="AI107" i="10"/>
  <c r="AE107" i="10"/>
  <c r="AC107" i="10"/>
  <c r="AA107" i="10"/>
  <c r="W107" i="10"/>
  <c r="U107" i="10"/>
  <c r="S107" i="10"/>
  <c r="AI106" i="10"/>
  <c r="AE106" i="10"/>
  <c r="AC106" i="10"/>
  <c r="AA106" i="10"/>
  <c r="W106" i="10"/>
  <c r="U106" i="10"/>
  <c r="S106" i="10"/>
  <c r="AI105" i="10"/>
  <c r="AE105" i="10"/>
  <c r="AC105" i="10"/>
  <c r="AA105" i="10"/>
  <c r="W105" i="10"/>
  <c r="U105" i="10"/>
  <c r="S105" i="10"/>
  <c r="AI104" i="10"/>
  <c r="AE104" i="10"/>
  <c r="AC104" i="10"/>
  <c r="AA104" i="10"/>
  <c r="W104" i="10"/>
  <c r="U104" i="10"/>
  <c r="S104" i="10"/>
  <c r="AI103" i="10"/>
  <c r="AE103" i="10"/>
  <c r="AC103" i="10"/>
  <c r="AA103" i="10"/>
  <c r="W103" i="10"/>
  <c r="U103" i="10"/>
  <c r="S103" i="10"/>
  <c r="K103" i="10"/>
  <c r="C103" i="10"/>
  <c r="AI102" i="10"/>
  <c r="AE102" i="10"/>
  <c r="AC102" i="10"/>
  <c r="AA102" i="10"/>
  <c r="W102" i="10"/>
  <c r="U102" i="10"/>
  <c r="S102" i="10"/>
  <c r="AI101" i="10"/>
  <c r="AE101" i="10"/>
  <c r="AC101" i="10"/>
  <c r="AA101" i="10"/>
  <c r="W101" i="10"/>
  <c r="U101" i="10"/>
  <c r="S101" i="10"/>
  <c r="AI100" i="10"/>
  <c r="AE100" i="10"/>
  <c r="AC100" i="10"/>
  <c r="AI99" i="10"/>
  <c r="AE99" i="10"/>
  <c r="AC99" i="10"/>
  <c r="AA99" i="10"/>
  <c r="W99" i="10"/>
  <c r="U99" i="10"/>
  <c r="S99" i="10"/>
  <c r="AI98" i="10"/>
  <c r="AE98" i="10"/>
  <c r="AC98" i="10"/>
  <c r="AI97" i="10"/>
  <c r="AE97" i="10"/>
  <c r="AC97" i="10"/>
  <c r="K97" i="10"/>
  <c r="C97" i="10"/>
  <c r="AI96" i="10"/>
  <c r="AE96" i="10"/>
  <c r="AC96" i="10"/>
  <c r="AA96" i="10"/>
  <c r="W96" i="10"/>
  <c r="U96" i="10"/>
  <c r="S96" i="10"/>
  <c r="AI95" i="10"/>
  <c r="AE95" i="10"/>
  <c r="AC95" i="10"/>
  <c r="AA95" i="10"/>
  <c r="W95" i="10"/>
  <c r="U95" i="10"/>
  <c r="S95" i="10"/>
  <c r="AI94" i="10"/>
  <c r="AE94" i="10"/>
  <c r="AC94" i="10"/>
  <c r="AA94" i="10"/>
  <c r="W94" i="10"/>
  <c r="U94" i="10"/>
  <c r="S94" i="10"/>
  <c r="AI93" i="10"/>
  <c r="AE93" i="10"/>
  <c r="AI92" i="10"/>
  <c r="AE92" i="10"/>
  <c r="AI91" i="10"/>
  <c r="AE91" i="10"/>
  <c r="C91" i="10"/>
  <c r="AI90" i="10"/>
  <c r="AE90" i="10"/>
  <c r="AC90" i="10"/>
  <c r="AA90" i="10"/>
  <c r="W90" i="10"/>
  <c r="U90" i="10"/>
  <c r="S90" i="10"/>
  <c r="AI89" i="10"/>
  <c r="AE89" i="10"/>
  <c r="AC89" i="10"/>
  <c r="AA89" i="10"/>
  <c r="W89" i="10"/>
  <c r="U89" i="10"/>
  <c r="S89" i="10"/>
  <c r="AI88" i="10"/>
  <c r="AE88" i="10"/>
  <c r="AC88" i="10"/>
  <c r="AA88" i="10"/>
  <c r="W88" i="10"/>
  <c r="U88" i="10"/>
  <c r="S88" i="10"/>
  <c r="AI87" i="10"/>
  <c r="AE87" i="10"/>
  <c r="AC87" i="10"/>
  <c r="AA87" i="10"/>
  <c r="W87" i="10"/>
  <c r="U87" i="10"/>
  <c r="S87" i="10"/>
  <c r="AI86" i="10"/>
  <c r="AE86" i="10"/>
  <c r="AC86" i="10"/>
  <c r="AA86" i="10"/>
  <c r="W86" i="10"/>
  <c r="U86" i="10"/>
  <c r="S86" i="10"/>
  <c r="AI85" i="10"/>
  <c r="AE85" i="10"/>
  <c r="AC85" i="10"/>
  <c r="AA85" i="10"/>
  <c r="W85" i="10"/>
  <c r="U85" i="10"/>
  <c r="S85" i="10"/>
  <c r="K85" i="10"/>
  <c r="C85" i="10"/>
  <c r="AI84" i="10"/>
  <c r="AE84" i="10"/>
  <c r="AC84" i="10"/>
  <c r="AA84" i="10"/>
  <c r="W84" i="10"/>
  <c r="U84" i="10"/>
  <c r="S84" i="10"/>
  <c r="AI83" i="10"/>
  <c r="AE83" i="10"/>
  <c r="AC83" i="10"/>
  <c r="AA83" i="10"/>
  <c r="W83" i="10"/>
  <c r="U83" i="10"/>
  <c r="S83" i="10"/>
  <c r="AI82" i="10"/>
  <c r="AE82" i="10"/>
  <c r="AC82" i="10"/>
  <c r="AA82" i="10"/>
  <c r="W82" i="10"/>
  <c r="U82" i="10"/>
  <c r="S82" i="10"/>
  <c r="AI81" i="10"/>
  <c r="AE81" i="10"/>
  <c r="AC81" i="10"/>
  <c r="AA81" i="10"/>
  <c r="W81" i="10"/>
  <c r="U81" i="10"/>
  <c r="S81" i="10"/>
  <c r="AI80" i="10"/>
  <c r="AE80" i="10"/>
  <c r="AC80" i="10"/>
  <c r="AA80" i="10"/>
  <c r="W80" i="10"/>
  <c r="U80" i="10"/>
  <c r="S80" i="10"/>
  <c r="AI79" i="10"/>
  <c r="AE79" i="10"/>
  <c r="AC79" i="10"/>
  <c r="AA79" i="10"/>
  <c r="W79" i="10"/>
  <c r="U79" i="10"/>
  <c r="S79" i="10"/>
  <c r="K79" i="10"/>
  <c r="C79" i="10"/>
  <c r="AI78" i="10"/>
  <c r="AE78" i="10"/>
  <c r="AC78" i="10"/>
  <c r="AA78" i="10"/>
  <c r="W78" i="10"/>
  <c r="U78" i="10"/>
  <c r="S78" i="10"/>
  <c r="AI77" i="10"/>
  <c r="AE77" i="10"/>
  <c r="AC77" i="10"/>
  <c r="AA77" i="10"/>
  <c r="W77" i="10"/>
  <c r="U77" i="10"/>
  <c r="S77" i="10"/>
  <c r="AI76" i="10"/>
  <c r="AE76" i="10"/>
  <c r="AC76" i="10"/>
  <c r="AA76" i="10"/>
  <c r="W76" i="10"/>
  <c r="U76" i="10"/>
  <c r="S76" i="10"/>
  <c r="AI75" i="10"/>
  <c r="AE75" i="10"/>
  <c r="AC75" i="10"/>
  <c r="AA75" i="10"/>
  <c r="W75" i="10"/>
  <c r="U75" i="10"/>
  <c r="S75" i="10"/>
  <c r="AI74" i="10"/>
  <c r="AE74" i="10"/>
  <c r="AC74" i="10"/>
  <c r="AA74" i="10"/>
  <c r="W74" i="10"/>
  <c r="U74" i="10"/>
  <c r="S74" i="10"/>
  <c r="AI73" i="10"/>
  <c r="AE73" i="10"/>
  <c r="AC73" i="10"/>
  <c r="AA73" i="10"/>
  <c r="W73" i="10"/>
  <c r="U73" i="10"/>
  <c r="S73" i="10"/>
  <c r="K73" i="10"/>
  <c r="C73" i="10"/>
  <c r="AI72" i="10"/>
  <c r="AE72" i="10"/>
  <c r="AC72" i="10"/>
  <c r="AA72" i="10"/>
  <c r="W72" i="10"/>
  <c r="U72" i="10"/>
  <c r="S72" i="10"/>
  <c r="AI71" i="10"/>
  <c r="AE71" i="10"/>
  <c r="AC71" i="10"/>
  <c r="AA71" i="10"/>
  <c r="W71" i="10"/>
  <c r="U71" i="10"/>
  <c r="S71" i="10"/>
  <c r="AI70" i="10"/>
  <c r="AE70" i="10"/>
  <c r="AC70" i="10"/>
  <c r="AA70" i="10"/>
  <c r="W70" i="10"/>
  <c r="U70" i="10"/>
  <c r="S70" i="10"/>
  <c r="AI69" i="10"/>
  <c r="AE69" i="10"/>
  <c r="AC69" i="10"/>
  <c r="AA69" i="10"/>
  <c r="W69" i="10"/>
  <c r="U69" i="10"/>
  <c r="S69" i="10"/>
  <c r="AI68" i="10"/>
  <c r="AE68" i="10"/>
  <c r="AC68" i="10"/>
  <c r="AA68" i="10"/>
  <c r="W68" i="10"/>
  <c r="U68" i="10"/>
  <c r="S68" i="10"/>
  <c r="AI67" i="10"/>
  <c r="AE67" i="10"/>
  <c r="AC67" i="10"/>
  <c r="AA67" i="10"/>
  <c r="W67" i="10"/>
  <c r="U67" i="10"/>
  <c r="S67" i="10"/>
  <c r="K67" i="10"/>
  <c r="C67" i="10"/>
  <c r="AI66" i="10"/>
  <c r="AE66" i="10"/>
  <c r="AC66" i="10"/>
  <c r="AA66" i="10"/>
  <c r="W66" i="10"/>
  <c r="U66" i="10"/>
  <c r="S66" i="10"/>
  <c r="AI65" i="10"/>
  <c r="AE65" i="10"/>
  <c r="AC65" i="10"/>
  <c r="AA65" i="10"/>
  <c r="W65" i="10"/>
  <c r="U65" i="10"/>
  <c r="S65" i="10"/>
  <c r="AI64" i="10"/>
  <c r="AE64" i="10"/>
  <c r="AC64" i="10"/>
  <c r="AA64" i="10"/>
  <c r="W64" i="10"/>
  <c r="U64" i="10"/>
  <c r="S64" i="10"/>
  <c r="AI63" i="10"/>
  <c r="AE63" i="10"/>
  <c r="AC63" i="10"/>
  <c r="AA63" i="10"/>
  <c r="W63" i="10"/>
  <c r="U63" i="10"/>
  <c r="S63" i="10"/>
  <c r="AI62" i="10"/>
  <c r="AE62" i="10"/>
  <c r="AC62" i="10"/>
  <c r="AA62" i="10"/>
  <c r="W62" i="10"/>
  <c r="U62" i="10"/>
  <c r="S62" i="10"/>
  <c r="AI61" i="10"/>
  <c r="AE61" i="10"/>
  <c r="AC61" i="10"/>
  <c r="AA61" i="10"/>
  <c r="W61" i="10"/>
  <c r="U61" i="10"/>
  <c r="S61" i="10"/>
  <c r="K61" i="10"/>
  <c r="C61" i="10"/>
  <c r="AI60" i="10"/>
  <c r="AE60" i="10"/>
  <c r="AC60" i="10"/>
  <c r="AA60" i="10"/>
  <c r="W60" i="10"/>
  <c r="U60" i="10"/>
  <c r="S60" i="10"/>
  <c r="AI59" i="10"/>
  <c r="AE59" i="10"/>
  <c r="AC59" i="10"/>
  <c r="AA59" i="10"/>
  <c r="W59" i="10"/>
  <c r="U59" i="10"/>
  <c r="S59" i="10"/>
  <c r="AI58" i="10"/>
  <c r="AE58" i="10"/>
  <c r="AC58" i="10"/>
  <c r="AA58" i="10"/>
  <c r="W58" i="10"/>
  <c r="U58" i="10"/>
  <c r="S58" i="10"/>
  <c r="AI57" i="10"/>
  <c r="AE57" i="10"/>
  <c r="AC57" i="10"/>
  <c r="AA57" i="10"/>
  <c r="W57" i="10"/>
  <c r="U57" i="10"/>
  <c r="S57" i="10"/>
  <c r="AI56" i="10"/>
  <c r="AE56" i="10"/>
  <c r="AC56" i="10"/>
  <c r="AA56" i="10"/>
  <c r="W56" i="10"/>
  <c r="U56" i="10"/>
  <c r="S56" i="10"/>
  <c r="AI55" i="10"/>
  <c r="AE55" i="10"/>
  <c r="AC55" i="10"/>
  <c r="AA55" i="10"/>
  <c r="W55" i="10"/>
  <c r="U55" i="10"/>
  <c r="S55" i="10"/>
  <c r="K55" i="10"/>
  <c r="C55" i="10"/>
  <c r="AI54" i="10"/>
  <c r="AE54" i="10"/>
  <c r="AC54" i="10"/>
  <c r="AA54" i="10"/>
  <c r="W54" i="10"/>
  <c r="U54" i="10"/>
  <c r="S54" i="10"/>
  <c r="AI53" i="10"/>
  <c r="AE53" i="10"/>
  <c r="AC53" i="10"/>
  <c r="AA53" i="10"/>
  <c r="W53" i="10"/>
  <c r="U53" i="10"/>
  <c r="S53" i="10"/>
  <c r="AI52" i="10"/>
  <c r="AE52" i="10"/>
  <c r="AC52" i="10"/>
  <c r="AA52" i="10"/>
  <c r="W52" i="10"/>
  <c r="U52" i="10"/>
  <c r="S52" i="10"/>
  <c r="AI51" i="10"/>
  <c r="AE51" i="10"/>
  <c r="AC51" i="10"/>
  <c r="AA51" i="10"/>
  <c r="W51" i="10"/>
  <c r="U51" i="10"/>
  <c r="S51" i="10"/>
  <c r="AI50" i="10"/>
  <c r="AE50" i="10"/>
  <c r="AC50" i="10"/>
  <c r="AA50" i="10"/>
  <c r="W50" i="10"/>
  <c r="U50" i="10"/>
  <c r="S50" i="10"/>
  <c r="AI49" i="10"/>
  <c r="AE49" i="10"/>
  <c r="AC49" i="10"/>
  <c r="AA49" i="10"/>
  <c r="W49" i="10"/>
  <c r="U49" i="10"/>
  <c r="S49" i="10"/>
  <c r="K49" i="10"/>
  <c r="C49" i="10"/>
  <c r="AI48" i="10"/>
  <c r="AE48" i="10"/>
  <c r="AC48" i="10"/>
  <c r="AA48" i="10"/>
  <c r="W48" i="10"/>
  <c r="U48" i="10"/>
  <c r="S48" i="10"/>
  <c r="AI47" i="10"/>
  <c r="AE47" i="10"/>
  <c r="AC47" i="10"/>
  <c r="AA47" i="10"/>
  <c r="W47" i="10"/>
  <c r="U47" i="10"/>
  <c r="S47" i="10"/>
  <c r="AI46" i="10"/>
  <c r="AE46" i="10"/>
  <c r="AC46" i="10"/>
  <c r="AA46" i="10"/>
  <c r="W46" i="10"/>
  <c r="U46" i="10"/>
  <c r="S46" i="10"/>
  <c r="AI45" i="10"/>
  <c r="AE45" i="10"/>
  <c r="AC45" i="10"/>
  <c r="AA45" i="10"/>
  <c r="W45" i="10"/>
  <c r="U45" i="10"/>
  <c r="S45" i="10"/>
  <c r="AI44" i="10"/>
  <c r="AE44" i="10"/>
  <c r="AC44" i="10"/>
  <c r="AA44" i="10"/>
  <c r="W44" i="10"/>
  <c r="U44" i="10"/>
  <c r="S44" i="10"/>
  <c r="AI43" i="10"/>
  <c r="AE43" i="10"/>
  <c r="AC43" i="10"/>
  <c r="AA43" i="10"/>
  <c r="W43" i="10"/>
  <c r="U43" i="10"/>
  <c r="S43" i="10"/>
  <c r="K43" i="10"/>
  <c r="C43" i="10"/>
  <c r="AI42" i="10"/>
  <c r="AE42" i="10"/>
  <c r="AC42" i="10"/>
  <c r="AA42" i="10"/>
  <c r="W42" i="10"/>
  <c r="U42" i="10"/>
  <c r="S42" i="10"/>
  <c r="AI41" i="10"/>
  <c r="AE41" i="10"/>
  <c r="AC41" i="10"/>
  <c r="AA41" i="10"/>
  <c r="W41" i="10"/>
  <c r="U41" i="10"/>
  <c r="S41" i="10"/>
  <c r="AI40" i="10"/>
  <c r="AE40" i="10"/>
  <c r="AC40" i="10"/>
  <c r="AA40" i="10"/>
  <c r="W40" i="10"/>
  <c r="U40" i="10"/>
  <c r="S40" i="10"/>
  <c r="AI39" i="10"/>
  <c r="AE39" i="10"/>
  <c r="AC39" i="10"/>
  <c r="AA39" i="10"/>
  <c r="W39" i="10"/>
  <c r="U39" i="10"/>
  <c r="S39" i="10"/>
  <c r="AI38" i="10"/>
  <c r="AE38" i="10"/>
  <c r="AC38" i="10"/>
  <c r="AA38" i="10"/>
  <c r="W38" i="10"/>
  <c r="U38" i="10"/>
  <c r="S38" i="10"/>
  <c r="AI37" i="10"/>
  <c r="AE37" i="10"/>
  <c r="AC37" i="10"/>
  <c r="AA37" i="10"/>
  <c r="W37" i="10"/>
  <c r="U37" i="10"/>
  <c r="S37" i="10"/>
  <c r="K37" i="10"/>
  <c r="C37" i="10"/>
  <c r="AI36" i="10"/>
  <c r="AE36" i="10"/>
  <c r="AC36" i="10"/>
  <c r="AA36" i="10"/>
  <c r="W36" i="10"/>
  <c r="U36" i="10"/>
  <c r="S36" i="10"/>
  <c r="AI35" i="10"/>
  <c r="AE35" i="10"/>
  <c r="AC35" i="10"/>
  <c r="AA35" i="10"/>
  <c r="W35" i="10"/>
  <c r="U35" i="10"/>
  <c r="S35" i="10"/>
  <c r="AI34" i="10"/>
  <c r="AE34" i="10"/>
  <c r="AC34" i="10"/>
  <c r="AA34" i="10"/>
  <c r="W34" i="10"/>
  <c r="U34" i="10"/>
  <c r="S34" i="10"/>
  <c r="AI33" i="10"/>
  <c r="AE33" i="10"/>
  <c r="AC33" i="10"/>
  <c r="AA33" i="10"/>
  <c r="W33" i="10"/>
  <c r="U33" i="10"/>
  <c r="S33" i="10"/>
  <c r="AI32" i="10"/>
  <c r="AE32" i="10"/>
  <c r="AC32" i="10"/>
  <c r="AA32" i="10"/>
  <c r="W32" i="10"/>
  <c r="U32" i="10"/>
  <c r="S32" i="10"/>
  <c r="AI31" i="10"/>
  <c r="AE31" i="10"/>
  <c r="AC31" i="10"/>
  <c r="AA31" i="10"/>
  <c r="W31" i="10"/>
  <c r="U31" i="10"/>
  <c r="S31" i="10"/>
  <c r="K31" i="10"/>
  <c r="C31" i="10"/>
  <c r="AI30" i="10"/>
  <c r="AE30" i="10"/>
  <c r="AC30" i="10"/>
  <c r="AA30" i="10"/>
  <c r="W30" i="10"/>
  <c r="U30" i="10"/>
  <c r="S30" i="10"/>
  <c r="AI29" i="10"/>
  <c r="AE29" i="10"/>
  <c r="AC29" i="10"/>
  <c r="AA29" i="10"/>
  <c r="W29" i="10"/>
  <c r="U29" i="10"/>
  <c r="S29" i="10"/>
  <c r="AI28" i="10"/>
  <c r="AE28" i="10"/>
  <c r="AC28" i="10"/>
  <c r="AA28" i="10"/>
  <c r="W28" i="10"/>
  <c r="U28" i="10"/>
  <c r="S28" i="10"/>
  <c r="AI27" i="10"/>
  <c r="AE27" i="10"/>
  <c r="AC27" i="10"/>
  <c r="AA27" i="10"/>
  <c r="W27" i="10"/>
  <c r="U27" i="10"/>
  <c r="S27" i="10"/>
  <c r="AI26" i="10"/>
  <c r="AE26" i="10"/>
  <c r="AC26" i="10"/>
  <c r="AA26" i="10"/>
  <c r="W26" i="10"/>
  <c r="U26" i="10"/>
  <c r="S26" i="10"/>
  <c r="AI25" i="10"/>
  <c r="AE25" i="10"/>
  <c r="AC25" i="10"/>
  <c r="AA25" i="10"/>
  <c r="W25" i="10"/>
  <c r="U25" i="10"/>
  <c r="S25" i="10"/>
  <c r="K25" i="10"/>
  <c r="C25" i="10"/>
  <c r="AI24" i="10"/>
  <c r="AE24" i="10"/>
  <c r="AC24" i="10"/>
  <c r="AA24" i="10"/>
  <c r="W24" i="10"/>
  <c r="U24" i="10"/>
  <c r="S24" i="10"/>
  <c r="AI23" i="10"/>
  <c r="AE23" i="10"/>
  <c r="AC23" i="10"/>
  <c r="AA23" i="10"/>
  <c r="W23" i="10"/>
  <c r="U23" i="10"/>
  <c r="S23" i="10"/>
  <c r="AI22" i="10"/>
  <c r="AE22" i="10"/>
  <c r="AC22" i="10"/>
  <c r="AA22" i="10"/>
  <c r="W22" i="10"/>
  <c r="U22" i="10"/>
  <c r="S22" i="10"/>
  <c r="AI21" i="10"/>
  <c r="AE21" i="10"/>
  <c r="AC21" i="10"/>
  <c r="AA21" i="10"/>
  <c r="W21" i="10"/>
  <c r="U21" i="10"/>
  <c r="S21" i="10"/>
  <c r="AI20" i="10"/>
  <c r="AE20" i="10"/>
  <c r="AC20" i="10"/>
  <c r="AA20" i="10"/>
  <c r="W20" i="10"/>
  <c r="U20" i="10"/>
  <c r="S20" i="10"/>
  <c r="AI19" i="10"/>
  <c r="AE19" i="10"/>
  <c r="AC19" i="10"/>
  <c r="AA19" i="10"/>
  <c r="W19" i="10"/>
  <c r="U19" i="10"/>
  <c r="S19" i="10"/>
  <c r="C19" i="10"/>
  <c r="AI18" i="10"/>
  <c r="AE18" i="10"/>
  <c r="AC18" i="10"/>
  <c r="AA18" i="10"/>
  <c r="W18" i="10"/>
  <c r="U18" i="10"/>
  <c r="S18" i="10"/>
  <c r="AI17" i="10"/>
  <c r="AE17" i="10"/>
  <c r="AC17" i="10"/>
  <c r="AA17" i="10"/>
  <c r="W17" i="10"/>
  <c r="U17" i="10"/>
  <c r="S17" i="10"/>
  <c r="AI16" i="10"/>
  <c r="AE16" i="10"/>
  <c r="AC16" i="10"/>
  <c r="AA16" i="10"/>
  <c r="W16" i="10"/>
  <c r="U16" i="10"/>
  <c r="S16" i="10"/>
  <c r="AI15" i="10"/>
  <c r="AE15" i="10"/>
  <c r="AC15" i="10"/>
  <c r="AA15" i="10"/>
  <c r="W15" i="10"/>
  <c r="U15" i="10"/>
  <c r="S15" i="10"/>
  <c r="AI14" i="10"/>
  <c r="AE14" i="10"/>
  <c r="AC14" i="10"/>
  <c r="AA14" i="10"/>
  <c r="W14" i="10"/>
  <c r="U14" i="10"/>
  <c r="S14" i="10"/>
  <c r="AI13" i="10"/>
  <c r="AE13" i="10"/>
  <c r="AC13" i="10"/>
  <c r="AA13" i="10"/>
  <c r="W13" i="10"/>
  <c r="U13" i="10"/>
  <c r="S13" i="10"/>
  <c r="AI12" i="10"/>
  <c r="AE12" i="10"/>
  <c r="AC12" i="10"/>
  <c r="AA12" i="10"/>
  <c r="W12" i="10"/>
  <c r="U12" i="10"/>
  <c r="S12" i="10"/>
  <c r="AI11" i="10"/>
  <c r="AE11" i="10"/>
  <c r="AC11" i="10"/>
  <c r="AA11" i="10"/>
  <c r="W11" i="10"/>
  <c r="U11" i="10"/>
  <c r="S11" i="10"/>
  <c r="AI10" i="10"/>
  <c r="AE10" i="10"/>
  <c r="AC10" i="10"/>
  <c r="AA10" i="10"/>
  <c r="W10" i="10"/>
  <c r="U10" i="10"/>
  <c r="S10" i="10"/>
  <c r="AI9" i="10"/>
  <c r="AE9" i="10"/>
  <c r="AC9" i="10"/>
  <c r="AA9" i="10"/>
  <c r="W9" i="10"/>
  <c r="U9" i="10"/>
  <c r="S9" i="10"/>
  <c r="AI8" i="10"/>
  <c r="AE8" i="10"/>
  <c r="AC8" i="10"/>
  <c r="AA8" i="10"/>
  <c r="W8" i="10"/>
  <c r="U8" i="10"/>
  <c r="S8" i="10"/>
  <c r="AI7" i="10"/>
  <c r="AE7" i="10"/>
  <c r="AC7" i="10"/>
  <c r="AA7" i="10"/>
  <c r="W7" i="10"/>
  <c r="U7" i="10"/>
  <c r="S7" i="10"/>
  <c r="K7" i="10"/>
  <c r="C7" i="10"/>
  <c r="AC7" i="6"/>
  <c r="AF98" i="10" l="1"/>
  <c r="AG98" i="10" s="1"/>
  <c r="AF102" i="10"/>
  <c r="AG102" i="10" s="1"/>
  <c r="AF106" i="10"/>
  <c r="AG106" i="10" s="1"/>
  <c r="AF121" i="10"/>
  <c r="AG121" i="10" s="1"/>
  <c r="AF148" i="10"/>
  <c r="AG148" i="10" s="1"/>
  <c r="AF164" i="10"/>
  <c r="AG164" i="10" s="1"/>
  <c r="AF168" i="10"/>
  <c r="AG168" i="10" s="1"/>
  <c r="AF195" i="10"/>
  <c r="AG195" i="10" s="1"/>
  <c r="AF206" i="10"/>
  <c r="AG206" i="10" s="1"/>
  <c r="AF210" i="10"/>
  <c r="AG210" i="10" s="1"/>
  <c r="AF219" i="10"/>
  <c r="AG219" i="10" s="1"/>
  <c r="AF24" i="10"/>
  <c r="AG24" i="10" s="1"/>
  <c r="AF34" i="10"/>
  <c r="AG34" i="10" s="1"/>
  <c r="AF73" i="10"/>
  <c r="AG73" i="10" s="1"/>
  <c r="AF77" i="10"/>
  <c r="AG77" i="10" s="1"/>
  <c r="AF253" i="10"/>
  <c r="AG253" i="10" s="1"/>
  <c r="AF257" i="10"/>
  <c r="AG257" i="10" s="1"/>
  <c r="AF277" i="10"/>
  <c r="AG277" i="10" s="1"/>
  <c r="AF301" i="10"/>
  <c r="AG301" i="10" s="1"/>
  <c r="AF305" i="10"/>
  <c r="AG305" i="10" s="1"/>
  <c r="AF313" i="10"/>
  <c r="AG313" i="10" s="1"/>
  <c r="AF317" i="10"/>
  <c r="AG317" i="10" s="1"/>
  <c r="AF331" i="10"/>
  <c r="AG331" i="10" s="1"/>
  <c r="AF356" i="10"/>
  <c r="AG356" i="10" s="1"/>
  <c r="AF256" i="10"/>
  <c r="AG256" i="10" s="1"/>
  <c r="AF266" i="10"/>
  <c r="AG266" i="10" s="1"/>
  <c r="AF270" i="10"/>
  <c r="AG270" i="10" s="1"/>
  <c r="AF272" i="10"/>
  <c r="AG272" i="10" s="1"/>
  <c r="AF276" i="10"/>
  <c r="AG276" i="10" s="1"/>
  <c r="AF282" i="10"/>
  <c r="AG282" i="10" s="1"/>
  <c r="AF294" i="10"/>
  <c r="AG294" i="10" s="1"/>
  <c r="AF320" i="10"/>
  <c r="AG320" i="10" s="1"/>
  <c r="AF325" i="10"/>
  <c r="AG325" i="10" s="1"/>
  <c r="AF76" i="10"/>
  <c r="AG76" i="10" s="1"/>
  <c r="AF32" i="10"/>
  <c r="AG32" i="10" s="1"/>
  <c r="AF75" i="10"/>
  <c r="AG75" i="10" s="1"/>
  <c r="AF116" i="10"/>
  <c r="AG116" i="10" s="1"/>
  <c r="AF120" i="10"/>
  <c r="AG120" i="10" s="1"/>
  <c r="AF167" i="10"/>
  <c r="AG167" i="10" s="1"/>
  <c r="AF179" i="10"/>
  <c r="AG179" i="10" s="1"/>
  <c r="AF222" i="10"/>
  <c r="AG222" i="10" s="1"/>
  <c r="AF238" i="10"/>
  <c r="AG238" i="10" s="1"/>
  <c r="AF265" i="10"/>
  <c r="AG265" i="10" s="1"/>
  <c r="AF269" i="10"/>
  <c r="AG269" i="10" s="1"/>
  <c r="AF275" i="10"/>
  <c r="AG275" i="10" s="1"/>
  <c r="AF296" i="10"/>
  <c r="AG296" i="10" s="1"/>
  <c r="AF303" i="10"/>
  <c r="AG303" i="10" s="1"/>
  <c r="AF342" i="10"/>
  <c r="AG342" i="10" s="1"/>
  <c r="AF358" i="10"/>
  <c r="AG358" i="10" s="1"/>
  <c r="AF30" i="10"/>
  <c r="AG30" i="10" s="1"/>
  <c r="AF64" i="10"/>
  <c r="AG64" i="10" s="1"/>
  <c r="AF36" i="10"/>
  <c r="AG36" i="10" s="1"/>
  <c r="AF163" i="10"/>
  <c r="AG163" i="10" s="1"/>
  <c r="AF218" i="10"/>
  <c r="AG218" i="10" s="1"/>
  <c r="AF31" i="10"/>
  <c r="AG31" i="10" s="1"/>
  <c r="AF35" i="10"/>
  <c r="AG35" i="10" s="1"/>
  <c r="AF43" i="10"/>
  <c r="AG43" i="10" s="1"/>
  <c r="AF47" i="10"/>
  <c r="AG47" i="10" s="1"/>
  <c r="AF81" i="10"/>
  <c r="AG81" i="10" s="1"/>
  <c r="AF89" i="10"/>
  <c r="AG89" i="10" s="1"/>
  <c r="AF104" i="10"/>
  <c r="AG104" i="10" s="1"/>
  <c r="AF108" i="10"/>
  <c r="AG108" i="10" s="1"/>
  <c r="AF132" i="10"/>
  <c r="AG132" i="10" s="1"/>
  <c r="AF141" i="10"/>
  <c r="AG141" i="10" s="1"/>
  <c r="AF166" i="10"/>
  <c r="AG166" i="10" s="1"/>
  <c r="AF193" i="10"/>
  <c r="AG193" i="10" s="1"/>
  <c r="AF197" i="10"/>
  <c r="AG197" i="10" s="1"/>
  <c r="AF237" i="10"/>
  <c r="AG237" i="10" s="1"/>
  <c r="AF254" i="10"/>
  <c r="AG254" i="10" s="1"/>
  <c r="AF258" i="10"/>
  <c r="AG258" i="10" s="1"/>
  <c r="AF268" i="10"/>
  <c r="AG268" i="10" s="1"/>
  <c r="AF357" i="10"/>
  <c r="AG357" i="10" s="1"/>
  <c r="AF196" i="10"/>
  <c r="AG196" i="10" s="1"/>
  <c r="AF207" i="10"/>
  <c r="AG207" i="10" s="1"/>
  <c r="AF360" i="10"/>
  <c r="AG360" i="10" s="1"/>
  <c r="AF26" i="10"/>
  <c r="AG26" i="10" s="1"/>
  <c r="AF25" i="10"/>
  <c r="AG25" i="10" s="1"/>
  <c r="AF19" i="10"/>
  <c r="AG19" i="10" s="1"/>
  <c r="AF14" i="10"/>
  <c r="AG14" i="10" s="1"/>
  <c r="AF13" i="10"/>
  <c r="AG13" i="10" s="1"/>
  <c r="AF9" i="10"/>
  <c r="AG9" i="10" s="1"/>
  <c r="AF37" i="10"/>
  <c r="AG37" i="10" s="1"/>
  <c r="AF38" i="10"/>
  <c r="AG38" i="10" s="1"/>
  <c r="AF39" i="10"/>
  <c r="AG39" i="10" s="1"/>
  <c r="AF41" i="10"/>
  <c r="AG41" i="10" s="1"/>
  <c r="AF42" i="10"/>
  <c r="AG42" i="10" s="1"/>
  <c r="AF50" i="10"/>
  <c r="AG50" i="10" s="1"/>
  <c r="AF54" i="10"/>
  <c r="AG54" i="10" s="1"/>
  <c r="AF55" i="10"/>
  <c r="AG55" i="10" s="1"/>
  <c r="AF56" i="10"/>
  <c r="AG56" i="10" s="1"/>
  <c r="AF58" i="10"/>
  <c r="AG58" i="10" s="1"/>
  <c r="AF59" i="10"/>
  <c r="AG59" i="10" s="1"/>
  <c r="AF60" i="10"/>
  <c r="AG60" i="10" s="1"/>
  <c r="AF67" i="10"/>
  <c r="AG67" i="10" s="1"/>
  <c r="AF71" i="10"/>
  <c r="AG71" i="10" s="1"/>
  <c r="AF88" i="10"/>
  <c r="AG88" i="10" s="1"/>
  <c r="AF145" i="10"/>
  <c r="AG145" i="10" s="1"/>
  <c r="AF146" i="10"/>
  <c r="AG146" i="10" s="1"/>
  <c r="AF147" i="10"/>
  <c r="AG147" i="10" s="1"/>
  <c r="AF149" i="10"/>
  <c r="AG149" i="10" s="1"/>
  <c r="AF150" i="10"/>
  <c r="AG150" i="10" s="1"/>
  <c r="AF151" i="10"/>
  <c r="AG151" i="10" s="1"/>
  <c r="AF155" i="10"/>
  <c r="AG155" i="10" s="1"/>
  <c r="AF169" i="10"/>
  <c r="AG169" i="10" s="1"/>
  <c r="AF170" i="10"/>
  <c r="AG170" i="10" s="1"/>
  <c r="AF171" i="10"/>
  <c r="AG171" i="10" s="1"/>
  <c r="AF172" i="10"/>
  <c r="AG172" i="10" s="1"/>
  <c r="AF173" i="10"/>
  <c r="AG173" i="10" s="1"/>
  <c r="AF174" i="10"/>
  <c r="AG174" i="10" s="1"/>
  <c r="AF180" i="10"/>
  <c r="AG180" i="10" s="1"/>
  <c r="AF184" i="10"/>
  <c r="AG184" i="10" s="1"/>
  <c r="AF185" i="10"/>
  <c r="AG185" i="10" s="1"/>
  <c r="AF7" i="10"/>
  <c r="AG7" i="10" s="1"/>
  <c r="AF16" i="10"/>
  <c r="AG16" i="10" s="1"/>
  <c r="AF22" i="10"/>
  <c r="AG22" i="10" s="1"/>
  <c r="AF135" i="10"/>
  <c r="AG135" i="10" s="1"/>
  <c r="AF136" i="10"/>
  <c r="AG136" i="10" s="1"/>
  <c r="AF137" i="10"/>
  <c r="AG137" i="10" s="1"/>
  <c r="AF8" i="10"/>
  <c r="AG8" i="10" s="1"/>
  <c r="AF10" i="10"/>
  <c r="AG10" i="10" s="1"/>
  <c r="AF11" i="10"/>
  <c r="AG11" i="10" s="1"/>
  <c r="AF12" i="10"/>
  <c r="AG12" i="10" s="1"/>
  <c r="AF99" i="10"/>
  <c r="AG99" i="10" s="1"/>
  <c r="AF101" i="10"/>
  <c r="AG101" i="10" s="1"/>
  <c r="AF112" i="10"/>
  <c r="AG112" i="10" s="1"/>
  <c r="AF115" i="10"/>
  <c r="AG115" i="10" s="1"/>
  <c r="AF119" i="10"/>
  <c r="AG119" i="10" s="1"/>
  <c r="AF128" i="10"/>
  <c r="AG128" i="10" s="1"/>
  <c r="AF129" i="10"/>
  <c r="AG129" i="10" s="1"/>
  <c r="AF130" i="10"/>
  <c r="AG130" i="10" s="1"/>
  <c r="AF204" i="10"/>
  <c r="AG204" i="10" s="1"/>
  <c r="AF205" i="10"/>
  <c r="AG205" i="10" s="1"/>
  <c r="AF230" i="10"/>
  <c r="AG230" i="10" s="1"/>
  <c r="AF231" i="10"/>
  <c r="AG231" i="10" s="1"/>
  <c r="AF234" i="10"/>
  <c r="AG234" i="10" s="1"/>
  <c r="AF235" i="10"/>
  <c r="AG235" i="10" s="1"/>
  <c r="AF236" i="10"/>
  <c r="AG236" i="10" s="1"/>
  <c r="AF239" i="10"/>
  <c r="AG239" i="10" s="1"/>
  <c r="AF240" i="10"/>
  <c r="AG240" i="10" s="1"/>
  <c r="AF243" i="10"/>
  <c r="AG243" i="10" s="1"/>
  <c r="AF244" i="10"/>
  <c r="AG244" i="10" s="1"/>
  <c r="AF245" i="10"/>
  <c r="AG245" i="10" s="1"/>
  <c r="AF251" i="10"/>
  <c r="AG251" i="10" s="1"/>
  <c r="AF260" i="10"/>
  <c r="AG260" i="10" s="1"/>
  <c r="AF264" i="10"/>
  <c r="AG264" i="10" s="1"/>
  <c r="AF271" i="10"/>
  <c r="AG271" i="10" s="1"/>
  <c r="AF274" i="10"/>
  <c r="AG274" i="10" s="1"/>
  <c r="AF279" i="10"/>
  <c r="AG279" i="10" s="1"/>
  <c r="AF281" i="10"/>
  <c r="AG281" i="10" s="1"/>
  <c r="AF289" i="10"/>
  <c r="AG289" i="10" s="1"/>
  <c r="AF290" i="10"/>
  <c r="AG290" i="10" s="1"/>
  <c r="AF314" i="10"/>
  <c r="AG314" i="10" s="1"/>
  <c r="AF316" i="10"/>
  <c r="AG316" i="10" s="1"/>
  <c r="AF318" i="10"/>
  <c r="AG318" i="10" s="1"/>
  <c r="AF330" i="10"/>
  <c r="AG330" i="10" s="1"/>
  <c r="AF337" i="10"/>
  <c r="AG337" i="10" s="1"/>
  <c r="AF338" i="10"/>
  <c r="AG338" i="10" s="1"/>
  <c r="AF339" i="10"/>
  <c r="AG339" i="10" s="1"/>
  <c r="AF340" i="10"/>
  <c r="AG340" i="10" s="1"/>
  <c r="AF341" i="10"/>
  <c r="AG341" i="10" s="1"/>
  <c r="AF349" i="10"/>
  <c r="AG349" i="10" s="1"/>
  <c r="AF350" i="10"/>
  <c r="AG350" i="10" s="1"/>
  <c r="AF351" i="10"/>
  <c r="AG351" i="10" s="1"/>
  <c r="AF352" i="10"/>
  <c r="AG352" i="10" s="1"/>
  <c r="AF353" i="10"/>
  <c r="AG353" i="10" s="1"/>
  <c r="AF354" i="10"/>
  <c r="AG354" i="10" s="1"/>
  <c r="AF362" i="10"/>
  <c r="AG362" i="10" s="1"/>
  <c r="AF363" i="10"/>
  <c r="AG363" i="10" s="1"/>
  <c r="AF366" i="10"/>
  <c r="AG366" i="10" s="1"/>
  <c r="AF15" i="10"/>
  <c r="AG15" i="10" s="1"/>
  <c r="AF17" i="10"/>
  <c r="AG17" i="10" s="1"/>
  <c r="AF18" i="10"/>
  <c r="AG18" i="10" s="1"/>
  <c r="AF23" i="10"/>
  <c r="AG23" i="10" s="1"/>
  <c r="AF27" i="10"/>
  <c r="AG27" i="10" s="1"/>
  <c r="AF28" i="10"/>
  <c r="AG28" i="10" s="1"/>
  <c r="AF29" i="10"/>
  <c r="AG29" i="10" s="1"/>
  <c r="AF33" i="10"/>
  <c r="AG33" i="10" s="1"/>
  <c r="AF44" i="10"/>
  <c r="AG44" i="10" s="1"/>
  <c r="AF45" i="10"/>
  <c r="AG45" i="10" s="1"/>
  <c r="AF46" i="10"/>
  <c r="AG46" i="10" s="1"/>
  <c r="AF48" i="10"/>
  <c r="AG48" i="10" s="1"/>
  <c r="AF61" i="10"/>
  <c r="AG61" i="10" s="1"/>
  <c r="AF62" i="10"/>
  <c r="AG62" i="10" s="1"/>
  <c r="AF63" i="10"/>
  <c r="AG63" i="10" s="1"/>
  <c r="AF65" i="10"/>
  <c r="AG65" i="10" s="1"/>
  <c r="AF66" i="10"/>
  <c r="AG66" i="10" s="1"/>
  <c r="AF74" i="10"/>
  <c r="AG74" i="10" s="1"/>
  <c r="AF78" i="10"/>
  <c r="AG78" i="10" s="1"/>
  <c r="AF79" i="10"/>
  <c r="AG79" i="10" s="1"/>
  <c r="AF80" i="10"/>
  <c r="AG80" i="10" s="1"/>
  <c r="AF82" i="10"/>
  <c r="AG82" i="10" s="1"/>
  <c r="AF83" i="10"/>
  <c r="AG83" i="10" s="1"/>
  <c r="AF84" i="10"/>
  <c r="AG84" i="10" s="1"/>
  <c r="AF91" i="10"/>
  <c r="AG91" i="10" s="1"/>
  <c r="AF95" i="10"/>
  <c r="AG95" i="10" s="1"/>
  <c r="AF105" i="10"/>
  <c r="AG105" i="10" s="1"/>
  <c r="AF123" i="10"/>
  <c r="AG123" i="10" s="1"/>
  <c r="AF125" i="10"/>
  <c r="AG125" i="10" s="1"/>
  <c r="AF139" i="10"/>
  <c r="AG139" i="10" s="1"/>
  <c r="AF140" i="10"/>
  <c r="AG140" i="10" s="1"/>
  <c r="AF142" i="10"/>
  <c r="AG142" i="10" s="1"/>
  <c r="AF152" i="10"/>
  <c r="AG152" i="10" s="1"/>
  <c r="AF153" i="10"/>
  <c r="AG153" i="10" s="1"/>
  <c r="AF154" i="10"/>
  <c r="AG154" i="10" s="1"/>
  <c r="AF156" i="10"/>
  <c r="AG156" i="10" s="1"/>
  <c r="AF158" i="10"/>
  <c r="AG158" i="10" s="1"/>
  <c r="AF162" i="10"/>
  <c r="AG162" i="10" s="1"/>
  <c r="AF175" i="10"/>
  <c r="AG175" i="10" s="1"/>
  <c r="AF176" i="10"/>
  <c r="AG176" i="10" s="1"/>
  <c r="AF177" i="10"/>
  <c r="AG177" i="10" s="1"/>
  <c r="AF182" i="10"/>
  <c r="AG182" i="10" s="1"/>
  <c r="AF186" i="10"/>
  <c r="AG186" i="10" s="1"/>
  <c r="AF187" i="10"/>
  <c r="AG187" i="10" s="1"/>
  <c r="AF189" i="10"/>
  <c r="AG189" i="10" s="1"/>
  <c r="AF192" i="10"/>
  <c r="AG192" i="10" s="1"/>
  <c r="AF200" i="10"/>
  <c r="AG200" i="10" s="1"/>
  <c r="AF202" i="10"/>
  <c r="AG202" i="10" s="1"/>
  <c r="AF215" i="10"/>
  <c r="AG215" i="10" s="1"/>
  <c r="AF217" i="10"/>
  <c r="AG217" i="10" s="1"/>
  <c r="AF220" i="10"/>
  <c r="AG220" i="10" s="1"/>
  <c r="AF221" i="10"/>
  <c r="AG221" i="10" s="1"/>
  <c r="AF225" i="10"/>
  <c r="AG225" i="10" s="1"/>
  <c r="AF226" i="10"/>
  <c r="AG226" i="10" s="1"/>
  <c r="AF241" i="10"/>
  <c r="AG241" i="10" s="1"/>
  <c r="AF259" i="10"/>
  <c r="AG259" i="10" s="1"/>
  <c r="AF280" i="10"/>
  <c r="AG280" i="10" s="1"/>
  <c r="AF283" i="10"/>
  <c r="AG283" i="10" s="1"/>
  <c r="AF291" i="10"/>
  <c r="AG291" i="10" s="1"/>
  <c r="AF298" i="10"/>
  <c r="AG298" i="10" s="1"/>
  <c r="AF300" i="10"/>
  <c r="AG300" i="10" s="1"/>
  <c r="AF310" i="10"/>
  <c r="AG310" i="10" s="1"/>
  <c r="AF319" i="10"/>
  <c r="AG319" i="10" s="1"/>
  <c r="AF321" i="10"/>
  <c r="AG321" i="10" s="1"/>
  <c r="AF322" i="10"/>
  <c r="AG322" i="10" s="1"/>
  <c r="AF326" i="10"/>
  <c r="AG326" i="10" s="1"/>
  <c r="AF327" i="10"/>
  <c r="AG327" i="10" s="1"/>
  <c r="AF332" i="10"/>
  <c r="AG332" i="10" s="1"/>
  <c r="AF333" i="10"/>
  <c r="AG333" i="10" s="1"/>
  <c r="AF334" i="10"/>
  <c r="AG334" i="10" s="1"/>
  <c r="AF335" i="10"/>
  <c r="AG335" i="10" s="1"/>
  <c r="AF336" i="10"/>
  <c r="AG336" i="10" s="1"/>
  <c r="AF364" i="10"/>
  <c r="AG364" i="10" s="1"/>
  <c r="AF20" i="10"/>
  <c r="AG20" i="10" s="1"/>
  <c r="AF21" i="10"/>
  <c r="AG21" i="10" s="1"/>
  <c r="AF40" i="10"/>
  <c r="AG40" i="10" s="1"/>
  <c r="AF49" i="10"/>
  <c r="AG49" i="10" s="1"/>
  <c r="AF51" i="10"/>
  <c r="AG51" i="10" s="1"/>
  <c r="AF52" i="10"/>
  <c r="AG52" i="10" s="1"/>
  <c r="AF53" i="10"/>
  <c r="AG53" i="10" s="1"/>
  <c r="AF57" i="10"/>
  <c r="AG57" i="10" s="1"/>
  <c r="AF68" i="10"/>
  <c r="AG68" i="10" s="1"/>
  <c r="AF69" i="10"/>
  <c r="AG69" i="10" s="1"/>
  <c r="AF70" i="10"/>
  <c r="AG70" i="10" s="1"/>
  <c r="AF72" i="10"/>
  <c r="AG72" i="10" s="1"/>
  <c r="AF85" i="10"/>
  <c r="AG85" i="10" s="1"/>
  <c r="AF86" i="10"/>
  <c r="AG86" i="10" s="1"/>
  <c r="AF87" i="10"/>
  <c r="AG87" i="10" s="1"/>
  <c r="AF90" i="10"/>
  <c r="AG90" i="10" s="1"/>
  <c r="AF92" i="10"/>
  <c r="AG92" i="10" s="1"/>
  <c r="AF96" i="10"/>
  <c r="AG96" i="10" s="1"/>
  <c r="AF97" i="10"/>
  <c r="AG97" i="10" s="1"/>
  <c r="AF109" i="10"/>
  <c r="AG109" i="10" s="1"/>
  <c r="AF111" i="10"/>
  <c r="AG111" i="10" s="1"/>
  <c r="AF113" i="10"/>
  <c r="AG113" i="10" s="1"/>
  <c r="AF122" i="10"/>
  <c r="AG122" i="10" s="1"/>
  <c r="AF126" i="10"/>
  <c r="AG126" i="10" s="1"/>
  <c r="AF133" i="10"/>
  <c r="AG133" i="10" s="1"/>
  <c r="AF143" i="10"/>
  <c r="AG143" i="10" s="1"/>
  <c r="AF144" i="10"/>
  <c r="AG144" i="10" s="1"/>
  <c r="AF157" i="10"/>
  <c r="AG157" i="10" s="1"/>
  <c r="AF159" i="10"/>
  <c r="AG159" i="10" s="1"/>
  <c r="AF160" i="10"/>
  <c r="AG160" i="10" s="1"/>
  <c r="AF161" i="10"/>
  <c r="AG161" i="10" s="1"/>
  <c r="AF165" i="10"/>
  <c r="AG165" i="10" s="1"/>
  <c r="AF183" i="10"/>
  <c r="AG183" i="10" s="1"/>
  <c r="AF190" i="10"/>
  <c r="AG190" i="10" s="1"/>
  <c r="AF199" i="10"/>
  <c r="AG199" i="10" s="1"/>
  <c r="AF203" i="10"/>
  <c r="AG203" i="10" s="1"/>
  <c r="AF213" i="10"/>
  <c r="AG213" i="10" s="1"/>
  <c r="AF214" i="10"/>
  <c r="AG214" i="10" s="1"/>
  <c r="AF223" i="10"/>
  <c r="AG223" i="10" s="1"/>
  <c r="AF224" i="10"/>
  <c r="AG224" i="10" s="1"/>
  <c r="AF227" i="10"/>
  <c r="AG227" i="10" s="1"/>
  <c r="AF228" i="10"/>
  <c r="AG228" i="10" s="1"/>
  <c r="AF229" i="10"/>
  <c r="AG229" i="10" s="1"/>
  <c r="AF232" i="10"/>
  <c r="AG232" i="10" s="1"/>
  <c r="AF233" i="10"/>
  <c r="AG233" i="10" s="1"/>
  <c r="AF247" i="10"/>
  <c r="AG247" i="10" s="1"/>
  <c r="AF250" i="10"/>
  <c r="AG250" i="10" s="1"/>
  <c r="AF261" i="10"/>
  <c r="AG261" i="10" s="1"/>
  <c r="AF262" i="10"/>
  <c r="AG262" i="10" s="1"/>
  <c r="AF263" i="10"/>
  <c r="AG263" i="10" s="1"/>
  <c r="AF267" i="10"/>
  <c r="AG267" i="10" s="1"/>
  <c r="AF278" i="10"/>
  <c r="AG278" i="10" s="1"/>
  <c r="AF284" i="10"/>
  <c r="AG284" i="10" s="1"/>
  <c r="AF285" i="10"/>
  <c r="AG285" i="10" s="1"/>
  <c r="AF286" i="10"/>
  <c r="AG286" i="10" s="1"/>
  <c r="AF288" i="10"/>
  <c r="AG288" i="10" s="1"/>
  <c r="AF292" i="10"/>
  <c r="AG292" i="10" s="1"/>
  <c r="AF293" i="10"/>
  <c r="AG293" i="10" s="1"/>
  <c r="AF297" i="10"/>
  <c r="AG297" i="10" s="1"/>
  <c r="AF302" i="10"/>
  <c r="AG302" i="10" s="1"/>
  <c r="AF306" i="10"/>
  <c r="AG306" i="10" s="1"/>
  <c r="AF309" i="10"/>
  <c r="AG309" i="10" s="1"/>
  <c r="AF323" i="10"/>
  <c r="AG323" i="10" s="1"/>
  <c r="AF324" i="10"/>
  <c r="AG324" i="10" s="1"/>
  <c r="AF328" i="10"/>
  <c r="AG328" i="10" s="1"/>
  <c r="AF329" i="10"/>
  <c r="AG329" i="10" s="1"/>
  <c r="AF343" i="10"/>
  <c r="AG343" i="10" s="1"/>
  <c r="AF344" i="10"/>
  <c r="AG344" i="10" s="1"/>
  <c r="AF345" i="10"/>
  <c r="AG345" i="10" s="1"/>
  <c r="AF346" i="10"/>
  <c r="AG346" i="10" s="1"/>
  <c r="AF347" i="10"/>
  <c r="AG347" i="10" s="1"/>
  <c r="AF348" i="10"/>
  <c r="AG348" i="10" s="1"/>
  <c r="AF355" i="10"/>
  <c r="AG355" i="10" s="1"/>
  <c r="AF359" i="10"/>
  <c r="AG359" i="10" s="1"/>
  <c r="AF361" i="10"/>
  <c r="AG361" i="10" s="1"/>
  <c r="AF365" i="10"/>
  <c r="AG365" i="10" s="1"/>
  <c r="AF94" i="10"/>
  <c r="AG94" i="10" s="1"/>
  <c r="AF100" i="10"/>
  <c r="AG100" i="10" s="1"/>
  <c r="AF117" i="10"/>
  <c r="AG117" i="10" s="1"/>
  <c r="AF131" i="10"/>
  <c r="AG131" i="10" s="1"/>
  <c r="AF93" i="10"/>
  <c r="AG93" i="10" s="1"/>
  <c r="AF118" i="10"/>
  <c r="AG118" i="10" s="1"/>
  <c r="AF124" i="10"/>
  <c r="AG124" i="10" s="1"/>
  <c r="AF127" i="10"/>
  <c r="AG127" i="10" s="1"/>
  <c r="AF134" i="10"/>
  <c r="AG134" i="10" s="1"/>
  <c r="AF138" i="10"/>
  <c r="AG138" i="10" s="1"/>
  <c r="AF103" i="10"/>
  <c r="AG103" i="10" s="1"/>
  <c r="AF107" i="10"/>
  <c r="AG107" i="10" s="1"/>
  <c r="AF110" i="10"/>
  <c r="AG110" i="10" s="1"/>
  <c r="AF114" i="10"/>
  <c r="AG114" i="10" s="1"/>
  <c r="AF178" i="10"/>
  <c r="AG178" i="10" s="1"/>
  <c r="AF181" i="10"/>
  <c r="AG181" i="10" s="1"/>
  <c r="AF188" i="10"/>
  <c r="AG188" i="10" s="1"/>
  <c r="AF208" i="10"/>
  <c r="AG208" i="10" s="1"/>
  <c r="AF212" i="10"/>
  <c r="AG212" i="10" s="1"/>
  <c r="AF216" i="10"/>
  <c r="AG216" i="10" s="1"/>
  <c r="AF191" i="10"/>
  <c r="AG191" i="10" s="1"/>
  <c r="AF194" i="10"/>
  <c r="AG194" i="10" s="1"/>
  <c r="AF198" i="10"/>
  <c r="AG198" i="10" s="1"/>
  <c r="AF201" i="10"/>
  <c r="AG201" i="10" s="1"/>
  <c r="AF209" i="10"/>
  <c r="AG209" i="10" s="1"/>
  <c r="AF211" i="10"/>
  <c r="AG211" i="10" s="1"/>
  <c r="AF248" i="10"/>
  <c r="AG248" i="10" s="1"/>
  <c r="AF252" i="10"/>
  <c r="AG252" i="10" s="1"/>
  <c r="AF242" i="10"/>
  <c r="AG242" i="10" s="1"/>
  <c r="AF246" i="10"/>
  <c r="AG246" i="10" s="1"/>
  <c r="AF249" i="10"/>
  <c r="AG249" i="10" s="1"/>
  <c r="AF255" i="10"/>
  <c r="AG255" i="10" s="1"/>
  <c r="AF311" i="10"/>
  <c r="AG311" i="10" s="1"/>
  <c r="AF273" i="10"/>
  <c r="AG273" i="10" s="1"/>
  <c r="AF304" i="10"/>
  <c r="AG304" i="10" s="1"/>
  <c r="AF308" i="10"/>
  <c r="AG308" i="10" s="1"/>
  <c r="AF312" i="10"/>
  <c r="AG312" i="10" s="1"/>
  <c r="AF287" i="10"/>
  <c r="AG287" i="10" s="1"/>
  <c r="AF295" i="10"/>
  <c r="AG295" i="10" s="1"/>
  <c r="AF299" i="10"/>
  <c r="AG299" i="10" s="1"/>
  <c r="AF307" i="10"/>
  <c r="AG307" i="10" s="1"/>
  <c r="AF315" i="10"/>
  <c r="AG315" i="10" s="1"/>
  <c r="BA7" i="6"/>
  <c r="BA10" i="6"/>
  <c r="BA11" i="6"/>
  <c r="BA14" i="6"/>
  <c r="BA15" i="6"/>
  <c r="BA16" i="6"/>
  <c r="BA17" i="6"/>
  <c r="BA18" i="6"/>
  <c r="BA19" i="6"/>
  <c r="BA20" i="6"/>
  <c r="BA21" i="6"/>
  <c r="BA22" i="6"/>
  <c r="BA23" i="6"/>
  <c r="BA24" i="6"/>
  <c r="BA35" i="6"/>
  <c r="BA36" i="6"/>
  <c r="BA37" i="6"/>
  <c r="BA38" i="6"/>
  <c r="U4" i="7"/>
  <c r="U5" i="7"/>
  <c r="U6" i="7"/>
  <c r="U7" i="7"/>
  <c r="U8" i="7"/>
  <c r="U9" i="7"/>
  <c r="U10" i="7"/>
  <c r="U11" i="7"/>
  <c r="U3" i="7"/>
  <c r="AX14" i="6"/>
  <c r="AY14" i="6" s="1"/>
  <c r="AX16" i="6"/>
  <c r="AX19" i="6"/>
  <c r="AY19" i="6" s="1"/>
  <c r="AW23" i="6"/>
  <c r="AW24" i="6"/>
  <c r="AW7" i="6"/>
  <c r="AU10" i="6"/>
  <c r="AU11" i="6"/>
  <c r="AU13" i="6"/>
  <c r="AS10" i="6"/>
  <c r="AS11" i="6"/>
  <c r="AS13" i="6"/>
  <c r="AO10" i="6"/>
  <c r="AO11" i="6"/>
  <c r="AO13" i="6"/>
  <c r="AM10" i="6"/>
  <c r="AM11" i="6"/>
  <c r="AM13" i="6"/>
  <c r="AK10" i="6"/>
  <c r="AK11" i="6"/>
  <c r="AD9" i="6"/>
  <c r="AE9" i="6" s="1"/>
  <c r="AD10" i="6"/>
  <c r="AA11" i="6"/>
  <c r="AA12" i="6"/>
  <c r="AD12" i="6" s="1"/>
  <c r="AE12" i="6" s="1"/>
  <c r="AD13" i="6"/>
  <c r="AA14" i="6"/>
  <c r="AD14" i="6" s="1"/>
  <c r="AD15" i="6"/>
  <c r="AD16" i="6"/>
  <c r="AA17" i="6"/>
  <c r="AD17" i="6" s="1"/>
  <c r="AE17" i="6" s="1"/>
  <c r="AD18" i="6"/>
  <c r="AD19" i="6"/>
  <c r="AA20" i="6"/>
  <c r="AD20" i="6" s="1"/>
  <c r="AD21" i="6"/>
  <c r="BI21" i="6" s="1"/>
  <c r="AA22" i="6"/>
  <c r="AD22" i="6" s="1"/>
  <c r="AA25" i="6"/>
  <c r="AD25" i="6" s="1"/>
  <c r="AE25" i="6" s="1"/>
  <c r="AD26" i="6"/>
  <c r="AD35" i="6"/>
  <c r="AD36" i="6"/>
  <c r="AD37" i="6"/>
  <c r="AE37" i="6" s="1"/>
  <c r="AD38" i="6"/>
  <c r="AD39" i="6"/>
  <c r="AE39" i="6" s="1"/>
  <c r="AD40" i="6"/>
  <c r="AA7" i="6"/>
  <c r="AD7" i="6" s="1"/>
  <c r="C11" i="6"/>
  <c r="C12" i="6"/>
  <c r="C37" i="6"/>
  <c r="C41" i="6"/>
  <c r="C9" i="6"/>
  <c r="C7" i="6"/>
  <c r="AF26" i="6" l="1"/>
  <c r="AE26" i="6"/>
  <c r="AF20" i="6"/>
  <c r="AE20" i="6"/>
  <c r="AF14" i="6"/>
  <c r="AE14" i="6"/>
  <c r="AF22" i="6"/>
  <c r="AE22" i="6"/>
  <c r="AF35" i="6"/>
  <c r="AE35" i="6"/>
  <c r="AF39" i="6"/>
  <c r="AF25" i="6"/>
  <c r="AF17" i="6"/>
  <c r="AF9" i="6"/>
  <c r="AF7" i="6"/>
  <c r="AE7" i="6"/>
  <c r="AF37" i="6"/>
  <c r="AF12" i="6"/>
  <c r="BB40" i="6"/>
  <c r="BC40" i="6" s="1"/>
  <c r="BD40" i="6" s="1"/>
  <c r="BB39" i="6"/>
  <c r="BC39" i="6" s="1"/>
  <c r="BB46" i="6"/>
  <c r="BC46" i="6" s="1"/>
  <c r="BB48" i="6"/>
  <c r="BC48" i="6" s="1"/>
  <c r="BD48" i="6" s="1"/>
  <c r="BB47" i="6"/>
  <c r="BC47" i="6" s="1"/>
  <c r="BB9" i="6"/>
  <c r="BC9" i="6" s="1"/>
  <c r="BI39" i="6"/>
  <c r="AX7" i="6"/>
  <c r="AY7" i="6" s="1"/>
  <c r="BB7" i="6" s="1"/>
  <c r="BC7" i="6" s="1"/>
  <c r="AX35" i="6"/>
  <c r="AY35" i="6" s="1"/>
  <c r="BB35" i="6" s="1"/>
  <c r="BC35" i="6" s="1"/>
  <c r="AX22" i="6"/>
  <c r="AY22" i="6" s="1"/>
  <c r="BB22" i="6" s="1"/>
  <c r="BC22" i="6" s="1"/>
  <c r="AX11" i="6"/>
  <c r="AY11" i="6" s="1"/>
  <c r="BB11" i="6" s="1"/>
  <c r="BC11" i="6" s="1"/>
  <c r="AX10" i="6"/>
  <c r="AY10" i="6" s="1"/>
  <c r="BB10" i="6" s="1"/>
  <c r="BC10" i="6" s="1"/>
  <c r="AD11" i="6"/>
  <c r="AE11" i="6" s="1"/>
  <c r="BI12" i="6"/>
  <c r="AJ267" i="10"/>
  <c r="AK267" i="10" s="1"/>
  <c r="AY261" i="12"/>
  <c r="AZ261" i="12" s="1"/>
  <c r="AY52" i="12"/>
  <c r="AZ52" i="12" s="1"/>
  <c r="AY352" i="12"/>
  <c r="AZ352" i="12" s="1"/>
  <c r="AY8" i="12"/>
  <c r="AZ8" i="12" s="1"/>
  <c r="AY85" i="12"/>
  <c r="AZ85" i="12" s="1"/>
  <c r="AY228" i="12"/>
  <c r="AZ228" i="12" s="1"/>
  <c r="AY191" i="12"/>
  <c r="AZ191" i="12" s="1"/>
  <c r="AY285" i="12"/>
  <c r="AZ285" i="12" s="1"/>
  <c r="AY125" i="12"/>
  <c r="AZ125" i="12" s="1"/>
  <c r="AY185" i="12"/>
  <c r="AZ185" i="12" s="1"/>
  <c r="AY130" i="12"/>
  <c r="AZ130" i="12" s="1"/>
  <c r="AY276" i="12"/>
  <c r="AZ276" i="12" s="1"/>
  <c r="AY208" i="12"/>
  <c r="AZ208" i="12" s="1"/>
  <c r="AY121" i="12"/>
  <c r="AZ121" i="12" s="1"/>
  <c r="AY114" i="12"/>
  <c r="AZ114" i="12" s="1"/>
  <c r="AY359" i="12"/>
  <c r="AZ359" i="12" s="1"/>
  <c r="AY328" i="12"/>
  <c r="AZ328" i="12" s="1"/>
  <c r="AY253" i="12"/>
  <c r="AZ253" i="12" s="1"/>
  <c r="AY131" i="12"/>
  <c r="AZ131" i="12" s="1"/>
  <c r="AY257" i="12"/>
  <c r="AZ257" i="12" s="1"/>
  <c r="AY200" i="12"/>
  <c r="AZ200" i="12" s="1"/>
  <c r="AY166" i="12"/>
  <c r="AZ166" i="12" s="1"/>
  <c r="AY343" i="12"/>
  <c r="AZ343" i="12" s="1"/>
  <c r="AY280" i="12"/>
  <c r="AZ280" i="12" s="1"/>
  <c r="AY159" i="12"/>
  <c r="AZ159" i="12" s="1"/>
  <c r="AY293" i="12"/>
  <c r="AZ293" i="12" s="1"/>
  <c r="AY317" i="12"/>
  <c r="AZ317" i="12" s="1"/>
  <c r="AY111" i="12"/>
  <c r="AZ111" i="12" s="1"/>
  <c r="AY198" i="12"/>
  <c r="AZ198" i="12" s="1"/>
  <c r="AY170" i="12"/>
  <c r="AZ170" i="12" s="1"/>
  <c r="AY136" i="12"/>
  <c r="AZ136" i="12" s="1"/>
  <c r="AY347" i="12"/>
  <c r="AZ347" i="12" s="1"/>
  <c r="AY266" i="12"/>
  <c r="AZ266" i="12" s="1"/>
  <c r="AY259" i="12"/>
  <c r="AZ259" i="12" s="1"/>
  <c r="AY312" i="12"/>
  <c r="AZ312" i="12" s="1"/>
  <c r="AY235" i="12"/>
  <c r="AZ235" i="12" s="1"/>
  <c r="AY122" i="12"/>
  <c r="AZ122" i="12" s="1"/>
  <c r="AY77" i="12"/>
  <c r="AZ77" i="12" s="1"/>
  <c r="AY358" i="12"/>
  <c r="AZ358" i="12" s="1"/>
  <c r="AY331" i="12"/>
  <c r="AZ331" i="12" s="1"/>
  <c r="AY264" i="12"/>
  <c r="AZ264" i="12" s="1"/>
  <c r="AY221" i="12"/>
  <c r="AZ221" i="12" s="1"/>
  <c r="AY303" i="12"/>
  <c r="AZ303" i="12" s="1"/>
  <c r="AY189" i="12"/>
  <c r="AZ189" i="12" s="1"/>
  <c r="AY363" i="12"/>
  <c r="AZ363" i="12" s="1"/>
  <c r="AY336" i="12"/>
  <c r="AZ336" i="12" s="1"/>
  <c r="AY246" i="12"/>
  <c r="AZ246" i="12" s="1"/>
  <c r="AY145" i="12"/>
  <c r="AZ145" i="12" s="1"/>
  <c r="AY86" i="12"/>
  <c r="AZ86" i="12" s="1"/>
  <c r="AY119" i="12"/>
  <c r="AZ119" i="12" s="1"/>
  <c r="AY197" i="12"/>
  <c r="AZ197" i="12" s="1"/>
  <c r="AY163" i="12"/>
  <c r="AZ163" i="12" s="1"/>
  <c r="AY138" i="12"/>
  <c r="AZ138" i="12" s="1"/>
  <c r="AY339" i="12"/>
  <c r="AZ339" i="12" s="1"/>
  <c r="AY310" i="12"/>
  <c r="AZ310" i="12" s="1"/>
  <c r="AY147" i="12"/>
  <c r="AZ147" i="12" s="1"/>
  <c r="AY152" i="12"/>
  <c r="AZ152" i="12" s="1"/>
  <c r="AY91" i="12"/>
  <c r="AZ91" i="12" s="1"/>
  <c r="AY262" i="12"/>
  <c r="AZ262" i="12" s="1"/>
  <c r="AY113" i="12"/>
  <c r="AZ113" i="12" s="1"/>
  <c r="AY76" i="12"/>
  <c r="AZ76" i="12" s="1"/>
  <c r="AY361" i="12"/>
  <c r="AZ361" i="12" s="1"/>
  <c r="AY330" i="12"/>
  <c r="AZ330" i="12" s="1"/>
  <c r="AY229" i="12"/>
  <c r="AZ229" i="12" s="1"/>
  <c r="AY321" i="12"/>
  <c r="AZ321" i="12" s="1"/>
  <c r="AY238" i="12"/>
  <c r="AZ238" i="12" s="1"/>
  <c r="AY188" i="12"/>
  <c r="AZ188" i="12" s="1"/>
  <c r="AY335" i="12"/>
  <c r="AZ335" i="12" s="1"/>
  <c r="AY244" i="12"/>
  <c r="AZ244" i="12" s="1"/>
  <c r="AY144" i="12"/>
  <c r="AZ144" i="12" s="1"/>
  <c r="AY96" i="12"/>
  <c r="AZ96" i="12" s="1"/>
  <c r="AY128" i="12"/>
  <c r="AZ128" i="12" s="1"/>
  <c r="AY204" i="12"/>
  <c r="AZ204" i="12" s="1"/>
  <c r="AY172" i="12"/>
  <c r="AZ172" i="12" s="1"/>
  <c r="AY57" i="12"/>
  <c r="AZ57" i="12" s="1"/>
  <c r="AY25" i="12"/>
  <c r="AZ25" i="12" s="1"/>
  <c r="AY19" i="12"/>
  <c r="AZ19" i="12" s="1"/>
  <c r="AY67" i="12"/>
  <c r="AZ67" i="12" s="1"/>
  <c r="AY56" i="12"/>
  <c r="AZ56" i="12" s="1"/>
  <c r="AY20" i="12"/>
  <c r="AZ20" i="12" s="1"/>
  <c r="AY14" i="12"/>
  <c r="AZ14" i="12" s="1"/>
  <c r="AY43" i="12"/>
  <c r="AZ43" i="12" s="1"/>
  <c r="AY35" i="12"/>
  <c r="AZ35" i="12" s="1"/>
  <c r="AY178" i="12"/>
  <c r="AZ178" i="12" s="1"/>
  <c r="AY355" i="12"/>
  <c r="AZ355" i="12" s="1"/>
  <c r="AY323" i="12"/>
  <c r="AZ323" i="12" s="1"/>
  <c r="AY314" i="12"/>
  <c r="AZ314" i="12" s="1"/>
  <c r="AY356" i="12"/>
  <c r="AZ356" i="12" s="1"/>
  <c r="AY118" i="12"/>
  <c r="AZ118" i="12" s="1"/>
  <c r="AY167" i="12"/>
  <c r="AZ167" i="12" s="1"/>
  <c r="AY214" i="12"/>
  <c r="AZ214" i="12" s="1"/>
  <c r="AY112" i="12"/>
  <c r="AZ112" i="12" s="1"/>
  <c r="AY175" i="12"/>
  <c r="AZ175" i="12" s="1"/>
  <c r="AY366" i="12"/>
  <c r="AZ366" i="12" s="1"/>
  <c r="AY297" i="12"/>
  <c r="AZ297" i="12" s="1"/>
  <c r="AY156" i="12"/>
  <c r="AZ156" i="12" s="1"/>
  <c r="AY100" i="12"/>
  <c r="AZ100" i="12" s="1"/>
  <c r="AY106" i="12"/>
  <c r="AZ106" i="12" s="1"/>
  <c r="AY350" i="12"/>
  <c r="AZ350" i="12" s="1"/>
  <c r="AY311" i="12"/>
  <c r="AZ311" i="12" s="1"/>
  <c r="AY239" i="12"/>
  <c r="AZ239" i="12" s="1"/>
  <c r="AY116" i="12"/>
  <c r="AZ116" i="12" s="1"/>
  <c r="AY248" i="12"/>
  <c r="AZ248" i="12" s="1"/>
  <c r="AY190" i="12"/>
  <c r="AZ190" i="12" s="1"/>
  <c r="AY97" i="12"/>
  <c r="AZ97" i="12" s="1"/>
  <c r="AY337" i="12"/>
  <c r="AZ337" i="12" s="1"/>
  <c r="AY258" i="12"/>
  <c r="AZ258" i="12" s="1"/>
  <c r="AY150" i="12"/>
  <c r="AZ150" i="12" s="1"/>
  <c r="AY256" i="12"/>
  <c r="AZ256" i="12" s="1"/>
  <c r="AY309" i="12"/>
  <c r="AZ309" i="12" s="1"/>
  <c r="AY87" i="12"/>
  <c r="AZ87" i="12" s="1"/>
  <c r="AY194" i="12"/>
  <c r="AZ194" i="12" s="1"/>
  <c r="AY158" i="12"/>
  <c r="AZ158" i="12" s="1"/>
  <c r="AY79" i="12"/>
  <c r="AZ79" i="12" s="1"/>
  <c r="AY322" i="12"/>
  <c r="AZ322" i="12" s="1"/>
  <c r="AY226" i="12"/>
  <c r="AZ226" i="12" s="1"/>
  <c r="AY160" i="12"/>
  <c r="AZ160" i="12" s="1"/>
  <c r="AY195" i="12"/>
  <c r="AZ195" i="12" s="1"/>
  <c r="AY272" i="12"/>
  <c r="AZ272" i="12" s="1"/>
  <c r="AY220" i="12"/>
  <c r="AZ220" i="12" s="1"/>
  <c r="AY109" i="12"/>
  <c r="AZ109" i="12" s="1"/>
  <c r="AY349" i="12"/>
  <c r="AZ349" i="12" s="1"/>
  <c r="AY327" i="12"/>
  <c r="AZ327" i="12" s="1"/>
  <c r="AY251" i="12"/>
  <c r="AZ251" i="12" s="1"/>
  <c r="AY146" i="12"/>
  <c r="AZ146" i="12" s="1"/>
  <c r="AY278" i="12"/>
  <c r="AZ278" i="12" s="1"/>
  <c r="AY231" i="12"/>
  <c r="AZ231" i="12" s="1"/>
  <c r="AY179" i="12"/>
  <c r="AZ179" i="12" s="1"/>
  <c r="AY332" i="12"/>
  <c r="AZ332" i="12" s="1"/>
  <c r="AY224" i="12"/>
  <c r="AZ224" i="12" s="1"/>
  <c r="AY290" i="12"/>
  <c r="AZ290" i="12" s="1"/>
  <c r="AY316" i="12"/>
  <c r="AZ316" i="12" s="1"/>
  <c r="AY110" i="12"/>
  <c r="AZ110" i="12" s="1"/>
  <c r="AY187" i="12"/>
  <c r="AZ187" i="12" s="1"/>
  <c r="AY140" i="12"/>
  <c r="AZ140" i="12" s="1"/>
  <c r="AY101" i="12"/>
  <c r="AZ101" i="12" s="1"/>
  <c r="AY298" i="12"/>
  <c r="AZ298" i="12" s="1"/>
  <c r="AY250" i="12"/>
  <c r="AZ250" i="12" s="1"/>
  <c r="AY351" i="12"/>
  <c r="AZ351" i="12" s="1"/>
  <c r="AY90" i="12"/>
  <c r="AZ90" i="12" s="1"/>
  <c r="AY365" i="12"/>
  <c r="AZ365" i="12" s="1"/>
  <c r="AY277" i="12"/>
  <c r="AZ277" i="12" s="1"/>
  <c r="AY115" i="12"/>
  <c r="AZ115" i="12" s="1"/>
  <c r="AY108" i="12"/>
  <c r="AZ108" i="12" s="1"/>
  <c r="AY357" i="12"/>
  <c r="AZ357" i="12" s="1"/>
  <c r="AY326" i="12"/>
  <c r="AZ326" i="12" s="1"/>
  <c r="AY153" i="12"/>
  <c r="AZ153" i="12" s="1"/>
  <c r="AY295" i="12"/>
  <c r="AZ295" i="12" s="1"/>
  <c r="AY227" i="12"/>
  <c r="AZ227" i="12" s="1"/>
  <c r="AY93" i="12"/>
  <c r="AZ93" i="12" s="1"/>
  <c r="AY324" i="12"/>
  <c r="AZ324" i="12" s="1"/>
  <c r="AY215" i="12"/>
  <c r="AZ215" i="12" s="1"/>
  <c r="AY137" i="12"/>
  <c r="AZ137" i="12" s="1"/>
  <c r="AY72" i="12"/>
  <c r="AZ72" i="12" s="1"/>
  <c r="AY117" i="12"/>
  <c r="AZ117" i="12" s="1"/>
  <c r="AY196" i="12"/>
  <c r="AZ196" i="12" s="1"/>
  <c r="AY162" i="12"/>
  <c r="AZ162" i="12" s="1"/>
  <c r="AY47" i="12"/>
  <c r="AZ47" i="12" s="1"/>
  <c r="AY21" i="12"/>
  <c r="AZ21" i="12" s="1"/>
  <c r="AY15" i="12"/>
  <c r="AZ15" i="12" s="1"/>
  <c r="AY61" i="12"/>
  <c r="AZ61" i="12" s="1"/>
  <c r="AY46" i="12"/>
  <c r="AZ46" i="12" s="1"/>
  <c r="AY10" i="12"/>
  <c r="AZ10" i="12" s="1"/>
  <c r="AY53" i="12"/>
  <c r="AZ53" i="12" s="1"/>
  <c r="AY55" i="12"/>
  <c r="AZ55" i="12" s="1"/>
  <c r="AY42" i="12"/>
  <c r="AZ42" i="12" s="1"/>
  <c r="AY164" i="12"/>
  <c r="AZ164" i="12" s="1"/>
  <c r="AY275" i="12"/>
  <c r="AZ275" i="12" s="1"/>
  <c r="AY165" i="12"/>
  <c r="AZ165" i="12" s="1"/>
  <c r="AY273" i="12"/>
  <c r="AZ273" i="12" s="1"/>
  <c r="AY329" i="12"/>
  <c r="AZ329" i="12" s="1"/>
  <c r="AY289" i="12"/>
  <c r="AZ289" i="12" s="1"/>
  <c r="AY73" i="12"/>
  <c r="AZ73" i="12" s="1"/>
  <c r="AY143" i="12"/>
  <c r="AZ143" i="12" s="1"/>
  <c r="AY217" i="12"/>
  <c r="AZ217" i="12" s="1"/>
  <c r="AY171" i="12"/>
  <c r="AZ171" i="12" s="1"/>
  <c r="AY315" i="12"/>
  <c r="AZ315" i="12" s="1"/>
  <c r="AY263" i="12"/>
  <c r="AZ263" i="12" s="1"/>
  <c r="AY134" i="12"/>
  <c r="AZ134" i="12" s="1"/>
  <c r="AY78" i="12"/>
  <c r="AZ78" i="12" s="1"/>
  <c r="AY84" i="12"/>
  <c r="AZ84" i="12" s="1"/>
  <c r="AY346" i="12"/>
  <c r="AZ346" i="12" s="1"/>
  <c r="AY282" i="12"/>
  <c r="AZ282" i="12" s="1"/>
  <c r="AY223" i="12"/>
  <c r="AZ223" i="12" s="1"/>
  <c r="AY304" i="12"/>
  <c r="AZ304" i="12" s="1"/>
  <c r="AY233" i="12"/>
  <c r="AZ233" i="12" s="1"/>
  <c r="AY180" i="12"/>
  <c r="AZ180" i="12" s="1"/>
  <c r="AY364" i="12"/>
  <c r="AZ364" i="12" s="1"/>
  <c r="AY333" i="12"/>
  <c r="AZ333" i="12" s="1"/>
  <c r="AY225" i="12"/>
  <c r="AZ225" i="12" s="1"/>
  <c r="AY142" i="12"/>
  <c r="AZ142" i="12" s="1"/>
  <c r="AY243" i="12"/>
  <c r="AZ243" i="12" s="1"/>
  <c r="AY284" i="12"/>
  <c r="AZ284" i="12" s="1"/>
  <c r="AY269" i="12"/>
  <c r="AZ269" i="12" s="1"/>
  <c r="AY184" i="12"/>
  <c r="AZ184" i="12" s="1"/>
  <c r="AY301" i="12"/>
  <c r="AZ301" i="12" s="1"/>
  <c r="AY107" i="12"/>
  <c r="AZ107" i="12" s="1"/>
  <c r="AY241" i="12"/>
  <c r="AZ241" i="12" s="1"/>
  <c r="AY181" i="12"/>
  <c r="AZ181" i="12" s="1"/>
  <c r="AY135" i="12"/>
  <c r="AZ135" i="12" s="1"/>
  <c r="AY319" i="12"/>
  <c r="AZ319" i="12" s="1"/>
  <c r="AY287" i="12"/>
  <c r="AZ287" i="12" s="1"/>
  <c r="AY155" i="12"/>
  <c r="AZ155" i="12" s="1"/>
  <c r="AY103" i="12"/>
  <c r="AZ103" i="12" s="1"/>
  <c r="AY105" i="12"/>
  <c r="AZ105" i="12" s="1"/>
  <c r="AY305" i="12"/>
  <c r="AZ305" i="12" s="1"/>
  <c r="AY237" i="12"/>
  <c r="AZ237" i="12" s="1"/>
  <c r="AY129" i="12"/>
  <c r="AZ129" i="12" s="1"/>
  <c r="AY255" i="12"/>
  <c r="AZ255" i="12" s="1"/>
  <c r="AY203" i="12"/>
  <c r="AZ203" i="12" s="1"/>
  <c r="AY169" i="12"/>
  <c r="AZ169" i="12" s="1"/>
  <c r="AY353" i="12"/>
  <c r="AZ353" i="12" s="1"/>
  <c r="AY291" i="12"/>
  <c r="AZ291" i="12" s="1"/>
  <c r="AY209" i="12"/>
  <c r="AZ209" i="12" s="1"/>
  <c r="AY254" i="12"/>
  <c r="AZ254" i="12" s="1"/>
  <c r="AY308" i="12"/>
  <c r="AZ308" i="12" s="1"/>
  <c r="AY268" i="12"/>
  <c r="AZ268" i="12" s="1"/>
  <c r="AY183" i="12"/>
  <c r="AZ183" i="12" s="1"/>
  <c r="AY286" i="12"/>
  <c r="AZ286" i="12" s="1"/>
  <c r="AY127" i="12"/>
  <c r="AZ127" i="12" s="1"/>
  <c r="AY260" i="12"/>
  <c r="AZ260" i="12" s="1"/>
  <c r="AY201" i="12"/>
  <c r="AZ201" i="12" s="1"/>
  <c r="AY320" i="12"/>
  <c r="AZ320" i="12" s="1"/>
  <c r="AY245" i="12"/>
  <c r="AZ245" i="12" s="1"/>
  <c r="AY318" i="12"/>
  <c r="AZ318" i="12" s="1"/>
  <c r="AY211" i="12"/>
  <c r="AZ211" i="12" s="1"/>
  <c r="AY102" i="12"/>
  <c r="AZ102" i="12" s="1"/>
  <c r="AY104" i="12"/>
  <c r="AZ104" i="12" s="1"/>
  <c r="AY348" i="12"/>
  <c r="AZ348" i="12" s="1"/>
  <c r="AY302" i="12"/>
  <c r="AZ302" i="12" s="1"/>
  <c r="AY141" i="12"/>
  <c r="AZ141" i="12" s="1"/>
  <c r="AY274" i="12"/>
  <c r="AZ274" i="12" s="1"/>
  <c r="AY202" i="12"/>
  <c r="AZ202" i="12" s="1"/>
  <c r="AY362" i="12"/>
  <c r="AZ362" i="12" s="1"/>
  <c r="AY288" i="12"/>
  <c r="AZ288" i="12" s="1"/>
  <c r="AY205" i="12"/>
  <c r="AZ205" i="12" s="1"/>
  <c r="AY247" i="12"/>
  <c r="AZ247" i="12" s="1"/>
  <c r="AY313" i="12"/>
  <c r="AZ313" i="12" s="1"/>
  <c r="AY94" i="12"/>
  <c r="AZ94" i="12" s="1"/>
  <c r="AY186" i="12"/>
  <c r="AZ186" i="12" s="1"/>
  <c r="AY132" i="12"/>
  <c r="AZ132" i="12" s="1"/>
  <c r="AY37" i="12"/>
  <c r="AZ37" i="12" s="1"/>
  <c r="AY11" i="12"/>
  <c r="AZ11" i="12" s="1"/>
  <c r="AY40" i="12"/>
  <c r="AZ40" i="12" s="1"/>
  <c r="AY60" i="12"/>
  <c r="AZ60" i="12" s="1"/>
  <c r="AY36" i="12"/>
  <c r="AZ36" i="12" s="1"/>
  <c r="AY28" i="12"/>
  <c r="AZ28" i="12" s="1"/>
  <c r="AY68" i="12"/>
  <c r="AZ68" i="12" s="1"/>
  <c r="AY49" i="12"/>
  <c r="AZ49" i="12" s="1"/>
  <c r="AY23" i="12"/>
  <c r="AZ23" i="12" s="1"/>
  <c r="AY299" i="12"/>
  <c r="AZ299" i="12" s="1"/>
  <c r="AY270" i="12"/>
  <c r="AZ270" i="12" s="1"/>
  <c r="AY199" i="12"/>
  <c r="AZ199" i="12" s="1"/>
  <c r="AY126" i="12"/>
  <c r="AZ126" i="12" s="1"/>
  <c r="AY267" i="12"/>
  <c r="AZ267" i="12" s="1"/>
  <c r="AY176" i="12"/>
  <c r="AZ176" i="12" s="1"/>
  <c r="AY89" i="12"/>
  <c r="AZ89" i="12" s="1"/>
  <c r="AY174" i="12"/>
  <c r="AZ174" i="12" s="1"/>
  <c r="AY334" i="12"/>
  <c r="AZ334" i="12" s="1"/>
  <c r="AY124" i="12"/>
  <c r="AZ124" i="12" s="1"/>
  <c r="AY281" i="12"/>
  <c r="AZ281" i="12" s="1"/>
  <c r="AY193" i="12"/>
  <c r="AZ193" i="12" s="1"/>
  <c r="AY157" i="12"/>
  <c r="AZ157" i="12" s="1"/>
  <c r="AY173" i="12"/>
  <c r="AZ173" i="12" s="1"/>
  <c r="AY177" i="12"/>
  <c r="AZ177" i="12" s="1"/>
  <c r="AY210" i="12"/>
  <c r="AZ210" i="12" s="1"/>
  <c r="AY249" i="12"/>
  <c r="AZ249" i="12" s="1"/>
  <c r="AY341" i="12"/>
  <c r="AZ341" i="12" s="1"/>
  <c r="AY306" i="12"/>
  <c r="AZ306" i="12" s="1"/>
  <c r="AY33" i="12"/>
  <c r="AZ33" i="12" s="1"/>
  <c r="AY24" i="12"/>
  <c r="AZ24" i="12" s="1"/>
  <c r="AY13" i="12"/>
  <c r="AZ13" i="12" s="1"/>
  <c r="AY17" i="12"/>
  <c r="AZ17" i="12" s="1"/>
  <c r="AY64" i="12"/>
  <c r="AZ64" i="12" s="1"/>
  <c r="AY48" i="12"/>
  <c r="AZ48" i="12" s="1"/>
  <c r="AY22" i="12"/>
  <c r="AZ22" i="12" s="1"/>
  <c r="AY16" i="12"/>
  <c r="AZ16" i="12" s="1"/>
  <c r="AY69" i="12"/>
  <c r="AZ69" i="12" s="1"/>
  <c r="AY30" i="12"/>
  <c r="AZ30" i="12" s="1"/>
  <c r="AY41" i="12"/>
  <c r="AZ41" i="12" s="1"/>
  <c r="AY294" i="12"/>
  <c r="AZ294" i="12" s="1"/>
  <c r="AY338" i="12"/>
  <c r="AZ338" i="12" s="1"/>
  <c r="AY212" i="12"/>
  <c r="AZ212" i="12" s="1"/>
  <c r="AY149" i="12"/>
  <c r="AZ149" i="12" s="1"/>
  <c r="AY265" i="12"/>
  <c r="AZ265" i="12" s="1"/>
  <c r="AY240" i="12"/>
  <c r="AZ240" i="12" s="1"/>
  <c r="AY213" i="12"/>
  <c r="AZ213" i="12" s="1"/>
  <c r="AY296" i="12"/>
  <c r="AZ296" i="12" s="1"/>
  <c r="AY344" i="12"/>
  <c r="AZ344" i="12" s="1"/>
  <c r="AY38" i="12"/>
  <c r="AZ38" i="12" s="1"/>
  <c r="AY27" i="12"/>
  <c r="AZ27" i="12" s="1"/>
  <c r="AY54" i="12"/>
  <c r="AZ54" i="12" s="1"/>
  <c r="AY59" i="12"/>
  <c r="AZ59" i="12" s="1"/>
  <c r="AY168" i="12"/>
  <c r="AZ168" i="12" s="1"/>
  <c r="AY236" i="12"/>
  <c r="AZ236" i="12" s="1"/>
  <c r="AY161" i="12"/>
  <c r="AZ161" i="12" s="1"/>
  <c r="AY74" i="12"/>
  <c r="AZ74" i="12" s="1"/>
  <c r="AY148" i="12"/>
  <c r="AZ148" i="12" s="1"/>
  <c r="AY354" i="12"/>
  <c r="AZ354" i="12" s="1"/>
  <c r="AY88" i="12"/>
  <c r="AZ88" i="12" s="1"/>
  <c r="AY206" i="12"/>
  <c r="AZ206" i="12" s="1"/>
  <c r="AY230" i="12"/>
  <c r="AZ230" i="12" s="1"/>
  <c r="AY99" i="12"/>
  <c r="AZ99" i="12" s="1"/>
  <c r="AY95" i="12"/>
  <c r="AZ95" i="12" s="1"/>
  <c r="AY234" i="12"/>
  <c r="AZ234" i="12" s="1"/>
  <c r="AY207" i="12"/>
  <c r="AZ207" i="12" s="1"/>
  <c r="AY242" i="12"/>
  <c r="AZ242" i="12" s="1"/>
  <c r="AY98" i="12"/>
  <c r="AZ98" i="12" s="1"/>
  <c r="AY120" i="12"/>
  <c r="AZ120" i="12" s="1"/>
  <c r="AY271" i="12"/>
  <c r="AZ271" i="12" s="1"/>
  <c r="AY219" i="12"/>
  <c r="AZ219" i="12" s="1"/>
  <c r="AY29" i="12"/>
  <c r="AZ29" i="12" s="1"/>
  <c r="AY18" i="12"/>
  <c r="AZ18" i="12" s="1"/>
  <c r="AY9" i="12"/>
  <c r="AZ9" i="12" s="1"/>
  <c r="AY51" i="12"/>
  <c r="AZ51" i="12" s="1"/>
  <c r="AY39" i="12"/>
  <c r="AZ39" i="12" s="1"/>
  <c r="AY44" i="12"/>
  <c r="AZ44" i="12" s="1"/>
  <c r="AY12" i="12"/>
  <c r="AZ12" i="12" s="1"/>
  <c r="AY50" i="12"/>
  <c r="AZ50" i="12" s="1"/>
  <c r="AY62" i="12"/>
  <c r="AZ62" i="12" s="1"/>
  <c r="AY34" i="12"/>
  <c r="AZ34" i="12" s="1"/>
  <c r="AY192" i="12"/>
  <c r="AZ192" i="12" s="1"/>
  <c r="AY63" i="12"/>
  <c r="AZ63" i="12" s="1"/>
  <c r="AY71" i="12"/>
  <c r="AZ71" i="12" s="1"/>
  <c r="AY26" i="12"/>
  <c r="AZ26" i="12" s="1"/>
  <c r="AY139" i="12"/>
  <c r="AZ139" i="12" s="1"/>
  <c r="AY340" i="12"/>
  <c r="AZ340" i="12" s="1"/>
  <c r="AY307" i="12"/>
  <c r="AZ307" i="12" s="1"/>
  <c r="AY80" i="12"/>
  <c r="AZ80" i="12" s="1"/>
  <c r="AY283" i="12"/>
  <c r="AZ283" i="12" s="1"/>
  <c r="AY292" i="12"/>
  <c r="AZ292" i="12" s="1"/>
  <c r="AY123" i="12"/>
  <c r="AZ123" i="12" s="1"/>
  <c r="AY81" i="12"/>
  <c r="AZ81" i="12" s="1"/>
  <c r="AY300" i="12"/>
  <c r="AZ300" i="12" s="1"/>
  <c r="AY83" i="12"/>
  <c r="AZ83" i="12" s="1"/>
  <c r="AY325" i="12"/>
  <c r="AZ325" i="12" s="1"/>
  <c r="AY342" i="12"/>
  <c r="AZ342" i="12" s="1"/>
  <c r="AY151" i="12"/>
  <c r="AZ151" i="12" s="1"/>
  <c r="AY360" i="12"/>
  <c r="AZ360" i="12" s="1"/>
  <c r="AY92" i="12"/>
  <c r="AZ92" i="12" s="1"/>
  <c r="AY82" i="12"/>
  <c r="AZ82" i="12" s="1"/>
  <c r="AY252" i="12"/>
  <c r="AZ252" i="12" s="1"/>
  <c r="AY154" i="12"/>
  <c r="AZ154" i="12" s="1"/>
  <c r="AY182" i="12"/>
  <c r="AZ182" i="12" s="1"/>
  <c r="AY70" i="12"/>
  <c r="AZ70" i="12" s="1"/>
  <c r="AY65" i="12"/>
  <c r="AZ65" i="12" s="1"/>
  <c r="AY31" i="12"/>
  <c r="AZ31" i="12" s="1"/>
  <c r="AY66" i="12"/>
  <c r="AZ66" i="12" s="1"/>
  <c r="AY58" i="12"/>
  <c r="AZ58" i="12" s="1"/>
  <c r="AY222" i="12"/>
  <c r="AZ222" i="12" s="1"/>
  <c r="AY218" i="12"/>
  <c r="AZ218" i="12" s="1"/>
  <c r="AY216" i="12"/>
  <c r="AZ216" i="12" s="1"/>
  <c r="AY345" i="12"/>
  <c r="AZ345" i="12" s="1"/>
  <c r="AY279" i="12"/>
  <c r="AZ279" i="12" s="1"/>
  <c r="AY133" i="12"/>
  <c r="AZ133" i="12" s="1"/>
  <c r="AY232" i="12"/>
  <c r="AZ232" i="12" s="1"/>
  <c r="AY45" i="12"/>
  <c r="AZ45" i="12" s="1"/>
  <c r="AY32" i="12"/>
  <c r="AZ32" i="12" s="1"/>
  <c r="AY75" i="12"/>
  <c r="AZ75" i="12" s="1"/>
  <c r="AY7" i="12"/>
  <c r="AZ7" i="12" s="1"/>
  <c r="AJ98" i="10"/>
  <c r="AK98" i="10" s="1"/>
  <c r="AJ102" i="10"/>
  <c r="AK102" i="10" s="1"/>
  <c r="AJ299" i="10"/>
  <c r="AK299" i="10" s="1"/>
  <c r="AJ308" i="10"/>
  <c r="AK308" i="10" s="1"/>
  <c r="AJ311" i="10"/>
  <c r="AK311" i="10" s="1"/>
  <c r="AJ255" i="10"/>
  <c r="AK255" i="10" s="1"/>
  <c r="AJ252" i="10"/>
  <c r="AK252" i="10" s="1"/>
  <c r="AJ201" i="10"/>
  <c r="AK201" i="10" s="1"/>
  <c r="AJ216" i="10"/>
  <c r="AK216" i="10" s="1"/>
  <c r="AJ181" i="10"/>
  <c r="AK181" i="10" s="1"/>
  <c r="AJ107" i="10"/>
  <c r="AK107" i="10" s="1"/>
  <c r="AJ127" i="10"/>
  <c r="AK127" i="10" s="1"/>
  <c r="AJ131" i="10"/>
  <c r="AK131" i="10" s="1"/>
  <c r="AJ365" i="10"/>
  <c r="AK365" i="10" s="1"/>
  <c r="AJ348" i="10"/>
  <c r="AK348" i="10" s="1"/>
  <c r="AJ344" i="10"/>
  <c r="AK344" i="10" s="1"/>
  <c r="AJ324" i="10"/>
  <c r="AK324" i="10" s="1"/>
  <c r="AJ302" i="10"/>
  <c r="AK302" i="10" s="1"/>
  <c r="AJ288" i="10"/>
  <c r="AK288" i="10" s="1"/>
  <c r="AJ278" i="10"/>
  <c r="AK278" i="10" s="1"/>
  <c r="AJ261" i="10"/>
  <c r="AK261" i="10" s="1"/>
  <c r="AJ232" i="10"/>
  <c r="AK232" i="10" s="1"/>
  <c r="AJ224" i="10"/>
  <c r="AK224" i="10" s="1"/>
  <c r="AJ203" i="10"/>
  <c r="AK203" i="10" s="1"/>
  <c r="AJ165" i="10"/>
  <c r="AK165" i="10" s="1"/>
  <c r="AJ157" i="10"/>
  <c r="AK157" i="10" s="1"/>
  <c r="AJ126" i="10"/>
  <c r="AK126" i="10" s="1"/>
  <c r="AJ109" i="10"/>
  <c r="AK109" i="10" s="1"/>
  <c r="AJ90" i="10"/>
  <c r="AK90" i="10" s="1"/>
  <c r="AJ72" i="10"/>
  <c r="AK72" i="10" s="1"/>
  <c r="AJ57" i="10"/>
  <c r="AK57" i="10" s="1"/>
  <c r="AJ49" i="10"/>
  <c r="AK49" i="10" s="1"/>
  <c r="AJ364" i="10"/>
  <c r="AK364" i="10" s="1"/>
  <c r="AJ333" i="10"/>
  <c r="AK333" i="10" s="1"/>
  <c r="AJ322" i="10"/>
  <c r="AK322" i="10" s="1"/>
  <c r="AJ300" i="10"/>
  <c r="AK300" i="10" s="1"/>
  <c r="AJ280" i="10"/>
  <c r="AK280" i="10" s="1"/>
  <c r="AJ225" i="10"/>
  <c r="AK225" i="10" s="1"/>
  <c r="AJ215" i="10"/>
  <c r="AK215" i="10" s="1"/>
  <c r="AJ189" i="10"/>
  <c r="AK189" i="10" s="1"/>
  <c r="AJ177" i="10"/>
  <c r="AK177" i="10" s="1"/>
  <c r="AJ158" i="10"/>
  <c r="AK158" i="10" s="1"/>
  <c r="AJ152" i="10"/>
  <c r="AK152" i="10" s="1"/>
  <c r="AJ125" i="10"/>
  <c r="AK125" i="10" s="1"/>
  <c r="AJ91" i="10"/>
  <c r="AK91" i="10" s="1"/>
  <c r="AJ80" i="10"/>
  <c r="AK80" i="10" s="1"/>
  <c r="AJ66" i="10"/>
  <c r="AK66" i="10" s="1"/>
  <c r="AX38" i="6"/>
  <c r="AY38" i="6" s="1"/>
  <c r="BB38" i="6" s="1"/>
  <c r="BC38" i="6" s="1"/>
  <c r="AX21" i="6"/>
  <c r="AY21" i="6" s="1"/>
  <c r="BB21" i="6" s="1"/>
  <c r="BC21" i="6" s="1"/>
  <c r="AX18" i="6"/>
  <c r="AY18" i="6" s="1"/>
  <c r="BB18" i="6" s="1"/>
  <c r="BC18" i="6" s="1"/>
  <c r="AJ321" i="10"/>
  <c r="AK321" i="10" s="1"/>
  <c r="AJ295" i="10"/>
  <c r="AK295" i="10" s="1"/>
  <c r="AJ304" i="10"/>
  <c r="AK304" i="10" s="1"/>
  <c r="AJ266" i="10"/>
  <c r="AK266" i="10" s="1"/>
  <c r="AJ249" i="10"/>
  <c r="AK249" i="10" s="1"/>
  <c r="AJ248" i="10"/>
  <c r="AK248" i="10" s="1"/>
  <c r="AJ198" i="10"/>
  <c r="AK198" i="10" s="1"/>
  <c r="AJ212" i="10"/>
  <c r="AK212" i="10" s="1"/>
  <c r="AJ178" i="10"/>
  <c r="AK178" i="10" s="1"/>
  <c r="AJ103" i="10"/>
  <c r="AK103" i="10" s="1"/>
  <c r="AJ124" i="10"/>
  <c r="AK124" i="10" s="1"/>
  <c r="AJ117" i="10"/>
  <c r="AK117" i="10" s="1"/>
  <c r="AJ361" i="10"/>
  <c r="AK361" i="10" s="1"/>
  <c r="AJ347" i="10"/>
  <c r="AK347" i="10" s="1"/>
  <c r="AJ343" i="10"/>
  <c r="AK343" i="10" s="1"/>
  <c r="AJ323" i="10"/>
  <c r="AK323" i="10" s="1"/>
  <c r="AJ297" i="10"/>
  <c r="AK297" i="10" s="1"/>
  <c r="AJ286" i="10"/>
  <c r="AK286" i="10" s="1"/>
  <c r="AJ250" i="10"/>
  <c r="AK250" i="10" s="1"/>
  <c r="AJ229" i="10"/>
  <c r="AK229" i="10" s="1"/>
  <c r="AJ223" i="10"/>
  <c r="AK223" i="10" s="1"/>
  <c r="AJ199" i="10"/>
  <c r="AK199" i="10" s="1"/>
  <c r="AJ161" i="10"/>
  <c r="AK161" i="10" s="1"/>
  <c r="AJ144" i="10"/>
  <c r="AK144" i="10" s="1"/>
  <c r="AJ122" i="10"/>
  <c r="AK122" i="10" s="1"/>
  <c r="AJ97" i="10"/>
  <c r="AK97" i="10" s="1"/>
  <c r="AJ87" i="10"/>
  <c r="AK87" i="10" s="1"/>
  <c r="AJ70" i="10"/>
  <c r="AK70" i="10" s="1"/>
  <c r="AJ53" i="10"/>
  <c r="AK53" i="10" s="1"/>
  <c r="AJ40" i="10"/>
  <c r="AK40" i="10" s="1"/>
  <c r="AJ336" i="10"/>
  <c r="AK336" i="10" s="1"/>
  <c r="AJ332" i="10"/>
  <c r="AK332" i="10" s="1"/>
  <c r="AJ298" i="10"/>
  <c r="AK298" i="10" s="1"/>
  <c r="AJ259" i="10"/>
  <c r="AK259" i="10" s="1"/>
  <c r="AJ221" i="10"/>
  <c r="AK221" i="10" s="1"/>
  <c r="AJ202" i="10"/>
  <c r="AK202" i="10" s="1"/>
  <c r="AJ187" i="10"/>
  <c r="AK187" i="10" s="1"/>
  <c r="AJ176" i="10"/>
  <c r="AK176" i="10" s="1"/>
  <c r="AJ156" i="10"/>
  <c r="AK156" i="10" s="1"/>
  <c r="AJ142" i="10"/>
  <c r="AK142" i="10" s="1"/>
  <c r="AJ123" i="10"/>
  <c r="AK123" i="10" s="1"/>
  <c r="AJ84" i="10"/>
  <c r="AK84" i="10" s="1"/>
  <c r="AJ79" i="10"/>
  <c r="AK79" i="10" s="1"/>
  <c r="AJ65" i="10"/>
  <c r="AK65" i="10" s="1"/>
  <c r="AJ48" i="10"/>
  <c r="AK48" i="10" s="1"/>
  <c r="AJ33" i="10"/>
  <c r="AK33" i="10" s="1"/>
  <c r="AJ23" i="10"/>
  <c r="AK23" i="10" s="1"/>
  <c r="AJ366" i="10"/>
  <c r="AK366" i="10" s="1"/>
  <c r="AJ353" i="10"/>
  <c r="AK353" i="10" s="1"/>
  <c r="AJ349" i="10"/>
  <c r="AK349" i="10" s="1"/>
  <c r="AJ338" i="10"/>
  <c r="AK338" i="10" s="1"/>
  <c r="AJ316" i="10"/>
  <c r="AK316" i="10" s="1"/>
  <c r="AJ281" i="10"/>
  <c r="AK281" i="10" s="1"/>
  <c r="AJ315" i="10"/>
  <c r="AK315" i="10" s="1"/>
  <c r="AJ287" i="10"/>
  <c r="AK287" i="10" s="1"/>
  <c r="AJ273" i="10"/>
  <c r="AK273" i="10" s="1"/>
  <c r="AJ246" i="10"/>
  <c r="AK246" i="10" s="1"/>
  <c r="AJ211" i="10"/>
  <c r="AK211" i="10" s="1"/>
  <c r="AJ194" i="10"/>
  <c r="AK194" i="10" s="1"/>
  <c r="AJ208" i="10"/>
  <c r="AK208" i="10" s="1"/>
  <c r="AJ114" i="10"/>
  <c r="AK114" i="10" s="1"/>
  <c r="AJ138" i="10"/>
  <c r="AK138" i="10" s="1"/>
  <c r="AJ118" i="10"/>
  <c r="AK118" i="10" s="1"/>
  <c r="AJ100" i="10"/>
  <c r="AK100" i="10" s="1"/>
  <c r="AJ359" i="10"/>
  <c r="AK359" i="10" s="1"/>
  <c r="AJ346" i="10"/>
  <c r="AK346" i="10" s="1"/>
  <c r="AJ329" i="10"/>
  <c r="AK329" i="10" s="1"/>
  <c r="AJ309" i="10"/>
  <c r="AK309" i="10" s="1"/>
  <c r="AJ293" i="10"/>
  <c r="AK293" i="10" s="1"/>
  <c r="AJ285" i="10"/>
  <c r="AK285" i="10" s="1"/>
  <c r="AJ263" i="10"/>
  <c r="AK263" i="10" s="1"/>
  <c r="AJ247" i="10"/>
  <c r="AK247" i="10" s="1"/>
  <c r="AJ228" i="10"/>
  <c r="AK228" i="10" s="1"/>
  <c r="AJ214" i="10"/>
  <c r="AK214" i="10" s="1"/>
  <c r="AJ190" i="10"/>
  <c r="AK190" i="10" s="1"/>
  <c r="AJ160" i="10"/>
  <c r="AK160" i="10" s="1"/>
  <c r="AJ143" i="10"/>
  <c r="AK143" i="10" s="1"/>
  <c r="AJ113" i="10"/>
  <c r="AK113" i="10" s="1"/>
  <c r="AJ96" i="10"/>
  <c r="AK96" i="10" s="1"/>
  <c r="AJ86" i="10"/>
  <c r="AK86" i="10" s="1"/>
  <c r="AJ69" i="10"/>
  <c r="AK69" i="10" s="1"/>
  <c r="AJ52" i="10"/>
  <c r="AK52" i="10" s="1"/>
  <c r="AJ21" i="10"/>
  <c r="AK21" i="10" s="1"/>
  <c r="AJ335" i="10"/>
  <c r="AK335" i="10" s="1"/>
  <c r="AJ327" i="10"/>
  <c r="AK327" i="10" s="1"/>
  <c r="AJ319" i="10"/>
  <c r="AK319" i="10" s="1"/>
  <c r="AJ291" i="10"/>
  <c r="AK291" i="10" s="1"/>
  <c r="AJ241" i="10"/>
  <c r="AK241" i="10" s="1"/>
  <c r="AJ220" i="10"/>
  <c r="AK220" i="10" s="1"/>
  <c r="AJ200" i="10"/>
  <c r="AK200" i="10" s="1"/>
  <c r="AJ186" i="10"/>
  <c r="AK186" i="10" s="1"/>
  <c r="AJ175" i="10"/>
  <c r="AK175" i="10" s="1"/>
  <c r="AJ154" i="10"/>
  <c r="AK154" i="10" s="1"/>
  <c r="AJ140" i="10"/>
  <c r="AK140" i="10" s="1"/>
  <c r="AJ105" i="10"/>
  <c r="AK105" i="10" s="1"/>
  <c r="AJ83" i="10"/>
  <c r="AK83" i="10" s="1"/>
  <c r="AJ78" i="10"/>
  <c r="AK78" i="10" s="1"/>
  <c r="AJ63" i="10"/>
  <c r="AK63" i="10" s="1"/>
  <c r="AJ46" i="10"/>
  <c r="AK46" i="10" s="1"/>
  <c r="AJ29" i="10"/>
  <c r="AK29" i="10" s="1"/>
  <c r="AJ18" i="10"/>
  <c r="AK18" i="10" s="1"/>
  <c r="AJ363" i="10"/>
  <c r="AK363" i="10" s="1"/>
  <c r="AJ352" i="10"/>
  <c r="AK352" i="10" s="1"/>
  <c r="AJ341" i="10"/>
  <c r="AK341" i="10" s="1"/>
  <c r="AJ337" i="10"/>
  <c r="AK337" i="10" s="1"/>
  <c r="AJ314" i="10"/>
  <c r="AK314" i="10" s="1"/>
  <c r="AJ279" i="10"/>
  <c r="AK279" i="10" s="1"/>
  <c r="AJ307" i="10"/>
  <c r="AK307" i="10" s="1"/>
  <c r="AJ312" i="10"/>
  <c r="AK312" i="10" s="1"/>
  <c r="AJ318" i="10"/>
  <c r="AK318" i="10" s="1"/>
  <c r="AJ265" i="10"/>
  <c r="AK265" i="10" s="1"/>
  <c r="AJ242" i="10"/>
  <c r="AK242" i="10" s="1"/>
  <c r="AJ209" i="10"/>
  <c r="AK209" i="10" s="1"/>
  <c r="AJ191" i="10"/>
  <c r="AK191" i="10" s="1"/>
  <c r="AJ188" i="10"/>
  <c r="AK188" i="10" s="1"/>
  <c r="AJ110" i="10"/>
  <c r="AK110" i="10" s="1"/>
  <c r="AJ134" i="10"/>
  <c r="AK134" i="10" s="1"/>
  <c r="AJ93" i="10"/>
  <c r="AK93" i="10" s="1"/>
  <c r="AJ94" i="10"/>
  <c r="AK94" i="10" s="1"/>
  <c r="AJ355" i="10"/>
  <c r="AK355" i="10" s="1"/>
  <c r="AJ345" i="10"/>
  <c r="AK345" i="10" s="1"/>
  <c r="AJ328" i="10"/>
  <c r="AK328" i="10" s="1"/>
  <c r="AJ306" i="10"/>
  <c r="AK306" i="10" s="1"/>
  <c r="AJ292" i="10"/>
  <c r="AK292" i="10" s="1"/>
  <c r="AJ284" i="10"/>
  <c r="AK284" i="10" s="1"/>
  <c r="AJ262" i="10"/>
  <c r="AK262" i="10" s="1"/>
  <c r="AJ233" i="10"/>
  <c r="AK233" i="10" s="1"/>
  <c r="AJ227" i="10"/>
  <c r="AK227" i="10" s="1"/>
  <c r="AJ213" i="10"/>
  <c r="AK213" i="10" s="1"/>
  <c r="AJ183" i="10"/>
  <c r="AK183" i="10" s="1"/>
  <c r="AJ159" i="10"/>
  <c r="AK159" i="10" s="1"/>
  <c r="AJ133" i="10"/>
  <c r="AK133" i="10" s="1"/>
  <c r="AJ111" i="10"/>
  <c r="AK111" i="10" s="1"/>
  <c r="AJ92" i="10"/>
  <c r="AK92" i="10" s="1"/>
  <c r="AJ85" i="10"/>
  <c r="AK85" i="10" s="1"/>
  <c r="AJ68" i="10"/>
  <c r="AK68" i="10" s="1"/>
  <c r="AJ51" i="10"/>
  <c r="AK51" i="10" s="1"/>
  <c r="AJ20" i="10"/>
  <c r="AK20" i="10" s="1"/>
  <c r="AJ334" i="10"/>
  <c r="AK334" i="10" s="1"/>
  <c r="AJ326" i="10"/>
  <c r="AK326" i="10" s="1"/>
  <c r="AJ310" i="10"/>
  <c r="AK310" i="10" s="1"/>
  <c r="AJ283" i="10"/>
  <c r="AK283" i="10" s="1"/>
  <c r="AJ226" i="10"/>
  <c r="AK226" i="10" s="1"/>
  <c r="AJ217" i="10"/>
  <c r="AK217" i="10" s="1"/>
  <c r="AJ192" i="10"/>
  <c r="AK192" i="10" s="1"/>
  <c r="AJ182" i="10"/>
  <c r="AK182" i="10" s="1"/>
  <c r="AJ162" i="10"/>
  <c r="AK162" i="10" s="1"/>
  <c r="AJ153" i="10"/>
  <c r="AK153" i="10" s="1"/>
  <c r="AJ139" i="10"/>
  <c r="AK139" i="10" s="1"/>
  <c r="AJ95" i="10"/>
  <c r="AK95" i="10" s="1"/>
  <c r="AJ82" i="10"/>
  <c r="AK82" i="10" s="1"/>
  <c r="AJ74" i="10"/>
  <c r="AK74" i="10" s="1"/>
  <c r="AJ62" i="10"/>
  <c r="AK62" i="10" s="1"/>
  <c r="AJ61" i="10"/>
  <c r="AK61" i="10" s="1"/>
  <c r="AJ44" i="10"/>
  <c r="AK44" i="10" s="1"/>
  <c r="AJ27" i="10"/>
  <c r="AK27" i="10" s="1"/>
  <c r="AJ15" i="10"/>
  <c r="AK15" i="10" s="1"/>
  <c r="AJ354" i="10"/>
  <c r="AK354" i="10" s="1"/>
  <c r="AJ350" i="10"/>
  <c r="AK350" i="10" s="1"/>
  <c r="AJ339" i="10"/>
  <c r="AK339" i="10" s="1"/>
  <c r="AJ289" i="10"/>
  <c r="AK289" i="10" s="1"/>
  <c r="AJ271" i="10"/>
  <c r="AK271" i="10" s="1"/>
  <c r="AJ245" i="10"/>
  <c r="AK245" i="10" s="1"/>
  <c r="AJ239" i="10"/>
  <c r="AK239" i="10" s="1"/>
  <c r="AJ231" i="10"/>
  <c r="AK231" i="10" s="1"/>
  <c r="AJ130" i="10"/>
  <c r="AK130" i="10" s="1"/>
  <c r="AJ115" i="10"/>
  <c r="AK115" i="10" s="1"/>
  <c r="AJ12" i="10"/>
  <c r="AK12" i="10" s="1"/>
  <c r="AJ137" i="10"/>
  <c r="AK137" i="10" s="1"/>
  <c r="AJ16" i="10"/>
  <c r="AK16" i="10" s="1"/>
  <c r="AJ180" i="10"/>
  <c r="AK180" i="10" s="1"/>
  <c r="AJ171" i="10"/>
  <c r="AK171" i="10" s="1"/>
  <c r="AJ151" i="10"/>
  <c r="AK151" i="10" s="1"/>
  <c r="AJ146" i="10"/>
  <c r="AK146" i="10" s="1"/>
  <c r="AJ67" i="10"/>
  <c r="AK67" i="10" s="1"/>
  <c r="AJ56" i="10"/>
  <c r="AK56" i="10" s="1"/>
  <c r="AJ42" i="10"/>
  <c r="AK42" i="10" s="1"/>
  <c r="AJ37" i="10"/>
  <c r="AK37" i="10" s="1"/>
  <c r="AJ19" i="10"/>
  <c r="AK19" i="10" s="1"/>
  <c r="AJ360" i="10"/>
  <c r="AK360" i="10" s="1"/>
  <c r="AJ268" i="10"/>
  <c r="AK268" i="10" s="1"/>
  <c r="AJ197" i="10"/>
  <c r="AK197" i="10" s="1"/>
  <c r="AJ132" i="10"/>
  <c r="AK132" i="10" s="1"/>
  <c r="AJ81" i="10"/>
  <c r="AK81" i="10" s="1"/>
  <c r="AJ31" i="10"/>
  <c r="AK31" i="10" s="1"/>
  <c r="AJ64" i="10"/>
  <c r="AK64" i="10" s="1"/>
  <c r="AJ303" i="10"/>
  <c r="AK303" i="10" s="1"/>
  <c r="AJ167" i="10"/>
  <c r="AK167" i="10" s="1"/>
  <c r="AJ32" i="10"/>
  <c r="AK32" i="10" s="1"/>
  <c r="AJ294" i="10"/>
  <c r="AK294" i="10" s="1"/>
  <c r="AJ270" i="10"/>
  <c r="AK270" i="10" s="1"/>
  <c r="AJ331" i="10"/>
  <c r="AK331" i="10" s="1"/>
  <c r="AJ301" i="10"/>
  <c r="AK301" i="10" s="1"/>
  <c r="AJ77" i="10"/>
  <c r="AK77" i="10" s="1"/>
  <c r="AJ195" i="10"/>
  <c r="AK195" i="10" s="1"/>
  <c r="AJ121" i="10"/>
  <c r="AK121" i="10" s="1"/>
  <c r="AJ264" i="10"/>
  <c r="AK264" i="10" s="1"/>
  <c r="AJ244" i="10"/>
  <c r="AK244" i="10" s="1"/>
  <c r="AJ236" i="10"/>
  <c r="AK236" i="10" s="1"/>
  <c r="AJ230" i="10"/>
  <c r="AK230" i="10" s="1"/>
  <c r="AJ129" i="10"/>
  <c r="AK129" i="10" s="1"/>
  <c r="AJ112" i="10"/>
  <c r="AK112" i="10" s="1"/>
  <c r="AJ11" i="10"/>
  <c r="AK11" i="10" s="1"/>
  <c r="AJ136" i="10"/>
  <c r="AK136" i="10" s="1"/>
  <c r="AJ7" i="10"/>
  <c r="AK7" i="10" s="1"/>
  <c r="AJ174" i="10"/>
  <c r="AK174" i="10" s="1"/>
  <c r="AJ170" i="10"/>
  <c r="AK170" i="10" s="1"/>
  <c r="AJ150" i="10"/>
  <c r="AK150" i="10" s="1"/>
  <c r="AJ145" i="10"/>
  <c r="AK145" i="10" s="1"/>
  <c r="AJ60" i="10"/>
  <c r="AK60" i="10" s="1"/>
  <c r="AJ55" i="10"/>
  <c r="AK55" i="10" s="1"/>
  <c r="AJ41" i="10"/>
  <c r="AK41" i="10" s="1"/>
  <c r="AJ9" i="10"/>
  <c r="AK9" i="10" s="1"/>
  <c r="AJ25" i="10"/>
  <c r="AK25" i="10" s="1"/>
  <c r="AJ207" i="10"/>
  <c r="AK207" i="10" s="1"/>
  <c r="AJ258" i="10"/>
  <c r="AK258" i="10" s="1"/>
  <c r="AJ193" i="10"/>
  <c r="AK193" i="10" s="1"/>
  <c r="AJ108" i="10"/>
  <c r="AK108" i="10" s="1"/>
  <c r="AJ47" i="10"/>
  <c r="AK47" i="10" s="1"/>
  <c r="AJ218" i="10"/>
  <c r="AK218" i="10" s="1"/>
  <c r="AJ30" i="10"/>
  <c r="AK30" i="10" s="1"/>
  <c r="AJ296" i="10"/>
  <c r="AK296" i="10" s="1"/>
  <c r="AJ238" i="10"/>
  <c r="AK238" i="10" s="1"/>
  <c r="AJ120" i="10"/>
  <c r="AK120" i="10" s="1"/>
  <c r="AJ76" i="10"/>
  <c r="AK76" i="10" s="1"/>
  <c r="AJ282" i="10"/>
  <c r="AK282" i="10" s="1"/>
  <c r="AJ317" i="10"/>
  <c r="AK317" i="10" s="1"/>
  <c r="AJ277" i="10"/>
  <c r="AK277" i="10" s="1"/>
  <c r="AJ73" i="10"/>
  <c r="AK73" i="10" s="1"/>
  <c r="AJ219" i="10"/>
  <c r="AK219" i="10" s="1"/>
  <c r="AJ168" i="10"/>
  <c r="AK168" i="10" s="1"/>
  <c r="AJ106" i="10"/>
  <c r="AK106" i="10" s="1"/>
  <c r="AJ260" i="10"/>
  <c r="AK260" i="10" s="1"/>
  <c r="AJ243" i="10"/>
  <c r="AK243" i="10" s="1"/>
  <c r="AJ235" i="10"/>
  <c r="AK235" i="10" s="1"/>
  <c r="AJ205" i="10"/>
  <c r="AK205" i="10" s="1"/>
  <c r="AJ128" i="10"/>
  <c r="AK128" i="10" s="1"/>
  <c r="AJ101" i="10"/>
  <c r="AK101" i="10" s="1"/>
  <c r="AJ10" i="10"/>
  <c r="AK10" i="10" s="1"/>
  <c r="AJ135" i="10"/>
  <c r="AK135" i="10" s="1"/>
  <c r="AJ185" i="10"/>
  <c r="AK185" i="10" s="1"/>
  <c r="AJ173" i="10"/>
  <c r="AK173" i="10" s="1"/>
  <c r="AJ169" i="10"/>
  <c r="AK169" i="10" s="1"/>
  <c r="AJ149" i="10"/>
  <c r="AK149" i="10" s="1"/>
  <c r="AJ88" i="10"/>
  <c r="AK88" i="10" s="1"/>
  <c r="AJ59" i="10"/>
  <c r="AK59" i="10" s="1"/>
  <c r="AJ54" i="10"/>
  <c r="AK54" i="10" s="1"/>
  <c r="AJ39" i="10"/>
  <c r="AK39" i="10" s="1"/>
  <c r="AJ13" i="10"/>
  <c r="AK13" i="10" s="1"/>
  <c r="AJ26" i="10"/>
  <c r="AK26" i="10" s="1"/>
  <c r="AJ196" i="10"/>
  <c r="AK196" i="10" s="1"/>
  <c r="AJ254" i="10"/>
  <c r="AK254" i="10" s="1"/>
  <c r="AJ166" i="10"/>
  <c r="AK166" i="10" s="1"/>
  <c r="AJ104" i="10"/>
  <c r="AK104" i="10" s="1"/>
  <c r="AJ43" i="10"/>
  <c r="AK43" i="10" s="1"/>
  <c r="AJ163" i="10"/>
  <c r="AK163" i="10" s="1"/>
  <c r="AJ358" i="10"/>
  <c r="AK358" i="10" s="1"/>
  <c r="AJ275" i="10"/>
  <c r="AK275" i="10" s="1"/>
  <c r="AJ222" i="10"/>
  <c r="AK222" i="10" s="1"/>
  <c r="AJ116" i="10"/>
  <c r="AK116" i="10" s="1"/>
  <c r="AJ325" i="10"/>
  <c r="AK325" i="10" s="1"/>
  <c r="AJ276" i="10"/>
  <c r="AK276" i="10" s="1"/>
  <c r="AJ256" i="10"/>
  <c r="AK256" i="10" s="1"/>
  <c r="AJ313" i="10"/>
  <c r="AK313" i="10" s="1"/>
  <c r="AJ257" i="10"/>
  <c r="AK257" i="10" s="1"/>
  <c r="AJ34" i="10"/>
  <c r="AK34" i="10" s="1"/>
  <c r="AJ210" i="10"/>
  <c r="AK210" i="10" s="1"/>
  <c r="AJ164" i="10"/>
  <c r="AK164" i="10" s="1"/>
  <c r="AJ45" i="10"/>
  <c r="AK45" i="10" s="1"/>
  <c r="AJ28" i="10"/>
  <c r="AK28" i="10" s="1"/>
  <c r="AJ17" i="10"/>
  <c r="AK17" i="10" s="1"/>
  <c r="AJ362" i="10"/>
  <c r="AK362" i="10" s="1"/>
  <c r="AJ351" i="10"/>
  <c r="AK351" i="10" s="1"/>
  <c r="AJ340" i="10"/>
  <c r="AK340" i="10" s="1"/>
  <c r="AJ330" i="10"/>
  <c r="AK330" i="10" s="1"/>
  <c r="AJ290" i="10"/>
  <c r="AK290" i="10" s="1"/>
  <c r="AJ274" i="10"/>
  <c r="AK274" i="10" s="1"/>
  <c r="AJ251" i="10"/>
  <c r="AK251" i="10" s="1"/>
  <c r="AJ240" i="10"/>
  <c r="AK240" i="10" s="1"/>
  <c r="AJ234" i="10"/>
  <c r="AK234" i="10" s="1"/>
  <c r="AJ204" i="10"/>
  <c r="AK204" i="10" s="1"/>
  <c r="AJ119" i="10"/>
  <c r="AK119" i="10" s="1"/>
  <c r="AJ99" i="10"/>
  <c r="AK99" i="10" s="1"/>
  <c r="AJ8" i="10"/>
  <c r="AK8" i="10" s="1"/>
  <c r="AJ22" i="10"/>
  <c r="AK22" i="10" s="1"/>
  <c r="AJ184" i="10"/>
  <c r="AK184" i="10" s="1"/>
  <c r="AJ172" i="10"/>
  <c r="AK172" i="10" s="1"/>
  <c r="AJ155" i="10"/>
  <c r="AK155" i="10" s="1"/>
  <c r="AJ147" i="10"/>
  <c r="AK147" i="10" s="1"/>
  <c r="AJ71" i="10"/>
  <c r="AK71" i="10" s="1"/>
  <c r="AJ58" i="10"/>
  <c r="AK58" i="10" s="1"/>
  <c r="AJ50" i="10"/>
  <c r="AK50" i="10" s="1"/>
  <c r="AJ38" i="10"/>
  <c r="AK38" i="10" s="1"/>
  <c r="AJ14" i="10"/>
  <c r="AK14" i="10" s="1"/>
  <c r="AJ357" i="10"/>
  <c r="AK357" i="10" s="1"/>
  <c r="AJ237" i="10"/>
  <c r="AK237" i="10" s="1"/>
  <c r="AJ141" i="10"/>
  <c r="AK141" i="10" s="1"/>
  <c r="AJ89" i="10"/>
  <c r="AK89" i="10" s="1"/>
  <c r="AJ35" i="10"/>
  <c r="AK35" i="10" s="1"/>
  <c r="AJ36" i="10"/>
  <c r="AK36" i="10" s="1"/>
  <c r="AJ342" i="10"/>
  <c r="AK342" i="10" s="1"/>
  <c r="AJ269" i="10"/>
  <c r="AK269" i="10" s="1"/>
  <c r="AJ179" i="10"/>
  <c r="AK179" i="10" s="1"/>
  <c r="AJ75" i="10"/>
  <c r="AK75" i="10" s="1"/>
  <c r="AJ320" i="10"/>
  <c r="AK320" i="10" s="1"/>
  <c r="AJ272" i="10"/>
  <c r="AK272" i="10" s="1"/>
  <c r="AJ356" i="10"/>
  <c r="AK356" i="10" s="1"/>
  <c r="AJ305" i="10"/>
  <c r="AK305" i="10" s="1"/>
  <c r="AJ253" i="10"/>
  <c r="AK253" i="10" s="1"/>
  <c r="AJ24" i="10"/>
  <c r="AK24" i="10" s="1"/>
  <c r="AJ206" i="10"/>
  <c r="AK206" i="10" s="1"/>
  <c r="AJ148" i="10"/>
  <c r="AK148" i="10" s="1"/>
  <c r="BI35" i="6"/>
  <c r="BI14" i="6"/>
  <c r="BI37" i="6"/>
  <c r="BI31" i="6"/>
  <c r="BI25" i="6"/>
  <c r="BI20" i="6"/>
  <c r="BI17" i="6"/>
  <c r="BI9" i="6"/>
  <c r="BI22" i="6"/>
  <c r="BI7" i="6"/>
  <c r="AX36" i="6"/>
  <c r="AY36" i="6" s="1"/>
  <c r="BB36" i="6" s="1"/>
  <c r="BC36" i="6" s="1"/>
  <c r="AX23" i="6"/>
  <c r="AY23" i="6" s="1"/>
  <c r="BB23" i="6" s="1"/>
  <c r="BC23" i="6" s="1"/>
  <c r="AX15" i="6"/>
  <c r="AY15" i="6" s="1"/>
  <c r="BB15" i="6" s="1"/>
  <c r="BC15" i="6" s="1"/>
  <c r="BD45" i="6"/>
  <c r="AX37" i="6"/>
  <c r="AY37" i="6" s="1"/>
  <c r="BB37" i="6" s="1"/>
  <c r="BC37" i="6" s="1"/>
  <c r="AX24" i="6"/>
  <c r="AY24" i="6" s="1"/>
  <c r="BB24" i="6" s="1"/>
  <c r="BC24" i="6" s="1"/>
  <c r="BD24" i="6" s="1"/>
  <c r="AX20" i="6"/>
  <c r="AY20" i="6" s="1"/>
  <c r="BB20" i="6" s="1"/>
  <c r="BC20" i="6" s="1"/>
  <c r="AX17" i="6"/>
  <c r="AY17" i="6" s="1"/>
  <c r="BB17" i="6" s="1"/>
  <c r="BC17" i="6" s="1"/>
  <c r="AY16" i="6"/>
  <c r="BB16" i="6" s="1"/>
  <c r="BC16" i="6" s="1"/>
  <c r="AX12" i="6"/>
  <c r="AY12" i="6" s="1"/>
  <c r="BB12" i="6" s="1"/>
  <c r="BC12" i="6" s="1"/>
  <c r="BD12" i="6" s="1"/>
  <c r="BB19" i="6"/>
  <c r="BC19" i="6" s="1"/>
  <c r="BB14" i="6"/>
  <c r="BC14" i="6" s="1"/>
  <c r="BD17" i="6" l="1"/>
  <c r="BD21" i="6"/>
  <c r="BD47" i="6"/>
  <c r="BD37" i="6"/>
  <c r="BE37" i="6" s="1"/>
  <c r="BF37" i="6" s="1"/>
  <c r="BG37" i="6" s="1"/>
  <c r="BH37" i="6" s="1"/>
  <c r="BD10" i="6"/>
  <c r="BD38" i="6"/>
  <c r="BD23" i="6"/>
  <c r="BD20" i="6"/>
  <c r="BE20" i="6" s="1"/>
  <c r="BF20" i="6" s="1"/>
  <c r="BG20" i="6" s="1"/>
  <c r="BH20" i="6" s="1"/>
  <c r="BD36" i="6"/>
  <c r="BD11" i="6"/>
  <c r="BE11" i="6" s="1"/>
  <c r="BF11" i="6" s="1"/>
  <c r="BG11" i="6" s="1"/>
  <c r="BH11" i="6" s="1"/>
  <c r="BD13" i="6"/>
  <c r="BD14" i="6"/>
  <c r="BD18" i="6"/>
  <c r="BD22" i="6"/>
  <c r="BE22" i="6" s="1"/>
  <c r="BF22" i="6" s="1"/>
  <c r="BG22" i="6" s="1"/>
  <c r="BH22" i="6" s="1"/>
  <c r="BD46" i="6"/>
  <c r="BE46" i="6" s="1"/>
  <c r="BF46" i="6" s="1"/>
  <c r="BG46" i="6" s="1"/>
  <c r="BH46" i="6" s="1"/>
  <c r="BJ46" i="6" s="1"/>
  <c r="BK46" i="6" s="1"/>
  <c r="BD19" i="6"/>
  <c r="BD35" i="6"/>
  <c r="BE35" i="6" s="1"/>
  <c r="BF35" i="6" s="1"/>
  <c r="BG35" i="6" s="1"/>
  <c r="BH35" i="6" s="1"/>
  <c r="BD39" i="6"/>
  <c r="BE39" i="6" s="1"/>
  <c r="BF39" i="6" s="1"/>
  <c r="BG39" i="6" s="1"/>
  <c r="BH39" i="6" s="1"/>
  <c r="BJ39" i="6" s="1"/>
  <c r="BK39" i="6" s="1"/>
  <c r="BD16" i="6"/>
  <c r="BD15" i="6"/>
  <c r="BD9" i="6"/>
  <c r="BE9" i="6" s="1"/>
  <c r="AF11" i="6"/>
  <c r="BE21" i="6"/>
  <c r="BF21" i="6" s="1"/>
  <c r="BG21" i="6" s="1"/>
  <c r="BH21" i="6" s="1"/>
  <c r="AL235" i="10"/>
  <c r="AM235" i="10" s="1"/>
  <c r="AN240" i="10" s="1"/>
  <c r="AP240" i="10" s="1"/>
  <c r="AL307" i="10"/>
  <c r="AM307" i="10" s="1"/>
  <c r="BI11" i="6"/>
  <c r="BA199" i="12"/>
  <c r="BB199" i="12" s="1"/>
  <c r="BC200" i="12" s="1"/>
  <c r="BE200" i="12" s="1"/>
  <c r="AL43" i="10"/>
  <c r="AM43" i="10" s="1"/>
  <c r="AN48" i="10" s="1"/>
  <c r="AP48" i="10" s="1"/>
  <c r="AL271" i="10"/>
  <c r="AM271" i="10" s="1"/>
  <c r="AN272" i="10" s="1"/>
  <c r="AP272" i="10" s="1"/>
  <c r="AL223" i="10"/>
  <c r="AM223" i="10" s="1"/>
  <c r="AN223" i="10" s="1"/>
  <c r="AL157" i="10"/>
  <c r="AM157" i="10" s="1"/>
  <c r="AN159" i="10" s="1"/>
  <c r="AP159" i="10" s="1"/>
  <c r="AL97" i="10"/>
  <c r="AM97" i="10" s="1"/>
  <c r="AN97" i="10" s="1"/>
  <c r="AL337" i="10"/>
  <c r="AM337" i="10" s="1"/>
  <c r="AL349" i="10"/>
  <c r="AM349" i="10" s="1"/>
  <c r="AL211" i="10"/>
  <c r="AM211" i="10" s="1"/>
  <c r="AN213" i="10" s="1"/>
  <c r="AP213" i="10" s="1"/>
  <c r="AL133" i="10"/>
  <c r="AM133" i="10" s="1"/>
  <c r="AN135" i="10" s="1"/>
  <c r="AP135" i="10" s="1"/>
  <c r="AL175" i="10"/>
  <c r="AM175" i="10" s="1"/>
  <c r="AN177" i="10" s="1"/>
  <c r="AP177" i="10" s="1"/>
  <c r="AL247" i="10"/>
  <c r="AM247" i="10" s="1"/>
  <c r="AN252" i="10" s="1"/>
  <c r="AP252" i="10" s="1"/>
  <c r="AL313" i="10"/>
  <c r="AM313" i="10" s="1"/>
  <c r="AN318" i="10" s="1"/>
  <c r="AP318" i="10" s="1"/>
  <c r="AL115" i="10"/>
  <c r="AM115" i="10" s="1"/>
  <c r="AN120" i="10" s="1"/>
  <c r="AP120" i="10" s="1"/>
  <c r="AL205" i="10"/>
  <c r="AM205" i="10" s="1"/>
  <c r="AL277" i="10"/>
  <c r="AM277" i="10" s="1"/>
  <c r="AL121" i="10"/>
  <c r="AM121" i="10" s="1"/>
  <c r="AN123" i="10" s="1"/>
  <c r="AP123" i="10" s="1"/>
  <c r="AL331" i="10"/>
  <c r="AM331" i="10" s="1"/>
  <c r="AN336" i="10" s="1"/>
  <c r="AP336" i="10" s="1"/>
  <c r="AL79" i="10"/>
  <c r="AM79" i="10" s="1"/>
  <c r="AL145" i="10"/>
  <c r="AM145" i="10" s="1"/>
  <c r="AN147" i="10" s="1"/>
  <c r="AP147" i="10" s="1"/>
  <c r="AL361" i="10"/>
  <c r="AM361" i="10" s="1"/>
  <c r="AN365" i="10" s="1"/>
  <c r="AP365" i="10" s="1"/>
  <c r="AL289" i="10"/>
  <c r="AM289" i="10" s="1"/>
  <c r="AN291" i="10" s="1"/>
  <c r="AP291" i="10" s="1"/>
  <c r="AL13" i="10"/>
  <c r="AM13" i="10" s="1"/>
  <c r="AL193" i="10"/>
  <c r="AM193" i="10" s="1"/>
  <c r="AL127" i="10"/>
  <c r="AM127" i="10" s="1"/>
  <c r="AN131" i="10" s="1"/>
  <c r="AP131" i="10" s="1"/>
  <c r="AL181" i="10"/>
  <c r="AM181" i="10" s="1"/>
  <c r="AN183" i="10" s="1"/>
  <c r="AP183" i="10" s="1"/>
  <c r="AL283" i="10"/>
  <c r="AM283" i="10" s="1"/>
  <c r="AN288" i="10" s="1"/>
  <c r="AP288" i="10" s="1"/>
  <c r="AL187" i="10"/>
  <c r="AM187" i="10" s="1"/>
  <c r="AN189" i="10" s="1"/>
  <c r="AP189" i="10" s="1"/>
  <c r="AL139" i="10"/>
  <c r="AM139" i="10" s="1"/>
  <c r="AN141" i="10" s="1"/>
  <c r="AP141" i="10" s="1"/>
  <c r="AL319" i="10"/>
  <c r="AM319" i="10" s="1"/>
  <c r="AN324" i="10" s="1"/>
  <c r="AP324" i="10" s="1"/>
  <c r="AL343" i="10"/>
  <c r="AM343" i="10" s="1"/>
  <c r="AL151" i="10"/>
  <c r="AM151" i="10" s="1"/>
  <c r="AL325" i="10"/>
  <c r="AM325" i="10" s="1"/>
  <c r="AN327" i="10" s="1"/>
  <c r="AP327" i="10" s="1"/>
  <c r="AL109" i="10"/>
  <c r="AM109" i="10" s="1"/>
  <c r="AN109" i="10" s="1"/>
  <c r="AL85" i="10"/>
  <c r="AM85" i="10" s="1"/>
  <c r="AN87" i="10" s="1"/>
  <c r="AP87" i="10" s="1"/>
  <c r="AL49" i="10"/>
  <c r="AM49" i="10" s="1"/>
  <c r="AN54" i="10" s="1"/>
  <c r="AP54" i="10" s="1"/>
  <c r="AL7" i="10"/>
  <c r="AM7" i="10" s="1"/>
  <c r="AO9" i="10" s="1"/>
  <c r="AQ9" i="10" s="1"/>
  <c r="AL163" i="10"/>
  <c r="AM163" i="10" s="1"/>
  <c r="AN163" i="10" s="1"/>
  <c r="AL55" i="10"/>
  <c r="AM55" i="10" s="1"/>
  <c r="AL169" i="10"/>
  <c r="AM169" i="10" s="1"/>
  <c r="AL217" i="10"/>
  <c r="AM217" i="10" s="1"/>
  <c r="AN222" i="10" s="1"/>
  <c r="AP222" i="10" s="1"/>
  <c r="AL67" i="10"/>
  <c r="AM67" i="10" s="1"/>
  <c r="AN72" i="10" s="1"/>
  <c r="AP72" i="10" s="1"/>
  <c r="AL355" i="10"/>
  <c r="AM355" i="10" s="1"/>
  <c r="AN360" i="10" s="1"/>
  <c r="AP360" i="10" s="1"/>
  <c r="AL241" i="10"/>
  <c r="AM241" i="10" s="1"/>
  <c r="AN245" i="10" s="1"/>
  <c r="AP245" i="10" s="1"/>
  <c r="AL259" i="10"/>
  <c r="AM259" i="10" s="1"/>
  <c r="AN261" i="10" s="1"/>
  <c r="AP261" i="10" s="1"/>
  <c r="AL199" i="10"/>
  <c r="AM199" i="10" s="1"/>
  <c r="AN200" i="10" s="1"/>
  <c r="AP200" i="10" s="1"/>
  <c r="AL103" i="10"/>
  <c r="AM103" i="10" s="1"/>
  <c r="AL295" i="10"/>
  <c r="AM295" i="10" s="1"/>
  <c r="AL25" i="10"/>
  <c r="AM25" i="10" s="1"/>
  <c r="AO25" i="10" s="1"/>
  <c r="AQ25" i="10" s="1"/>
  <c r="AL37" i="10"/>
  <c r="AM37" i="10" s="1"/>
  <c r="AN42" i="10" s="1"/>
  <c r="AP42" i="10" s="1"/>
  <c r="AL73" i="10"/>
  <c r="AM73" i="10" s="1"/>
  <c r="AN73" i="10" s="1"/>
  <c r="AL19" i="10"/>
  <c r="AM19" i="10" s="1"/>
  <c r="AO20" i="10" s="1"/>
  <c r="AQ20" i="10" s="1"/>
  <c r="AL61" i="10"/>
  <c r="AM61" i="10" s="1"/>
  <c r="AN61" i="10" s="1"/>
  <c r="AP61" i="10" s="1"/>
  <c r="AL229" i="10"/>
  <c r="AM229" i="10" s="1"/>
  <c r="AN233" i="10" s="1"/>
  <c r="AP233" i="10" s="1"/>
  <c r="AL265" i="10"/>
  <c r="AM265" i="10" s="1"/>
  <c r="AL91" i="10"/>
  <c r="AM91" i="10" s="1"/>
  <c r="AN96" i="10" s="1"/>
  <c r="AP96" i="10" s="1"/>
  <c r="AL31" i="10"/>
  <c r="AM31" i="10" s="1"/>
  <c r="AN31" i="10" s="1"/>
  <c r="BE12" i="6"/>
  <c r="BF12" i="6" s="1"/>
  <c r="BG12" i="6" s="1"/>
  <c r="BH12" i="6" s="1"/>
  <c r="BJ12" i="6" s="1"/>
  <c r="BK12" i="6" s="1"/>
  <c r="AL301" i="10"/>
  <c r="AM301" i="10" s="1"/>
  <c r="BA7" i="12"/>
  <c r="BB7" i="12" s="1"/>
  <c r="BC7" i="12" s="1"/>
  <c r="BE7" i="12" s="1"/>
  <c r="BA181" i="12"/>
  <c r="BB181" i="12" s="1"/>
  <c r="BC182" i="12" s="1"/>
  <c r="BE182" i="12" s="1"/>
  <c r="BA325" i="12"/>
  <c r="BB325" i="12" s="1"/>
  <c r="BD330" i="12" s="1"/>
  <c r="BF330" i="12" s="1"/>
  <c r="BA307" i="12"/>
  <c r="BB307" i="12" s="1"/>
  <c r="BA97" i="12"/>
  <c r="BB97" i="12" s="1"/>
  <c r="BC101" i="12" s="1"/>
  <c r="BE101" i="12" s="1"/>
  <c r="BA13" i="12"/>
  <c r="BB13" i="12" s="1"/>
  <c r="BD18" i="12" s="1"/>
  <c r="BF18" i="12" s="1"/>
  <c r="BA205" i="12"/>
  <c r="BB205" i="12" s="1"/>
  <c r="BD209" i="12" s="1"/>
  <c r="BF209" i="12" s="1"/>
  <c r="BA127" i="12"/>
  <c r="BB127" i="12" s="1"/>
  <c r="BC129" i="12" s="1"/>
  <c r="BE129" i="12" s="1"/>
  <c r="BA301" i="12"/>
  <c r="BB301" i="12" s="1"/>
  <c r="BC304" i="12" s="1"/>
  <c r="BE304" i="12" s="1"/>
  <c r="BA223" i="12"/>
  <c r="BB223" i="12" s="1"/>
  <c r="BC223" i="12" s="1"/>
  <c r="BE223" i="12" s="1"/>
  <c r="BG223" i="12" s="1"/>
  <c r="BA163" i="12"/>
  <c r="BB163" i="12" s="1"/>
  <c r="BC165" i="12" s="1"/>
  <c r="BE165" i="12" s="1"/>
  <c r="BA31" i="12"/>
  <c r="BB31" i="12" s="1"/>
  <c r="AN92" i="10"/>
  <c r="AN33" i="10"/>
  <c r="AP33" i="10" s="1"/>
  <c r="BC312" i="12"/>
  <c r="BE312" i="12" s="1"/>
  <c r="BA121" i="12"/>
  <c r="BB121" i="12" s="1"/>
  <c r="BA103" i="12"/>
  <c r="BB103" i="12" s="1"/>
  <c r="BA295" i="12"/>
  <c r="BB295" i="12" s="1"/>
  <c r="BA25" i="12"/>
  <c r="BB25" i="12" s="1"/>
  <c r="BA229" i="12"/>
  <c r="BB229" i="12" s="1"/>
  <c r="BA145" i="12"/>
  <c r="BB145" i="12" s="1"/>
  <c r="BA331" i="12"/>
  <c r="BB331" i="12" s="1"/>
  <c r="BA133" i="12"/>
  <c r="BB133" i="12" s="1"/>
  <c r="BC32" i="12"/>
  <c r="BE32" i="12" s="1"/>
  <c r="BA157" i="12"/>
  <c r="BB157" i="12" s="1"/>
  <c r="BA253" i="12"/>
  <c r="BB253" i="12" s="1"/>
  <c r="BA217" i="12"/>
  <c r="BB217" i="12" s="1"/>
  <c r="BA115" i="12"/>
  <c r="BB115" i="12" s="1"/>
  <c r="BA289" i="12"/>
  <c r="BB289" i="12" s="1"/>
  <c r="BA343" i="12"/>
  <c r="BB343" i="12" s="1"/>
  <c r="AL253" i="10"/>
  <c r="AM253" i="10" s="1"/>
  <c r="BA151" i="12"/>
  <c r="BB151" i="12" s="1"/>
  <c r="BA283" i="12"/>
  <c r="BB283" i="12" s="1"/>
  <c r="BA139" i="12"/>
  <c r="BB139" i="12" s="1"/>
  <c r="BA271" i="12"/>
  <c r="BB271" i="12" s="1"/>
  <c r="BA193" i="12"/>
  <c r="BB193" i="12" s="1"/>
  <c r="BA37" i="12"/>
  <c r="BB37" i="12" s="1"/>
  <c r="BA313" i="12"/>
  <c r="BB313" i="12" s="1"/>
  <c r="BA211" i="12"/>
  <c r="BB211" i="12" s="1"/>
  <c r="BA241" i="12"/>
  <c r="BB241" i="12" s="1"/>
  <c r="BA277" i="12"/>
  <c r="BB277" i="12" s="1"/>
  <c r="BA187" i="12"/>
  <c r="BB187" i="12" s="1"/>
  <c r="BA349" i="12"/>
  <c r="BB349" i="12" s="1"/>
  <c r="BA79" i="12"/>
  <c r="BB79" i="12" s="1"/>
  <c r="BA337" i="12"/>
  <c r="BB337" i="12" s="1"/>
  <c r="BA43" i="12"/>
  <c r="BB43" i="12" s="1"/>
  <c r="BA67" i="12"/>
  <c r="BB67" i="12" s="1"/>
  <c r="BA169" i="12"/>
  <c r="BB169" i="12" s="1"/>
  <c r="BA235" i="12"/>
  <c r="BB235" i="12" s="1"/>
  <c r="BA361" i="12"/>
  <c r="BB361" i="12" s="1"/>
  <c r="BA91" i="12"/>
  <c r="BB91" i="12" s="1"/>
  <c r="BA259" i="12"/>
  <c r="BB259" i="12" s="1"/>
  <c r="BA265" i="12"/>
  <c r="BB265" i="12" s="1"/>
  <c r="BA175" i="12"/>
  <c r="BB175" i="12" s="1"/>
  <c r="BD201" i="12"/>
  <c r="BF201" i="12" s="1"/>
  <c r="BD202" i="12"/>
  <c r="BF202" i="12" s="1"/>
  <c r="BA49" i="12"/>
  <c r="BB49" i="12" s="1"/>
  <c r="BA247" i="12"/>
  <c r="BB247" i="12" s="1"/>
  <c r="BA319" i="12"/>
  <c r="BB319" i="12" s="1"/>
  <c r="BA73" i="12"/>
  <c r="BB73" i="12" s="1"/>
  <c r="BA55" i="12"/>
  <c r="BB55" i="12" s="1"/>
  <c r="BA61" i="12"/>
  <c r="BB61" i="12" s="1"/>
  <c r="BA109" i="12"/>
  <c r="BB109" i="12" s="1"/>
  <c r="BA355" i="12"/>
  <c r="BB355" i="12" s="1"/>
  <c r="BA19" i="12"/>
  <c r="BB19" i="12" s="1"/>
  <c r="BA85" i="12"/>
  <c r="BB85" i="12" s="1"/>
  <c r="AN309" i="10"/>
  <c r="AP309" i="10" s="1"/>
  <c r="AN312" i="10"/>
  <c r="AN308" i="10"/>
  <c r="AP308" i="10" s="1"/>
  <c r="AN311" i="10"/>
  <c r="AP311" i="10" s="1"/>
  <c r="AN307" i="10"/>
  <c r="AP307" i="10" s="1"/>
  <c r="AN310" i="10"/>
  <c r="AP310" i="10" s="1"/>
  <c r="AN249" i="10"/>
  <c r="AP249" i="10" s="1"/>
  <c r="AN148" i="10"/>
  <c r="AP148" i="10" s="1"/>
  <c r="AN353" i="10"/>
  <c r="AP353" i="10" s="1"/>
  <c r="AN349" i="10"/>
  <c r="AP349" i="10" s="1"/>
  <c r="AR349" i="10" s="1"/>
  <c r="AN352" i="10"/>
  <c r="AP352" i="10" s="1"/>
  <c r="AN351" i="10"/>
  <c r="AP351" i="10" s="1"/>
  <c r="AN354" i="10"/>
  <c r="AP354" i="10" s="1"/>
  <c r="AN350" i="10"/>
  <c r="AP350" i="10" s="1"/>
  <c r="AN227" i="10"/>
  <c r="AP227" i="10" s="1"/>
  <c r="AN265" i="10"/>
  <c r="AP265" i="10" s="1"/>
  <c r="AN267" i="10"/>
  <c r="AP267" i="10" s="1"/>
  <c r="AN270" i="10"/>
  <c r="AP270" i="10" s="1"/>
  <c r="AN108" i="10"/>
  <c r="AP108" i="10" s="1"/>
  <c r="AN107" i="10"/>
  <c r="AP107" i="10" s="1"/>
  <c r="AN106" i="10"/>
  <c r="AP106" i="10" s="1"/>
  <c r="AN173" i="10"/>
  <c r="AP173" i="10" s="1"/>
  <c r="AN169" i="10"/>
  <c r="AN172" i="10"/>
  <c r="AP172" i="10" s="1"/>
  <c r="AN171" i="10"/>
  <c r="AP171" i="10" s="1"/>
  <c r="AN170" i="10"/>
  <c r="AP170" i="10" s="1"/>
  <c r="AN174" i="10"/>
  <c r="AP174" i="10" s="1"/>
  <c r="AN286" i="10"/>
  <c r="AP286" i="10" s="1"/>
  <c r="AN325" i="10"/>
  <c r="AP325" i="10" s="1"/>
  <c r="AN281" i="10"/>
  <c r="AP281" i="10" s="1"/>
  <c r="AN277" i="10"/>
  <c r="AN280" i="10"/>
  <c r="AP280" i="10" s="1"/>
  <c r="AN279" i="10"/>
  <c r="AP279" i="10" s="1"/>
  <c r="AN282" i="10"/>
  <c r="AP282" i="10" s="1"/>
  <c r="AN278" i="10"/>
  <c r="AP278" i="10" s="1"/>
  <c r="AO24" i="10"/>
  <c r="AQ24" i="10" s="1"/>
  <c r="AN20" i="10"/>
  <c r="AP20" i="10" s="1"/>
  <c r="AN359" i="10"/>
  <c r="AP359" i="10" s="1"/>
  <c r="AN358" i="10"/>
  <c r="AP358" i="10" s="1"/>
  <c r="AN84" i="10"/>
  <c r="AP84" i="10" s="1"/>
  <c r="AN83" i="10"/>
  <c r="AP83" i="10" s="1"/>
  <c r="AN82" i="10"/>
  <c r="AP82" i="10" s="1"/>
  <c r="AN348" i="10"/>
  <c r="AP348" i="10" s="1"/>
  <c r="AN347" i="10"/>
  <c r="AP347" i="10" s="1"/>
  <c r="AN346" i="10"/>
  <c r="AP346" i="10" s="1"/>
  <c r="AN86" i="10"/>
  <c r="AP86" i="10" s="1"/>
  <c r="AN337" i="10"/>
  <c r="AP337" i="10" s="1"/>
  <c r="AR337" i="10" s="1"/>
  <c r="AN339" i="10"/>
  <c r="AP339" i="10" s="1"/>
  <c r="AN338" i="10"/>
  <c r="AP338" i="10" s="1"/>
  <c r="AN153" i="10"/>
  <c r="AP153" i="10" s="1"/>
  <c r="AN156" i="10"/>
  <c r="AP156" i="10" s="1"/>
  <c r="AN152" i="10"/>
  <c r="AP152" i="10" s="1"/>
  <c r="AN155" i="10"/>
  <c r="AP155" i="10" s="1"/>
  <c r="AN151" i="10"/>
  <c r="AN154" i="10"/>
  <c r="AP154" i="10" s="1"/>
  <c r="AN273" i="10"/>
  <c r="AP273" i="10" s="1"/>
  <c r="AN276" i="10"/>
  <c r="AP276" i="10" s="1"/>
  <c r="AN297" i="10"/>
  <c r="AP297" i="10" s="1"/>
  <c r="AN300" i="10"/>
  <c r="AP300" i="10" s="1"/>
  <c r="AN296" i="10"/>
  <c r="AP296" i="10" s="1"/>
  <c r="AN299" i="10"/>
  <c r="AP299" i="10" s="1"/>
  <c r="AN295" i="10"/>
  <c r="AN298" i="10"/>
  <c r="AP298" i="10" s="1"/>
  <c r="AN209" i="10"/>
  <c r="AP209" i="10" s="1"/>
  <c r="AN208" i="10"/>
  <c r="AP208" i="10" s="1"/>
  <c r="AN210" i="10"/>
  <c r="AP210" i="10" s="1"/>
  <c r="AN197" i="10"/>
  <c r="AP197" i="10" s="1"/>
  <c r="AN193" i="10"/>
  <c r="AN196" i="10"/>
  <c r="AP196" i="10" s="1"/>
  <c r="AN195" i="10"/>
  <c r="AP195" i="10" s="1"/>
  <c r="AN198" i="10"/>
  <c r="AP198" i="10" s="1"/>
  <c r="AN194" i="10"/>
  <c r="AP194" i="10" s="1"/>
  <c r="AN237" i="10"/>
  <c r="AP237" i="10" s="1"/>
  <c r="AN239" i="10"/>
  <c r="AP239" i="10" s="1"/>
  <c r="AN235" i="10"/>
  <c r="AN58" i="10"/>
  <c r="AP58" i="10" s="1"/>
  <c r="AN57" i="10"/>
  <c r="AP57" i="10" s="1"/>
  <c r="AN56" i="10"/>
  <c r="AP56" i="10" s="1"/>
  <c r="AO17" i="10"/>
  <c r="AQ17" i="10" s="1"/>
  <c r="AO16" i="10"/>
  <c r="AQ16" i="10" s="1"/>
  <c r="AO18" i="10"/>
  <c r="AQ18" i="10" s="1"/>
  <c r="AN14" i="10"/>
  <c r="AP14" i="10" s="1"/>
  <c r="AO14" i="10"/>
  <c r="AQ14" i="10" s="1"/>
  <c r="AN13" i="10"/>
  <c r="AN29" i="10"/>
  <c r="AP29" i="10" s="1"/>
  <c r="AN52" i="10"/>
  <c r="AP52" i="10" s="1"/>
  <c r="AN305" i="10"/>
  <c r="AP305" i="10" s="1"/>
  <c r="AN306" i="10"/>
  <c r="AP306" i="10" s="1"/>
  <c r="AP312" i="10"/>
  <c r="AP92" i="10"/>
  <c r="BE25" i="6"/>
  <c r="BF25" i="6" s="1"/>
  <c r="BG25" i="6" s="1"/>
  <c r="BH25" i="6" s="1"/>
  <c r="BE17" i="6"/>
  <c r="BF17" i="6" s="1"/>
  <c r="BG17" i="6" s="1"/>
  <c r="BH17" i="6" s="1"/>
  <c r="BE14" i="6"/>
  <c r="BF14" i="6" s="1"/>
  <c r="BG14" i="6" s="1"/>
  <c r="BH14" i="6" s="1"/>
  <c r="BE31" i="6"/>
  <c r="BF31" i="6" s="1"/>
  <c r="BG31" i="6" s="1"/>
  <c r="BH31" i="6" s="1"/>
  <c r="BD302" i="12" l="1"/>
  <c r="BF302" i="12" s="1"/>
  <c r="BC303" i="12"/>
  <c r="BE303" i="12" s="1"/>
  <c r="BC10" i="12"/>
  <c r="BE10" i="12" s="1"/>
  <c r="AN242" i="10"/>
  <c r="AP242" i="10" s="1"/>
  <c r="AN228" i="10"/>
  <c r="AP228" i="10" s="1"/>
  <c r="AN175" i="10"/>
  <c r="BC301" i="12"/>
  <c r="BE301" i="12" s="1"/>
  <c r="BG301" i="12" s="1"/>
  <c r="BD12" i="12"/>
  <c r="BF12" i="12" s="1"/>
  <c r="AN51" i="10"/>
  <c r="AP51" i="10" s="1"/>
  <c r="AN24" i="10"/>
  <c r="AP24" i="10" s="1"/>
  <c r="AN49" i="10"/>
  <c r="AP49" i="10" s="1"/>
  <c r="AN190" i="10"/>
  <c r="AP190" i="10" s="1"/>
  <c r="AN23" i="10"/>
  <c r="AP23" i="10" s="1"/>
  <c r="AN287" i="10"/>
  <c r="AP287" i="10" s="1"/>
  <c r="AN271" i="10"/>
  <c r="AN85" i="10"/>
  <c r="AN187" i="10"/>
  <c r="AN78" i="10"/>
  <c r="AP78" i="10" s="1"/>
  <c r="AN21" i="10"/>
  <c r="AP21" i="10" s="1"/>
  <c r="AN246" i="10"/>
  <c r="AP246" i="10" s="1"/>
  <c r="AN225" i="10"/>
  <c r="AP225" i="10" s="1"/>
  <c r="AN176" i="10"/>
  <c r="AP176" i="10" s="1"/>
  <c r="AN250" i="10"/>
  <c r="AP250" i="10" s="1"/>
  <c r="BC9" i="12"/>
  <c r="BE9" i="12" s="1"/>
  <c r="AN224" i="10"/>
  <c r="AP224" i="10" s="1"/>
  <c r="AN274" i="10"/>
  <c r="AP274" i="10" s="1"/>
  <c r="AN149" i="10"/>
  <c r="AP149" i="10" s="1"/>
  <c r="AN53" i="10"/>
  <c r="AP53" i="10" s="1"/>
  <c r="AN50" i="10"/>
  <c r="AP50" i="10" s="1"/>
  <c r="AN275" i="10"/>
  <c r="AP275" i="10" s="1"/>
  <c r="AN191" i="10"/>
  <c r="AP191" i="10" s="1"/>
  <c r="AN75" i="10"/>
  <c r="AP75" i="10" s="1"/>
  <c r="AN22" i="10"/>
  <c r="AP22" i="10" s="1"/>
  <c r="AN243" i="10"/>
  <c r="AP243" i="10" s="1"/>
  <c r="AN247" i="10"/>
  <c r="AO21" i="10"/>
  <c r="AQ21" i="10" s="1"/>
  <c r="AN145" i="10"/>
  <c r="AP145" i="10" s="1"/>
  <c r="AN188" i="10"/>
  <c r="AP188" i="10" s="1"/>
  <c r="AO19" i="10"/>
  <c r="AQ19" i="10" s="1"/>
  <c r="AN244" i="10"/>
  <c r="AP244" i="10" s="1"/>
  <c r="AN146" i="10"/>
  <c r="AP146" i="10" s="1"/>
  <c r="AN251" i="10"/>
  <c r="AP251" i="10" s="1"/>
  <c r="AN192" i="10"/>
  <c r="AP192" i="10" s="1"/>
  <c r="AN19" i="10"/>
  <c r="AO23" i="10"/>
  <c r="AQ23" i="10" s="1"/>
  <c r="AN241" i="10"/>
  <c r="AP241" i="10" s="1"/>
  <c r="AN226" i="10"/>
  <c r="AP226" i="10" s="1"/>
  <c r="AN150" i="10"/>
  <c r="AP150" i="10" s="1"/>
  <c r="AN248" i="10"/>
  <c r="AP248" i="10" s="1"/>
  <c r="AO22" i="10"/>
  <c r="AQ22" i="10" s="1"/>
  <c r="BC12" i="12"/>
  <c r="BE12" i="12" s="1"/>
  <c r="AN363" i="10"/>
  <c r="AP363" i="10" s="1"/>
  <c r="AN364" i="10"/>
  <c r="AP364" i="10" s="1"/>
  <c r="AN260" i="10"/>
  <c r="AP260" i="10" s="1"/>
  <c r="BC100" i="12"/>
  <c r="BE100" i="12" s="1"/>
  <c r="AO151" i="10"/>
  <c r="AQ151" i="10" s="1"/>
  <c r="AN26" i="10"/>
  <c r="AP26" i="10" s="1"/>
  <c r="AN236" i="10"/>
  <c r="AP236" i="10" s="1"/>
  <c r="AN315" i="10"/>
  <c r="AP315" i="10" s="1"/>
  <c r="AN211" i="10"/>
  <c r="AP211" i="10" s="1"/>
  <c r="BD199" i="12"/>
  <c r="BF199" i="12" s="1"/>
  <c r="BH199" i="12" s="1"/>
  <c r="BD203" i="12"/>
  <c r="BF203" i="12" s="1"/>
  <c r="AN30" i="10"/>
  <c r="AP30" i="10" s="1"/>
  <c r="AN238" i="10"/>
  <c r="AP238" i="10" s="1"/>
  <c r="AN121" i="10"/>
  <c r="AN313" i="10"/>
  <c r="AP313" i="10" s="1"/>
  <c r="AN219" i="10"/>
  <c r="AP219" i="10" s="1"/>
  <c r="AN157" i="10"/>
  <c r="BD204" i="12"/>
  <c r="BF204" i="12" s="1"/>
  <c r="BD306" i="12"/>
  <c r="BF306" i="12" s="1"/>
  <c r="AN25" i="10"/>
  <c r="AN259" i="10"/>
  <c r="AP259" i="10" s="1"/>
  <c r="AN139" i="10"/>
  <c r="AN132" i="10"/>
  <c r="AP132" i="10" s="1"/>
  <c r="AN217" i="10"/>
  <c r="AN62" i="10"/>
  <c r="AP62" i="10" s="1"/>
  <c r="BC204" i="12"/>
  <c r="BE204" i="12" s="1"/>
  <c r="BC98" i="12"/>
  <c r="BE98" i="12" s="1"/>
  <c r="AN94" i="10"/>
  <c r="AP94" i="10" s="1"/>
  <c r="AN366" i="10"/>
  <c r="AP366" i="10" s="1"/>
  <c r="AN361" i="10"/>
  <c r="AN140" i="10"/>
  <c r="AP140" i="10" s="1"/>
  <c r="AN126" i="10"/>
  <c r="AP126" i="10" s="1"/>
  <c r="AN130" i="10"/>
  <c r="AP130" i="10" s="1"/>
  <c r="AN326" i="10"/>
  <c r="AP326" i="10" s="1"/>
  <c r="AN158" i="10"/>
  <c r="AP158" i="10" s="1"/>
  <c r="AN64" i="10"/>
  <c r="AP64" i="10" s="1"/>
  <c r="AN212" i="10"/>
  <c r="AP212" i="10" s="1"/>
  <c r="BD200" i="12"/>
  <c r="BF200" i="12" s="1"/>
  <c r="BC199" i="12"/>
  <c r="BE199" i="12" s="1"/>
  <c r="BG199" i="12" s="1"/>
  <c r="BC202" i="12"/>
  <c r="BE202" i="12" s="1"/>
  <c r="AN28" i="10"/>
  <c r="AP28" i="10" s="1"/>
  <c r="AO30" i="10"/>
  <c r="AQ30" i="10" s="1"/>
  <c r="AO27" i="10"/>
  <c r="AQ27" i="10" s="1"/>
  <c r="AN362" i="10"/>
  <c r="AP362" i="10" s="1"/>
  <c r="AO26" i="10"/>
  <c r="AQ26" i="10" s="1"/>
  <c r="AN27" i="10"/>
  <c r="AP27" i="10" s="1"/>
  <c r="BC201" i="12"/>
  <c r="BE201" i="12" s="1"/>
  <c r="BC203" i="12"/>
  <c r="BE203" i="12" s="1"/>
  <c r="BC306" i="12"/>
  <c r="BE306" i="12" s="1"/>
  <c r="BC302" i="12"/>
  <c r="BE302" i="12" s="1"/>
  <c r="BC8" i="12"/>
  <c r="BE8" i="12" s="1"/>
  <c r="AN102" i="10"/>
  <c r="AP102" i="10" s="1"/>
  <c r="AN45" i="10"/>
  <c r="AP45" i="10" s="1"/>
  <c r="BC14" i="12"/>
  <c r="BE14" i="12" s="1"/>
  <c r="BD301" i="12"/>
  <c r="BF301" i="12" s="1"/>
  <c r="BH301" i="12" s="1"/>
  <c r="BI301" i="12" s="1"/>
  <c r="BD305" i="12"/>
  <c r="BF305" i="12" s="1"/>
  <c r="BD99" i="12"/>
  <c r="BF99" i="12" s="1"/>
  <c r="BC11" i="12"/>
  <c r="BE11" i="12" s="1"/>
  <c r="BD10" i="12"/>
  <c r="BF10" i="12" s="1"/>
  <c r="BD303" i="12"/>
  <c r="BF303" i="12" s="1"/>
  <c r="BC305" i="12"/>
  <c r="BE305" i="12" s="1"/>
  <c r="BD304" i="12"/>
  <c r="BF304" i="12" s="1"/>
  <c r="BD14" i="12"/>
  <c r="BF14" i="12" s="1"/>
  <c r="BD98" i="12"/>
  <c r="BF98" i="12" s="1"/>
  <c r="BD11" i="12"/>
  <c r="BF11" i="12" s="1"/>
  <c r="BD7" i="12"/>
  <c r="BF7" i="12" s="1"/>
  <c r="BD9" i="12"/>
  <c r="BF9" i="12" s="1"/>
  <c r="BC210" i="12"/>
  <c r="BE210" i="12" s="1"/>
  <c r="AN113" i="10"/>
  <c r="AP113" i="10" s="1"/>
  <c r="AN47" i="10"/>
  <c r="AP47" i="10" s="1"/>
  <c r="AN46" i="10"/>
  <c r="AP46" i="10" s="1"/>
  <c r="AN43" i="10"/>
  <c r="AN44" i="10"/>
  <c r="AP44" i="10" s="1"/>
  <c r="BD102" i="12"/>
  <c r="BF102" i="12" s="1"/>
  <c r="BD8" i="12"/>
  <c r="BF8" i="12" s="1"/>
  <c r="BD101" i="12"/>
  <c r="BF101" i="12" s="1"/>
  <c r="BD97" i="12"/>
  <c r="BF97" i="12" s="1"/>
  <c r="BH97" i="12" s="1"/>
  <c r="BD206" i="12"/>
  <c r="BF206" i="12" s="1"/>
  <c r="BC99" i="12"/>
  <c r="BE99" i="12" s="1"/>
  <c r="BD100" i="12"/>
  <c r="BF100" i="12" s="1"/>
  <c r="AN204" i="10"/>
  <c r="AP204" i="10" s="1"/>
  <c r="BD207" i="12"/>
  <c r="BF207" i="12" s="1"/>
  <c r="BC97" i="12"/>
  <c r="BE97" i="12" s="1"/>
  <c r="BG97" i="12" s="1"/>
  <c r="BC166" i="12"/>
  <c r="BE166" i="12" s="1"/>
  <c r="BC102" i="12"/>
  <c r="BE102" i="12" s="1"/>
  <c r="BC325" i="12"/>
  <c r="BE325" i="12" s="1"/>
  <c r="BG325" i="12" s="1"/>
  <c r="BD163" i="12"/>
  <c r="BF163" i="12" s="1"/>
  <c r="BH163" i="12" s="1"/>
  <c r="BD329" i="12"/>
  <c r="BF329" i="12" s="1"/>
  <c r="BD168" i="12"/>
  <c r="BF168" i="12" s="1"/>
  <c r="BC328" i="12"/>
  <c r="BE328" i="12" s="1"/>
  <c r="AN93" i="10"/>
  <c r="AP93" i="10" s="1"/>
  <c r="BC34" i="12"/>
  <c r="BE34" i="12" s="1"/>
  <c r="BD36" i="12"/>
  <c r="BF36" i="12" s="1"/>
  <c r="BD225" i="12"/>
  <c r="BF225" i="12" s="1"/>
  <c r="BC227" i="12"/>
  <c r="BE227" i="12" s="1"/>
  <c r="BD131" i="12"/>
  <c r="BF131" i="12" s="1"/>
  <c r="BD127" i="12"/>
  <c r="BF127" i="12" s="1"/>
  <c r="BH127" i="12" s="1"/>
  <c r="BC309" i="12"/>
  <c r="BE309" i="12" s="1"/>
  <c r="BD308" i="12"/>
  <c r="BF308" i="12" s="1"/>
  <c r="BD182" i="12"/>
  <c r="BF182" i="12" s="1"/>
  <c r="BC181" i="12"/>
  <c r="BE181" i="12" s="1"/>
  <c r="BG181" i="12" s="1"/>
  <c r="AN269" i="10"/>
  <c r="AP269" i="10" s="1"/>
  <c r="AN268" i="10"/>
  <c r="AP268" i="10" s="1"/>
  <c r="AN266" i="10"/>
  <c r="AP266" i="10" s="1"/>
  <c r="AN65" i="10"/>
  <c r="AP65" i="10" s="1"/>
  <c r="AN63" i="10"/>
  <c r="AP63" i="10" s="1"/>
  <c r="AN66" i="10"/>
  <c r="AP66" i="10" s="1"/>
  <c r="AN77" i="10"/>
  <c r="AP77" i="10" s="1"/>
  <c r="AN76" i="10"/>
  <c r="AP76" i="10" s="1"/>
  <c r="AN74" i="10"/>
  <c r="AP74" i="10" s="1"/>
  <c r="AO29" i="10"/>
  <c r="AQ29" i="10" s="1"/>
  <c r="AO28" i="10"/>
  <c r="AQ28" i="10" s="1"/>
  <c r="AN105" i="10"/>
  <c r="AP105" i="10" s="1"/>
  <c r="AN104" i="10"/>
  <c r="AP104" i="10" s="1"/>
  <c r="AN103" i="10"/>
  <c r="AP103" i="10" s="1"/>
  <c r="AN264" i="10"/>
  <c r="AP264" i="10" s="1"/>
  <c r="AN263" i="10"/>
  <c r="AP263" i="10" s="1"/>
  <c r="AN262" i="10"/>
  <c r="AP262" i="10" s="1"/>
  <c r="AN357" i="10"/>
  <c r="AP357" i="10" s="1"/>
  <c r="AN356" i="10"/>
  <c r="AP356" i="10" s="1"/>
  <c r="AN355" i="10"/>
  <c r="AN221" i="10"/>
  <c r="AP221" i="10" s="1"/>
  <c r="AN220" i="10"/>
  <c r="AP220" i="10" s="1"/>
  <c r="AN218" i="10"/>
  <c r="AP218" i="10" s="1"/>
  <c r="AN55" i="10"/>
  <c r="AP55" i="10" s="1"/>
  <c r="AN60" i="10"/>
  <c r="AP60" i="10" s="1"/>
  <c r="AN59" i="10"/>
  <c r="AP59" i="10" s="1"/>
  <c r="AN89" i="10"/>
  <c r="AP89" i="10" s="1"/>
  <c r="AN88" i="10"/>
  <c r="AP88" i="10" s="1"/>
  <c r="AN90" i="10"/>
  <c r="AP90" i="10" s="1"/>
  <c r="AN329" i="10"/>
  <c r="AP329" i="10" s="1"/>
  <c r="AN328" i="10"/>
  <c r="AP328" i="10" s="1"/>
  <c r="AN330" i="10"/>
  <c r="AP330" i="10" s="1"/>
  <c r="AN345" i="10"/>
  <c r="AP345" i="10" s="1"/>
  <c r="AN344" i="10"/>
  <c r="AP344" i="10" s="1"/>
  <c r="AN343" i="10"/>
  <c r="AN144" i="10"/>
  <c r="AP144" i="10" s="1"/>
  <c r="AN143" i="10"/>
  <c r="AP143" i="10" s="1"/>
  <c r="AN142" i="10"/>
  <c r="AP142" i="10" s="1"/>
  <c r="AN285" i="10"/>
  <c r="AP285" i="10" s="1"/>
  <c r="AN284" i="10"/>
  <c r="AP284" i="10" s="1"/>
  <c r="AN283" i="10"/>
  <c r="AP283" i="10" s="1"/>
  <c r="AN129" i="10"/>
  <c r="AP129" i="10" s="1"/>
  <c r="AN128" i="10"/>
  <c r="AP128" i="10" s="1"/>
  <c r="AN127" i="10"/>
  <c r="AP127" i="10" s="1"/>
  <c r="AO13" i="10"/>
  <c r="AQ13" i="10" s="1"/>
  <c r="AO15" i="10"/>
  <c r="AQ15" i="10" s="1"/>
  <c r="AN18" i="10"/>
  <c r="AP18" i="10" s="1"/>
  <c r="AN15" i="10"/>
  <c r="AP15" i="10" s="1"/>
  <c r="AN17" i="10"/>
  <c r="AP17" i="10" s="1"/>
  <c r="AN16" i="10"/>
  <c r="AP16" i="10" s="1"/>
  <c r="AN81" i="10"/>
  <c r="AP81" i="10" s="1"/>
  <c r="AN80" i="10"/>
  <c r="AP80" i="10" s="1"/>
  <c r="AN79" i="10"/>
  <c r="AP79" i="10" s="1"/>
  <c r="AN125" i="10"/>
  <c r="AP125" i="10" s="1"/>
  <c r="AN124" i="10"/>
  <c r="AP124" i="10" s="1"/>
  <c r="AN122" i="10"/>
  <c r="AP122" i="10" s="1"/>
  <c r="AN205" i="10"/>
  <c r="AN207" i="10"/>
  <c r="AP207" i="10" s="1"/>
  <c r="AN206" i="10"/>
  <c r="AP206" i="10" s="1"/>
  <c r="AN317" i="10"/>
  <c r="AP317" i="10" s="1"/>
  <c r="AN316" i="10"/>
  <c r="AP316" i="10" s="1"/>
  <c r="AN314" i="10"/>
  <c r="AP314" i="10" s="1"/>
  <c r="AN180" i="10"/>
  <c r="AP180" i="10" s="1"/>
  <c r="AN179" i="10"/>
  <c r="AP179" i="10" s="1"/>
  <c r="AN178" i="10"/>
  <c r="AP178" i="10" s="1"/>
  <c r="AN216" i="10"/>
  <c r="AP216" i="10" s="1"/>
  <c r="AN215" i="10"/>
  <c r="AP215" i="10" s="1"/>
  <c r="AN214" i="10"/>
  <c r="AP214" i="10" s="1"/>
  <c r="AN341" i="10"/>
  <c r="AP341" i="10" s="1"/>
  <c r="AN340" i="10"/>
  <c r="AP340" i="10" s="1"/>
  <c r="AN342" i="10"/>
  <c r="AP342" i="10" s="1"/>
  <c r="AN161" i="10"/>
  <c r="AP161" i="10" s="1"/>
  <c r="AN160" i="10"/>
  <c r="AP160" i="10" s="1"/>
  <c r="AN162" i="10"/>
  <c r="AP162" i="10" s="1"/>
  <c r="AN201" i="10"/>
  <c r="AP201" i="10" s="1"/>
  <c r="AN184" i="10"/>
  <c r="AP184" i="10" s="1"/>
  <c r="AN99" i="10"/>
  <c r="AP99" i="10" s="1"/>
  <c r="BD166" i="12"/>
  <c r="BF166" i="12" s="1"/>
  <c r="BC164" i="12"/>
  <c r="BE164" i="12" s="1"/>
  <c r="BD167" i="12"/>
  <c r="BF167" i="12" s="1"/>
  <c r="BC208" i="12"/>
  <c r="BE208" i="12" s="1"/>
  <c r="BC209" i="12"/>
  <c r="BE209" i="12" s="1"/>
  <c r="BD205" i="12"/>
  <c r="BF205" i="12" s="1"/>
  <c r="BH205" i="12" s="1"/>
  <c r="BI205" i="12" s="1"/>
  <c r="BD325" i="12"/>
  <c r="BF325" i="12" s="1"/>
  <c r="BH325" i="12" s="1"/>
  <c r="BI325" i="12" s="1"/>
  <c r="BC329" i="12"/>
  <c r="BE329" i="12" s="1"/>
  <c r="BD326" i="12"/>
  <c r="BF326" i="12" s="1"/>
  <c r="AN202" i="10"/>
  <c r="AP202" i="10" s="1"/>
  <c r="AN231" i="10"/>
  <c r="AP231" i="10" s="1"/>
  <c r="AN37" i="10"/>
  <c r="AP37" i="10" s="1"/>
  <c r="AN292" i="10"/>
  <c r="AP292" i="10" s="1"/>
  <c r="AN331" i="10"/>
  <c r="AP331" i="10" s="1"/>
  <c r="AR331" i="10" s="1"/>
  <c r="AN319" i="10"/>
  <c r="AN115" i="10"/>
  <c r="AP115" i="10" s="1"/>
  <c r="AN70" i="10"/>
  <c r="AP70" i="10" s="1"/>
  <c r="AN100" i="10"/>
  <c r="AP100" i="10" s="1"/>
  <c r="AN136" i="10"/>
  <c r="AP136" i="10" s="1"/>
  <c r="BC168" i="12"/>
  <c r="BE168" i="12" s="1"/>
  <c r="BC167" i="12"/>
  <c r="BE167" i="12" s="1"/>
  <c r="BD165" i="12"/>
  <c r="BF165" i="12" s="1"/>
  <c r="BC206" i="12"/>
  <c r="BE206" i="12" s="1"/>
  <c r="BC205" i="12"/>
  <c r="BE205" i="12" s="1"/>
  <c r="BG205" i="12" s="1"/>
  <c r="BD208" i="12"/>
  <c r="BF208" i="12" s="1"/>
  <c r="BC330" i="12"/>
  <c r="BE330" i="12" s="1"/>
  <c r="BD327" i="12"/>
  <c r="BF327" i="12" s="1"/>
  <c r="BD328" i="12"/>
  <c r="BF328" i="12" s="1"/>
  <c r="AN199" i="10"/>
  <c r="AP199" i="10" s="1"/>
  <c r="AN232" i="10"/>
  <c r="AP232" i="10" s="1"/>
  <c r="AN41" i="10"/>
  <c r="AP41" i="10" s="1"/>
  <c r="AN110" i="10"/>
  <c r="AP110" i="10" s="1"/>
  <c r="AN333" i="10"/>
  <c r="AP333" i="10" s="1"/>
  <c r="AN321" i="10"/>
  <c r="AP321" i="10" s="1"/>
  <c r="AN117" i="10"/>
  <c r="AP117" i="10" s="1"/>
  <c r="AN69" i="10"/>
  <c r="AP69" i="10" s="1"/>
  <c r="AN101" i="10"/>
  <c r="AP101" i="10" s="1"/>
  <c r="BC163" i="12"/>
  <c r="BE163" i="12" s="1"/>
  <c r="BG163" i="12" s="1"/>
  <c r="BD164" i="12"/>
  <c r="BF164" i="12" s="1"/>
  <c r="BC207" i="12"/>
  <c r="BE207" i="12" s="1"/>
  <c r="BD210" i="12"/>
  <c r="BF210" i="12" s="1"/>
  <c r="BC326" i="12"/>
  <c r="BE326" i="12" s="1"/>
  <c r="BC327" i="12"/>
  <c r="BE327" i="12" s="1"/>
  <c r="AN98" i="10"/>
  <c r="AP98" i="10" s="1"/>
  <c r="AN91" i="10"/>
  <c r="AP91" i="10" s="1"/>
  <c r="AN203" i="10"/>
  <c r="AP203" i="10" s="1"/>
  <c r="AN230" i="10"/>
  <c r="AP230" i="10" s="1"/>
  <c r="AN229" i="10"/>
  <c r="AP229" i="10" s="1"/>
  <c r="AN40" i="10"/>
  <c r="AP40" i="10" s="1"/>
  <c r="AN38" i="10"/>
  <c r="AP38" i="10" s="1"/>
  <c r="AN290" i="10"/>
  <c r="AP290" i="10" s="1"/>
  <c r="AN289" i="10"/>
  <c r="AP289" i="10" s="1"/>
  <c r="AN111" i="10"/>
  <c r="AP111" i="10" s="1"/>
  <c r="AN182" i="10"/>
  <c r="AP182" i="10" s="1"/>
  <c r="AN181" i="10"/>
  <c r="AP181" i="10" s="1"/>
  <c r="AN335" i="10"/>
  <c r="AP335" i="10" s="1"/>
  <c r="AN323" i="10"/>
  <c r="AP323" i="10" s="1"/>
  <c r="AN119" i="10"/>
  <c r="AP119" i="10" s="1"/>
  <c r="AN67" i="10"/>
  <c r="AP67" i="10" s="1"/>
  <c r="AN134" i="10"/>
  <c r="AP134" i="10" s="1"/>
  <c r="AN133" i="10"/>
  <c r="AP133" i="10" s="1"/>
  <c r="AN234" i="10"/>
  <c r="AP234" i="10" s="1"/>
  <c r="AN39" i="10"/>
  <c r="AP39" i="10" s="1"/>
  <c r="AN294" i="10"/>
  <c r="AP294" i="10" s="1"/>
  <c r="AN293" i="10"/>
  <c r="AP293" i="10" s="1"/>
  <c r="AN112" i="10"/>
  <c r="AP112" i="10" s="1"/>
  <c r="AN186" i="10"/>
  <c r="AP186" i="10" s="1"/>
  <c r="AN185" i="10"/>
  <c r="AP185" i="10" s="1"/>
  <c r="AN332" i="10"/>
  <c r="AP332" i="10" s="1"/>
  <c r="AN320" i="10"/>
  <c r="AP320" i="10" s="1"/>
  <c r="AN116" i="10"/>
  <c r="AP116" i="10" s="1"/>
  <c r="AN71" i="10"/>
  <c r="AP71" i="10" s="1"/>
  <c r="AN138" i="10"/>
  <c r="AP138" i="10" s="1"/>
  <c r="AN137" i="10"/>
  <c r="AP137" i="10" s="1"/>
  <c r="AN95" i="10"/>
  <c r="AP95" i="10" s="1"/>
  <c r="AN165" i="10"/>
  <c r="AP165" i="10" s="1"/>
  <c r="AN114" i="10"/>
  <c r="AP114" i="10" s="1"/>
  <c r="AN334" i="10"/>
  <c r="AP334" i="10" s="1"/>
  <c r="AN322" i="10"/>
  <c r="AP322" i="10" s="1"/>
  <c r="AN118" i="10"/>
  <c r="AP118" i="10" s="1"/>
  <c r="AN68" i="10"/>
  <c r="AP68" i="10" s="1"/>
  <c r="AN164" i="10"/>
  <c r="AP164" i="10" s="1"/>
  <c r="AN168" i="10"/>
  <c r="AP168" i="10" s="1"/>
  <c r="AN166" i="10"/>
  <c r="AP166" i="10" s="1"/>
  <c r="AN167" i="10"/>
  <c r="AP167" i="10" s="1"/>
  <c r="AO124" i="10"/>
  <c r="AQ124" i="10" s="1"/>
  <c r="AO183" i="10"/>
  <c r="AQ183" i="10" s="1"/>
  <c r="AO184" i="10"/>
  <c r="AQ184" i="10" s="1"/>
  <c r="AO67" i="10"/>
  <c r="AQ67" i="10" s="1"/>
  <c r="AO305" i="10"/>
  <c r="AQ305" i="10" s="1"/>
  <c r="AO308" i="10"/>
  <c r="AQ308" i="10" s="1"/>
  <c r="AO106" i="10"/>
  <c r="AQ106" i="10" s="1"/>
  <c r="AO119" i="10"/>
  <c r="AQ119" i="10" s="1"/>
  <c r="AO221" i="10"/>
  <c r="AQ221" i="10" s="1"/>
  <c r="AO244" i="10"/>
  <c r="AQ244" i="10" s="1"/>
  <c r="AO70" i="10"/>
  <c r="AQ70" i="10" s="1"/>
  <c r="AO65" i="10"/>
  <c r="AQ65" i="10" s="1"/>
  <c r="AO47" i="10"/>
  <c r="AQ47" i="10" s="1"/>
  <c r="AO343" i="10"/>
  <c r="AQ343" i="10" s="1"/>
  <c r="AS343" i="10" s="1"/>
  <c r="AO87" i="10"/>
  <c r="AQ87" i="10" s="1"/>
  <c r="AO267" i="10"/>
  <c r="AQ267" i="10" s="1"/>
  <c r="AO156" i="10"/>
  <c r="AQ156" i="10" s="1"/>
  <c r="AO118" i="10"/>
  <c r="AQ118" i="10" s="1"/>
  <c r="AO271" i="10"/>
  <c r="AQ271" i="10" s="1"/>
  <c r="AO138" i="10"/>
  <c r="AQ138" i="10" s="1"/>
  <c r="AO150" i="10"/>
  <c r="AQ150" i="10" s="1"/>
  <c r="AO209" i="10"/>
  <c r="AQ209" i="10" s="1"/>
  <c r="AO337" i="10"/>
  <c r="AQ337" i="10" s="1"/>
  <c r="AS337" i="10" s="1"/>
  <c r="AO95" i="10"/>
  <c r="AQ95" i="10" s="1"/>
  <c r="AO127" i="10"/>
  <c r="AQ127" i="10" s="1"/>
  <c r="AO159" i="10"/>
  <c r="AQ159" i="10" s="1"/>
  <c r="AO191" i="10"/>
  <c r="AQ191" i="10" s="1"/>
  <c r="AO299" i="10"/>
  <c r="AQ299" i="10" s="1"/>
  <c r="AO285" i="10"/>
  <c r="AQ285" i="10" s="1"/>
  <c r="AO260" i="10"/>
  <c r="AQ260" i="10" s="1"/>
  <c r="AO324" i="10"/>
  <c r="AQ324" i="10" s="1"/>
  <c r="AO166" i="10"/>
  <c r="AQ166" i="10" s="1"/>
  <c r="AO120" i="10"/>
  <c r="AQ120" i="10" s="1"/>
  <c r="AO170" i="10"/>
  <c r="AQ170" i="10" s="1"/>
  <c r="AO56" i="10"/>
  <c r="AQ56" i="10" s="1"/>
  <c r="AO188" i="10"/>
  <c r="AQ188" i="10" s="1"/>
  <c r="AO241" i="10"/>
  <c r="AQ241" i="10" s="1"/>
  <c r="AO71" i="10"/>
  <c r="AQ71" i="10" s="1"/>
  <c r="AO103" i="10"/>
  <c r="AQ103" i="10" s="1"/>
  <c r="AO135" i="10"/>
  <c r="AQ135" i="10" s="1"/>
  <c r="AO167" i="10"/>
  <c r="AQ167" i="10" s="1"/>
  <c r="AO203" i="10"/>
  <c r="AQ203" i="10" s="1"/>
  <c r="AO339" i="10"/>
  <c r="AQ339" i="10" s="1"/>
  <c r="AO349" i="10"/>
  <c r="AQ349" i="10" s="1"/>
  <c r="AS349" i="10" s="1"/>
  <c r="AT349" i="10" s="1"/>
  <c r="AU349" i="10" s="1"/>
  <c r="AO212" i="10"/>
  <c r="AQ212" i="10" s="1"/>
  <c r="AO276" i="10"/>
  <c r="AQ276" i="10" s="1"/>
  <c r="AO340" i="10"/>
  <c r="AQ340" i="10" s="1"/>
  <c r="AO88" i="10"/>
  <c r="AQ88" i="10" s="1"/>
  <c r="AO38" i="10"/>
  <c r="AQ38" i="10" s="1"/>
  <c r="AO263" i="10"/>
  <c r="AQ263" i="10" s="1"/>
  <c r="AO49" i="10"/>
  <c r="AQ49" i="10" s="1"/>
  <c r="AO152" i="10"/>
  <c r="AQ152" i="10" s="1"/>
  <c r="AO74" i="10"/>
  <c r="AQ74" i="10" s="1"/>
  <c r="AO215" i="10"/>
  <c r="AQ215" i="10" s="1"/>
  <c r="AO92" i="10"/>
  <c r="AQ92" i="10" s="1"/>
  <c r="AO287" i="10"/>
  <c r="AQ287" i="10" s="1"/>
  <c r="AO273" i="10"/>
  <c r="AQ273" i="10" s="1"/>
  <c r="AO79" i="10"/>
  <c r="AQ79" i="10" s="1"/>
  <c r="AO111" i="10"/>
  <c r="AQ111" i="10" s="1"/>
  <c r="AO143" i="10"/>
  <c r="AQ143" i="10" s="1"/>
  <c r="AO175" i="10"/>
  <c r="AQ175" i="10" s="1"/>
  <c r="AO235" i="10"/>
  <c r="AQ235" i="10" s="1"/>
  <c r="AO228" i="10"/>
  <c r="AQ228" i="10" s="1"/>
  <c r="AO292" i="10"/>
  <c r="AQ292" i="10" s="1"/>
  <c r="AO356" i="10"/>
  <c r="AQ356" i="10" s="1"/>
  <c r="AN10" i="10"/>
  <c r="AP10" i="10" s="1"/>
  <c r="AO45" i="10"/>
  <c r="AQ45" i="10" s="1"/>
  <c r="AO64" i="10"/>
  <c r="AQ64" i="10" s="1"/>
  <c r="AO46" i="10"/>
  <c r="AQ46" i="10" s="1"/>
  <c r="AO78" i="10"/>
  <c r="AQ78" i="10" s="1"/>
  <c r="AO134" i="10"/>
  <c r="AQ134" i="10" s="1"/>
  <c r="AO182" i="10"/>
  <c r="AQ182" i="10" s="1"/>
  <c r="AO295" i="10"/>
  <c r="AQ295" i="10" s="1"/>
  <c r="AO41" i="10"/>
  <c r="AQ41" i="10" s="1"/>
  <c r="AO52" i="10"/>
  <c r="AQ52" i="10" s="1"/>
  <c r="AO68" i="10"/>
  <c r="AQ68" i="10" s="1"/>
  <c r="AO96" i="10"/>
  <c r="AQ96" i="10" s="1"/>
  <c r="AO128" i="10"/>
  <c r="AQ128" i="10" s="1"/>
  <c r="AO160" i="10"/>
  <c r="AQ160" i="10" s="1"/>
  <c r="AO192" i="10"/>
  <c r="AQ192" i="10" s="1"/>
  <c r="AO303" i="10"/>
  <c r="AQ303" i="10" s="1"/>
  <c r="AO50" i="10"/>
  <c r="AQ50" i="10" s="1"/>
  <c r="AO63" i="10"/>
  <c r="AQ63" i="10" s="1"/>
  <c r="AO82" i="10"/>
  <c r="AQ82" i="10" s="1"/>
  <c r="AO114" i="10"/>
  <c r="AQ114" i="10" s="1"/>
  <c r="AO146" i="10"/>
  <c r="AQ146" i="10" s="1"/>
  <c r="AO178" i="10"/>
  <c r="AQ178" i="10" s="1"/>
  <c r="AO247" i="10"/>
  <c r="AQ247" i="10" s="1"/>
  <c r="AO61" i="10"/>
  <c r="AQ61" i="10" s="1"/>
  <c r="AO100" i="10"/>
  <c r="AQ100" i="10" s="1"/>
  <c r="AO132" i="10"/>
  <c r="AQ132" i="10" s="1"/>
  <c r="AO164" i="10"/>
  <c r="AQ164" i="10" s="1"/>
  <c r="AO196" i="10"/>
  <c r="AQ196" i="10" s="1"/>
  <c r="AO319" i="10"/>
  <c r="AQ319" i="10" s="1"/>
  <c r="AO43" i="10"/>
  <c r="AQ43" i="10" s="1"/>
  <c r="AO86" i="10"/>
  <c r="AQ86" i="10" s="1"/>
  <c r="AO174" i="10"/>
  <c r="AQ174" i="10" s="1"/>
  <c r="AO217" i="10"/>
  <c r="AQ217" i="10" s="1"/>
  <c r="AO249" i="10"/>
  <c r="AQ249" i="10" s="1"/>
  <c r="AO281" i="10"/>
  <c r="AQ281" i="10" s="1"/>
  <c r="AO313" i="10"/>
  <c r="AQ313" i="10" s="1"/>
  <c r="AO345" i="10"/>
  <c r="AQ345" i="10" s="1"/>
  <c r="AO73" i="10"/>
  <c r="AQ73" i="10" s="1"/>
  <c r="AO81" i="10"/>
  <c r="AQ81" i="10" s="1"/>
  <c r="AO89" i="10"/>
  <c r="AQ89" i="10" s="1"/>
  <c r="AO97" i="10"/>
  <c r="AQ97" i="10" s="1"/>
  <c r="AO105" i="10"/>
  <c r="AQ105" i="10" s="1"/>
  <c r="AO113" i="10"/>
  <c r="AQ113" i="10" s="1"/>
  <c r="AO121" i="10"/>
  <c r="AQ121" i="10" s="1"/>
  <c r="AO129" i="10"/>
  <c r="AQ129" i="10" s="1"/>
  <c r="AO137" i="10"/>
  <c r="AQ137" i="10" s="1"/>
  <c r="AO145" i="10"/>
  <c r="AQ145" i="10" s="1"/>
  <c r="AO153" i="10"/>
  <c r="AQ153" i="10" s="1"/>
  <c r="AO161" i="10"/>
  <c r="AQ161" i="10" s="1"/>
  <c r="AO169" i="10"/>
  <c r="AQ169" i="10" s="1"/>
  <c r="AO177" i="10"/>
  <c r="AQ177" i="10" s="1"/>
  <c r="AO185" i="10"/>
  <c r="AQ185" i="10" s="1"/>
  <c r="AO193" i="10"/>
  <c r="AQ193" i="10" s="1"/>
  <c r="AO211" i="10"/>
  <c r="AQ211" i="10" s="1"/>
  <c r="AO243" i="10"/>
  <c r="AQ243" i="10" s="1"/>
  <c r="AO275" i="10"/>
  <c r="AQ275" i="10" s="1"/>
  <c r="AO307" i="10"/>
  <c r="AQ307" i="10" s="1"/>
  <c r="AO347" i="10"/>
  <c r="AQ347" i="10" s="1"/>
  <c r="AO229" i="10"/>
  <c r="AQ229" i="10" s="1"/>
  <c r="AO293" i="10"/>
  <c r="AQ293" i="10" s="1"/>
  <c r="AO357" i="10"/>
  <c r="AQ357" i="10" s="1"/>
  <c r="AO202" i="10"/>
  <c r="AQ202" i="10" s="1"/>
  <c r="AO218" i="10"/>
  <c r="AQ218" i="10" s="1"/>
  <c r="AO234" i="10"/>
  <c r="AQ234" i="10" s="1"/>
  <c r="AO250" i="10"/>
  <c r="AQ250" i="10" s="1"/>
  <c r="AO266" i="10"/>
  <c r="AQ266" i="10" s="1"/>
  <c r="AO282" i="10"/>
  <c r="AQ282" i="10" s="1"/>
  <c r="AO298" i="10"/>
  <c r="AQ298" i="10" s="1"/>
  <c r="AO314" i="10"/>
  <c r="AQ314" i="10" s="1"/>
  <c r="AO330" i="10"/>
  <c r="AQ330" i="10" s="1"/>
  <c r="AO346" i="10"/>
  <c r="AQ346" i="10" s="1"/>
  <c r="AO362" i="10"/>
  <c r="AQ362" i="10" s="1"/>
  <c r="AO7" i="10"/>
  <c r="AQ7" i="10" s="1"/>
  <c r="AO69" i="10"/>
  <c r="AQ69" i="10" s="1"/>
  <c r="AO51" i="10"/>
  <c r="AQ51" i="10" s="1"/>
  <c r="AO94" i="10"/>
  <c r="AQ94" i="10" s="1"/>
  <c r="AO142" i="10"/>
  <c r="AQ142" i="10" s="1"/>
  <c r="AO190" i="10"/>
  <c r="AQ190" i="10" s="1"/>
  <c r="AO327" i="10"/>
  <c r="AQ327" i="10" s="1"/>
  <c r="AO44" i="10"/>
  <c r="AQ44" i="10" s="1"/>
  <c r="AO57" i="10"/>
  <c r="AQ57" i="10" s="1"/>
  <c r="AO72" i="10"/>
  <c r="AQ72" i="10" s="1"/>
  <c r="AO104" i="10"/>
  <c r="AQ104" i="10" s="1"/>
  <c r="AO136" i="10"/>
  <c r="AQ136" i="10" s="1"/>
  <c r="AO168" i="10"/>
  <c r="AQ168" i="10" s="1"/>
  <c r="AO207" i="10"/>
  <c r="AQ207" i="10" s="1"/>
  <c r="AO335" i="10"/>
  <c r="AQ335" i="10" s="1"/>
  <c r="AO39" i="10"/>
  <c r="AQ39" i="10" s="1"/>
  <c r="AO55" i="10"/>
  <c r="AQ55" i="10" s="1"/>
  <c r="AO66" i="10"/>
  <c r="AQ66" i="10" s="1"/>
  <c r="AO90" i="10"/>
  <c r="AQ90" i="10" s="1"/>
  <c r="AO122" i="10"/>
  <c r="AQ122" i="10" s="1"/>
  <c r="AO154" i="10"/>
  <c r="AQ154" i="10" s="1"/>
  <c r="AO186" i="10"/>
  <c r="AQ186" i="10" s="1"/>
  <c r="AO279" i="10"/>
  <c r="AQ279" i="10" s="1"/>
  <c r="AO40" i="10"/>
  <c r="AQ40" i="10" s="1"/>
  <c r="AO76" i="10"/>
  <c r="AQ76" i="10" s="1"/>
  <c r="AO108" i="10"/>
  <c r="AQ108" i="10" s="1"/>
  <c r="AO140" i="10"/>
  <c r="AQ140" i="10" s="1"/>
  <c r="AO172" i="10"/>
  <c r="AQ172" i="10" s="1"/>
  <c r="AO223" i="10"/>
  <c r="AQ223" i="10" s="1"/>
  <c r="AO351" i="10"/>
  <c r="AQ351" i="10" s="1"/>
  <c r="AO54" i="10"/>
  <c r="AQ54" i="10" s="1"/>
  <c r="AO110" i="10"/>
  <c r="AQ110" i="10" s="1"/>
  <c r="AO231" i="10"/>
  <c r="AQ231" i="10" s="1"/>
  <c r="AO225" i="10"/>
  <c r="AQ225" i="10" s="1"/>
  <c r="AO257" i="10"/>
  <c r="AQ257" i="10" s="1"/>
  <c r="AO289" i="10"/>
  <c r="AQ289" i="10" s="1"/>
  <c r="AO321" i="10"/>
  <c r="AQ321" i="10" s="1"/>
  <c r="AO353" i="10"/>
  <c r="AQ353" i="10" s="1"/>
  <c r="AO75" i="10"/>
  <c r="AQ75" i="10" s="1"/>
  <c r="AO83" i="10"/>
  <c r="AQ83" i="10" s="1"/>
  <c r="AO91" i="10"/>
  <c r="AQ91" i="10" s="1"/>
  <c r="AO99" i="10"/>
  <c r="AQ99" i="10" s="1"/>
  <c r="AO107" i="10"/>
  <c r="AQ107" i="10" s="1"/>
  <c r="AO115" i="10"/>
  <c r="AQ115" i="10" s="1"/>
  <c r="AO123" i="10"/>
  <c r="AQ123" i="10" s="1"/>
  <c r="AO131" i="10"/>
  <c r="AQ131" i="10" s="1"/>
  <c r="AO139" i="10"/>
  <c r="AQ139" i="10" s="1"/>
  <c r="AO147" i="10"/>
  <c r="AQ147" i="10" s="1"/>
  <c r="AO155" i="10"/>
  <c r="AQ155" i="10" s="1"/>
  <c r="AO163" i="10"/>
  <c r="AQ163" i="10" s="1"/>
  <c r="AO171" i="10"/>
  <c r="AQ171" i="10" s="1"/>
  <c r="AO179" i="10"/>
  <c r="AQ179" i="10" s="1"/>
  <c r="AO187" i="10"/>
  <c r="AQ187" i="10" s="1"/>
  <c r="AO195" i="10"/>
  <c r="AQ195" i="10" s="1"/>
  <c r="AO219" i="10"/>
  <c r="AQ219" i="10" s="1"/>
  <c r="AO251" i="10"/>
  <c r="AQ251" i="10" s="1"/>
  <c r="AO283" i="10"/>
  <c r="AQ283" i="10" s="1"/>
  <c r="AO315" i="10"/>
  <c r="AQ315" i="10" s="1"/>
  <c r="AO253" i="10"/>
  <c r="AQ253" i="10" s="1"/>
  <c r="AO317" i="10"/>
  <c r="AQ317" i="10" s="1"/>
  <c r="AO204" i="10"/>
  <c r="AQ204" i="10" s="1"/>
  <c r="AO220" i="10"/>
  <c r="AQ220" i="10" s="1"/>
  <c r="AO236" i="10"/>
  <c r="AQ236" i="10" s="1"/>
  <c r="AO252" i="10"/>
  <c r="AQ252" i="10" s="1"/>
  <c r="AO268" i="10"/>
  <c r="AQ268" i="10" s="1"/>
  <c r="AO284" i="10"/>
  <c r="AQ284" i="10" s="1"/>
  <c r="AO300" i="10"/>
  <c r="AQ300" i="10" s="1"/>
  <c r="AO316" i="10"/>
  <c r="AQ316" i="10" s="1"/>
  <c r="AO332" i="10"/>
  <c r="AQ332" i="10" s="1"/>
  <c r="AO348" i="10"/>
  <c r="AQ348" i="10" s="1"/>
  <c r="AO364" i="10"/>
  <c r="AQ364" i="10" s="1"/>
  <c r="AO10" i="10"/>
  <c r="AQ10" i="10" s="1"/>
  <c r="AO12" i="10"/>
  <c r="AQ12" i="10" s="1"/>
  <c r="AO53" i="10"/>
  <c r="AQ53" i="10" s="1"/>
  <c r="AO59" i="10"/>
  <c r="AQ59" i="10" s="1"/>
  <c r="AO102" i="10"/>
  <c r="AQ102" i="10" s="1"/>
  <c r="AO158" i="10"/>
  <c r="AQ158" i="10" s="1"/>
  <c r="AO199" i="10"/>
  <c r="AQ199" i="10" s="1"/>
  <c r="AO60" i="10"/>
  <c r="AQ60" i="10" s="1"/>
  <c r="AO80" i="10"/>
  <c r="AQ80" i="10" s="1"/>
  <c r="AO112" i="10"/>
  <c r="AQ112" i="10" s="1"/>
  <c r="AO144" i="10"/>
  <c r="AQ144" i="10" s="1"/>
  <c r="AO176" i="10"/>
  <c r="AQ176" i="10" s="1"/>
  <c r="AO239" i="10"/>
  <c r="AQ239" i="10" s="1"/>
  <c r="AO42" i="10"/>
  <c r="AQ42" i="10" s="1"/>
  <c r="AO58" i="10"/>
  <c r="AQ58" i="10" s="1"/>
  <c r="AO98" i="10"/>
  <c r="AQ98" i="10" s="1"/>
  <c r="AO130" i="10"/>
  <c r="AQ130" i="10" s="1"/>
  <c r="AO162" i="10"/>
  <c r="AQ162" i="10" s="1"/>
  <c r="AO194" i="10"/>
  <c r="AQ194" i="10" s="1"/>
  <c r="AO311" i="10"/>
  <c r="AQ311" i="10" s="1"/>
  <c r="AO48" i="10"/>
  <c r="AQ48" i="10" s="1"/>
  <c r="AO84" i="10"/>
  <c r="AQ84" i="10" s="1"/>
  <c r="AO116" i="10"/>
  <c r="AQ116" i="10" s="1"/>
  <c r="AO148" i="10"/>
  <c r="AQ148" i="10" s="1"/>
  <c r="AO180" i="10"/>
  <c r="AQ180" i="10" s="1"/>
  <c r="AO255" i="10"/>
  <c r="AQ255" i="10" s="1"/>
  <c r="AO37" i="10"/>
  <c r="AQ37" i="10" s="1"/>
  <c r="AO62" i="10"/>
  <c r="AQ62" i="10" s="1"/>
  <c r="AO126" i="10"/>
  <c r="AQ126" i="10" s="1"/>
  <c r="AO359" i="10"/>
  <c r="AQ359" i="10" s="1"/>
  <c r="AO201" i="10"/>
  <c r="AQ201" i="10" s="1"/>
  <c r="AO233" i="10"/>
  <c r="AQ233" i="10" s="1"/>
  <c r="AO265" i="10"/>
  <c r="AQ265" i="10" s="1"/>
  <c r="AO297" i="10"/>
  <c r="AQ297" i="10" s="1"/>
  <c r="AO329" i="10"/>
  <c r="AQ329" i="10" s="1"/>
  <c r="AO361" i="10"/>
  <c r="AQ361" i="10" s="1"/>
  <c r="AS361" i="10" s="1"/>
  <c r="AO77" i="10"/>
  <c r="AQ77" i="10" s="1"/>
  <c r="AO85" i="10"/>
  <c r="AQ85" i="10" s="1"/>
  <c r="AO93" i="10"/>
  <c r="AQ93" i="10" s="1"/>
  <c r="AO101" i="10"/>
  <c r="AQ101" i="10" s="1"/>
  <c r="AO109" i="10"/>
  <c r="AQ109" i="10" s="1"/>
  <c r="AO117" i="10"/>
  <c r="AQ117" i="10" s="1"/>
  <c r="AO125" i="10"/>
  <c r="AQ125" i="10" s="1"/>
  <c r="AO133" i="10"/>
  <c r="AQ133" i="10" s="1"/>
  <c r="AO141" i="10"/>
  <c r="AQ141" i="10" s="1"/>
  <c r="AO149" i="10"/>
  <c r="AQ149" i="10" s="1"/>
  <c r="AO157" i="10"/>
  <c r="AQ157" i="10" s="1"/>
  <c r="AO165" i="10"/>
  <c r="AQ165" i="10" s="1"/>
  <c r="AO173" i="10"/>
  <c r="AQ173" i="10" s="1"/>
  <c r="AO181" i="10"/>
  <c r="AQ181" i="10" s="1"/>
  <c r="AO189" i="10"/>
  <c r="AQ189" i="10" s="1"/>
  <c r="AO197" i="10"/>
  <c r="AQ197" i="10" s="1"/>
  <c r="AO227" i="10"/>
  <c r="AQ227" i="10" s="1"/>
  <c r="AO259" i="10"/>
  <c r="AQ259" i="10" s="1"/>
  <c r="AO291" i="10"/>
  <c r="AQ291" i="10" s="1"/>
  <c r="AO323" i="10"/>
  <c r="AQ323" i="10" s="1"/>
  <c r="AO198" i="10"/>
  <c r="AQ198" i="10" s="1"/>
  <c r="AO261" i="10"/>
  <c r="AQ261" i="10" s="1"/>
  <c r="AO325" i="10"/>
  <c r="AQ325" i="10" s="1"/>
  <c r="AO210" i="10"/>
  <c r="AQ210" i="10" s="1"/>
  <c r="AO226" i="10"/>
  <c r="AQ226" i="10" s="1"/>
  <c r="AO242" i="10"/>
  <c r="AQ242" i="10" s="1"/>
  <c r="AO258" i="10"/>
  <c r="AQ258" i="10" s="1"/>
  <c r="AO274" i="10"/>
  <c r="AQ274" i="10" s="1"/>
  <c r="AO290" i="10"/>
  <c r="AQ290" i="10" s="1"/>
  <c r="AO306" i="10"/>
  <c r="AQ306" i="10" s="1"/>
  <c r="AO322" i="10"/>
  <c r="AQ322" i="10" s="1"/>
  <c r="AO338" i="10"/>
  <c r="AQ338" i="10" s="1"/>
  <c r="AO354" i="10"/>
  <c r="AQ354" i="10" s="1"/>
  <c r="AN11" i="10"/>
  <c r="AP11" i="10" s="1"/>
  <c r="AO8" i="10"/>
  <c r="AQ8" i="10" s="1"/>
  <c r="AR307" i="10"/>
  <c r="AO32" i="10"/>
  <c r="AQ32" i="10" s="1"/>
  <c r="AR241" i="10"/>
  <c r="AO355" i="10"/>
  <c r="AQ355" i="10" s="1"/>
  <c r="AS355" i="10" s="1"/>
  <c r="AO205" i="10"/>
  <c r="AQ205" i="10" s="1"/>
  <c r="AO237" i="10"/>
  <c r="AQ237" i="10" s="1"/>
  <c r="AO269" i="10"/>
  <c r="AQ269" i="10" s="1"/>
  <c r="AO301" i="10"/>
  <c r="AQ301" i="10" s="1"/>
  <c r="AO333" i="10"/>
  <c r="AQ333" i="10" s="1"/>
  <c r="AO365" i="10"/>
  <c r="AQ365" i="10" s="1"/>
  <c r="AO206" i="10"/>
  <c r="AQ206" i="10" s="1"/>
  <c r="AO214" i="10"/>
  <c r="AQ214" i="10" s="1"/>
  <c r="AO222" i="10"/>
  <c r="AQ222" i="10" s="1"/>
  <c r="AO230" i="10"/>
  <c r="AQ230" i="10" s="1"/>
  <c r="AO238" i="10"/>
  <c r="AQ238" i="10" s="1"/>
  <c r="AO246" i="10"/>
  <c r="AQ246" i="10" s="1"/>
  <c r="AO254" i="10"/>
  <c r="AQ254" i="10" s="1"/>
  <c r="AO262" i="10"/>
  <c r="AQ262" i="10" s="1"/>
  <c r="AO270" i="10"/>
  <c r="AQ270" i="10" s="1"/>
  <c r="AO278" i="10"/>
  <c r="AQ278" i="10" s="1"/>
  <c r="AO286" i="10"/>
  <c r="AQ286" i="10" s="1"/>
  <c r="AO294" i="10"/>
  <c r="AQ294" i="10" s="1"/>
  <c r="AO302" i="10"/>
  <c r="AQ302" i="10" s="1"/>
  <c r="AO310" i="10"/>
  <c r="AQ310" i="10" s="1"/>
  <c r="AO318" i="10"/>
  <c r="AQ318" i="10" s="1"/>
  <c r="AO326" i="10"/>
  <c r="AQ326" i="10" s="1"/>
  <c r="AO334" i="10"/>
  <c r="AQ334" i="10" s="1"/>
  <c r="AO342" i="10"/>
  <c r="AQ342" i="10" s="1"/>
  <c r="AO350" i="10"/>
  <c r="AQ350" i="10" s="1"/>
  <c r="AO358" i="10"/>
  <c r="AQ358" i="10" s="1"/>
  <c r="AO366" i="10"/>
  <c r="AQ366" i="10" s="1"/>
  <c r="AN8" i="10"/>
  <c r="AP8" i="10" s="1"/>
  <c r="AN9" i="10"/>
  <c r="AP9" i="10" s="1"/>
  <c r="AO11" i="10"/>
  <c r="AQ11" i="10" s="1"/>
  <c r="AO331" i="10"/>
  <c r="AQ331" i="10" s="1"/>
  <c r="AS331" i="10" s="1"/>
  <c r="AO363" i="10"/>
  <c r="AQ363" i="10" s="1"/>
  <c r="AO213" i="10"/>
  <c r="AQ213" i="10" s="1"/>
  <c r="AO245" i="10"/>
  <c r="AQ245" i="10" s="1"/>
  <c r="AO277" i="10"/>
  <c r="AQ277" i="10" s="1"/>
  <c r="AO309" i="10"/>
  <c r="AQ309" i="10" s="1"/>
  <c r="AO341" i="10"/>
  <c r="AQ341" i="10" s="1"/>
  <c r="AO200" i="10"/>
  <c r="AQ200" i="10" s="1"/>
  <c r="AO208" i="10"/>
  <c r="AQ208" i="10" s="1"/>
  <c r="AO216" i="10"/>
  <c r="AQ216" i="10" s="1"/>
  <c r="AO224" i="10"/>
  <c r="AQ224" i="10" s="1"/>
  <c r="AO232" i="10"/>
  <c r="AQ232" i="10" s="1"/>
  <c r="AO240" i="10"/>
  <c r="AQ240" i="10" s="1"/>
  <c r="AO248" i="10"/>
  <c r="AQ248" i="10" s="1"/>
  <c r="AO256" i="10"/>
  <c r="AQ256" i="10" s="1"/>
  <c r="AO264" i="10"/>
  <c r="AQ264" i="10" s="1"/>
  <c r="AO272" i="10"/>
  <c r="AQ272" i="10" s="1"/>
  <c r="AO280" i="10"/>
  <c r="AQ280" i="10" s="1"/>
  <c r="AO288" i="10"/>
  <c r="AQ288" i="10" s="1"/>
  <c r="AO296" i="10"/>
  <c r="AQ296" i="10" s="1"/>
  <c r="AO304" i="10"/>
  <c r="AQ304" i="10" s="1"/>
  <c r="AO312" i="10"/>
  <c r="AQ312" i="10" s="1"/>
  <c r="AO320" i="10"/>
  <c r="AQ320" i="10" s="1"/>
  <c r="AO328" i="10"/>
  <c r="AQ328" i="10" s="1"/>
  <c r="AO336" i="10"/>
  <c r="AQ336" i="10" s="1"/>
  <c r="AO344" i="10"/>
  <c r="AQ344" i="10" s="1"/>
  <c r="AO352" i="10"/>
  <c r="AQ352" i="10" s="1"/>
  <c r="AO360" i="10"/>
  <c r="AQ360" i="10" s="1"/>
  <c r="AN12" i="10"/>
  <c r="AP12" i="10" s="1"/>
  <c r="AN7" i="10"/>
  <c r="AP7" i="10" s="1"/>
  <c r="AR145" i="10"/>
  <c r="AR61" i="10"/>
  <c r="BC33" i="12"/>
  <c r="BE33" i="12" s="1"/>
  <c r="BC36" i="12"/>
  <c r="BE36" i="12" s="1"/>
  <c r="BD33" i="12"/>
  <c r="BF33" i="12" s="1"/>
  <c r="BC35" i="12"/>
  <c r="BE35" i="12" s="1"/>
  <c r="BD34" i="12"/>
  <c r="BF34" i="12" s="1"/>
  <c r="BD35" i="12"/>
  <c r="BF35" i="12" s="1"/>
  <c r="BD227" i="12"/>
  <c r="BF227" i="12" s="1"/>
  <c r="BD223" i="12"/>
  <c r="BF223" i="12" s="1"/>
  <c r="BH223" i="12" s="1"/>
  <c r="BI223" i="12" s="1"/>
  <c r="BD224" i="12"/>
  <c r="BF224" i="12" s="1"/>
  <c r="BC224" i="12"/>
  <c r="BE224" i="12" s="1"/>
  <c r="BC226" i="12"/>
  <c r="BE226" i="12" s="1"/>
  <c r="BD228" i="12"/>
  <c r="BF228" i="12" s="1"/>
  <c r="BD129" i="12"/>
  <c r="BF129" i="12" s="1"/>
  <c r="BD130" i="12"/>
  <c r="BF130" i="12" s="1"/>
  <c r="BC128" i="12"/>
  <c r="BE128" i="12" s="1"/>
  <c r="BC132" i="12"/>
  <c r="BE132" i="12" s="1"/>
  <c r="BD132" i="12"/>
  <c r="BF132" i="12" s="1"/>
  <c r="BC127" i="12"/>
  <c r="BE127" i="12" s="1"/>
  <c r="BG127" i="12" s="1"/>
  <c r="BC15" i="12"/>
  <c r="BE15" i="12" s="1"/>
  <c r="BC17" i="12"/>
  <c r="BE17" i="12" s="1"/>
  <c r="BC18" i="12"/>
  <c r="BE18" i="12" s="1"/>
  <c r="BD16" i="12"/>
  <c r="BF16" i="12" s="1"/>
  <c r="BD17" i="12"/>
  <c r="BF17" i="12" s="1"/>
  <c r="BD13" i="12"/>
  <c r="BF13" i="12" s="1"/>
  <c r="BH13" i="12" s="1"/>
  <c r="BC308" i="12"/>
  <c r="BE308" i="12" s="1"/>
  <c r="BD307" i="12"/>
  <c r="BF307" i="12" s="1"/>
  <c r="BH307" i="12" s="1"/>
  <c r="BD312" i="12"/>
  <c r="BF312" i="12" s="1"/>
  <c r="BD310" i="12"/>
  <c r="BF310" i="12" s="1"/>
  <c r="BC307" i="12"/>
  <c r="BE307" i="12" s="1"/>
  <c r="BG307" i="12" s="1"/>
  <c r="BD309" i="12"/>
  <c r="BF309" i="12" s="1"/>
  <c r="BD183" i="12"/>
  <c r="BF183" i="12" s="1"/>
  <c r="BD186" i="12"/>
  <c r="BF186" i="12" s="1"/>
  <c r="BD181" i="12"/>
  <c r="BF181" i="12" s="1"/>
  <c r="BH181" i="12" s="1"/>
  <c r="BC185" i="12"/>
  <c r="BE185" i="12" s="1"/>
  <c r="BD185" i="12"/>
  <c r="BF185" i="12" s="1"/>
  <c r="BC184" i="12"/>
  <c r="BE184" i="12" s="1"/>
  <c r="AN301" i="10"/>
  <c r="AP301" i="10" s="1"/>
  <c r="AN303" i="10"/>
  <c r="AP303" i="10" s="1"/>
  <c r="AN302" i="10"/>
  <c r="AP302" i="10" s="1"/>
  <c r="AO36" i="10"/>
  <c r="AQ36" i="10" s="1"/>
  <c r="AN36" i="10"/>
  <c r="AP36" i="10" s="1"/>
  <c r="AN34" i="10"/>
  <c r="AP34" i="10" s="1"/>
  <c r="AO35" i="10"/>
  <c r="AQ35" i="10" s="1"/>
  <c r="AN35" i="10"/>
  <c r="AP35" i="10" s="1"/>
  <c r="AO31" i="10"/>
  <c r="AQ31" i="10" s="1"/>
  <c r="AN304" i="10"/>
  <c r="AP304" i="10" s="1"/>
  <c r="BD32" i="12"/>
  <c r="BF32" i="12" s="1"/>
  <c r="BD31" i="12"/>
  <c r="BF31" i="12" s="1"/>
  <c r="BH31" i="12" s="1"/>
  <c r="BC31" i="12"/>
  <c r="BE31" i="12" s="1"/>
  <c r="BG31" i="12" s="1"/>
  <c r="BC225" i="12"/>
  <c r="BE225" i="12" s="1"/>
  <c r="BC228" i="12"/>
  <c r="BE228" i="12" s="1"/>
  <c r="BD226" i="12"/>
  <c r="BF226" i="12" s="1"/>
  <c r="BC131" i="12"/>
  <c r="BE131" i="12" s="1"/>
  <c r="BC130" i="12"/>
  <c r="BE130" i="12" s="1"/>
  <c r="BD128" i="12"/>
  <c r="BF128" i="12" s="1"/>
  <c r="BD15" i="12"/>
  <c r="BF15" i="12" s="1"/>
  <c r="BC16" i="12"/>
  <c r="BE16" i="12" s="1"/>
  <c r="BC13" i="12"/>
  <c r="BE13" i="12" s="1"/>
  <c r="BG13" i="12" s="1"/>
  <c r="BD311" i="12"/>
  <c r="BF311" i="12" s="1"/>
  <c r="BC311" i="12"/>
  <c r="BE311" i="12" s="1"/>
  <c r="BC310" i="12"/>
  <c r="BE310" i="12" s="1"/>
  <c r="BC183" i="12"/>
  <c r="BE183" i="12" s="1"/>
  <c r="BC186" i="12"/>
  <c r="BE186" i="12" s="1"/>
  <c r="BD184" i="12"/>
  <c r="BF184" i="12" s="1"/>
  <c r="AO33" i="10"/>
  <c r="AQ33" i="10" s="1"/>
  <c r="AN32" i="10"/>
  <c r="AP32" i="10" s="1"/>
  <c r="AO34" i="10"/>
  <c r="AQ34" i="10" s="1"/>
  <c r="AR49" i="10"/>
  <c r="BF9" i="6"/>
  <c r="BG9" i="6" s="1"/>
  <c r="BH9" i="6" s="1"/>
  <c r="BJ9" i="6" s="1"/>
  <c r="BK9" i="6" s="1"/>
  <c r="BC20" i="12"/>
  <c r="BE20" i="12" s="1"/>
  <c r="BC23" i="12"/>
  <c r="BE23" i="12" s="1"/>
  <c r="BD24" i="12"/>
  <c r="BF24" i="12" s="1"/>
  <c r="BD23" i="12"/>
  <c r="BF23" i="12" s="1"/>
  <c r="BC22" i="12"/>
  <c r="BE22" i="12" s="1"/>
  <c r="BD20" i="12"/>
  <c r="BF20" i="12" s="1"/>
  <c r="BC19" i="12"/>
  <c r="BE19" i="12" s="1"/>
  <c r="BG19" i="12" s="1"/>
  <c r="BC21" i="12"/>
  <c r="BE21" i="12" s="1"/>
  <c r="BD19" i="12"/>
  <c r="BF19" i="12" s="1"/>
  <c r="BH19" i="12" s="1"/>
  <c r="BC24" i="12"/>
  <c r="BE24" i="12" s="1"/>
  <c r="BD21" i="12"/>
  <c r="BF21" i="12" s="1"/>
  <c r="BD22" i="12"/>
  <c r="BF22" i="12" s="1"/>
  <c r="BC57" i="12"/>
  <c r="BE57" i="12" s="1"/>
  <c r="BC55" i="12"/>
  <c r="BE55" i="12" s="1"/>
  <c r="BG55" i="12" s="1"/>
  <c r="BC58" i="12"/>
  <c r="BE58" i="12" s="1"/>
  <c r="BD56" i="12"/>
  <c r="BF56" i="12" s="1"/>
  <c r="BD59" i="12"/>
  <c r="BF59" i="12" s="1"/>
  <c r="BC60" i="12"/>
  <c r="BE60" i="12" s="1"/>
  <c r="BC56" i="12"/>
  <c r="BE56" i="12" s="1"/>
  <c r="BC59" i="12"/>
  <c r="BE59" i="12" s="1"/>
  <c r="BD57" i="12"/>
  <c r="BF57" i="12" s="1"/>
  <c r="BD58" i="12"/>
  <c r="BF58" i="12" s="1"/>
  <c r="BD60" i="12"/>
  <c r="BF60" i="12" s="1"/>
  <c r="BD55" i="12"/>
  <c r="BF55" i="12" s="1"/>
  <c r="BH55" i="12" s="1"/>
  <c r="BC49" i="12"/>
  <c r="BE49" i="12" s="1"/>
  <c r="BG49" i="12" s="1"/>
  <c r="BC50" i="12"/>
  <c r="BE50" i="12" s="1"/>
  <c r="BC53" i="12"/>
  <c r="BE53" i="12" s="1"/>
  <c r="BC54" i="12"/>
  <c r="BE54" i="12" s="1"/>
  <c r="BC52" i="12"/>
  <c r="BE52" i="12" s="1"/>
  <c r="BC51" i="12"/>
  <c r="BE51" i="12" s="1"/>
  <c r="BD51" i="12"/>
  <c r="BF51" i="12" s="1"/>
  <c r="BD53" i="12"/>
  <c r="BF53" i="12" s="1"/>
  <c r="BD54" i="12"/>
  <c r="BF54" i="12" s="1"/>
  <c r="BD49" i="12"/>
  <c r="BF49" i="12" s="1"/>
  <c r="BH49" i="12" s="1"/>
  <c r="BD50" i="12"/>
  <c r="BF50" i="12" s="1"/>
  <c r="BD52" i="12"/>
  <c r="BF52" i="12" s="1"/>
  <c r="BI199" i="12"/>
  <c r="BD263" i="12"/>
  <c r="BF263" i="12" s="1"/>
  <c r="BD264" i="12"/>
  <c r="BF264" i="12" s="1"/>
  <c r="BD259" i="12"/>
  <c r="BF259" i="12" s="1"/>
  <c r="BH259" i="12" s="1"/>
  <c r="BD262" i="12"/>
  <c r="BF262" i="12" s="1"/>
  <c r="BD261" i="12"/>
  <c r="BF261" i="12" s="1"/>
  <c r="BD260" i="12"/>
  <c r="BF260" i="12" s="1"/>
  <c r="BC263" i="12"/>
  <c r="BE263" i="12" s="1"/>
  <c r="BC261" i="12"/>
  <c r="BE261" i="12" s="1"/>
  <c r="BC260" i="12"/>
  <c r="BE260" i="12" s="1"/>
  <c r="BC264" i="12"/>
  <c r="BE264" i="12" s="1"/>
  <c r="BC262" i="12"/>
  <c r="BE262" i="12" s="1"/>
  <c r="BC259" i="12"/>
  <c r="BE259" i="12" s="1"/>
  <c r="BG259" i="12" s="1"/>
  <c r="BD174" i="12"/>
  <c r="BF174" i="12" s="1"/>
  <c r="BD169" i="12"/>
  <c r="BF169" i="12" s="1"/>
  <c r="BH169" i="12" s="1"/>
  <c r="BD171" i="12"/>
  <c r="BF171" i="12" s="1"/>
  <c r="BD172" i="12"/>
  <c r="BF172" i="12" s="1"/>
  <c r="BD170" i="12"/>
  <c r="BF170" i="12" s="1"/>
  <c r="BD173" i="12"/>
  <c r="BF173" i="12" s="1"/>
  <c r="BC172" i="12"/>
  <c r="BE172" i="12" s="1"/>
  <c r="BC169" i="12"/>
  <c r="BE169" i="12" s="1"/>
  <c r="BG169" i="12" s="1"/>
  <c r="BC173" i="12"/>
  <c r="BE173" i="12" s="1"/>
  <c r="BC170" i="12"/>
  <c r="BE170" i="12" s="1"/>
  <c r="BC171" i="12"/>
  <c r="BE171" i="12" s="1"/>
  <c r="BC174" i="12"/>
  <c r="BE174" i="12" s="1"/>
  <c r="BD81" i="12"/>
  <c r="BF81" i="12" s="1"/>
  <c r="BD82" i="12"/>
  <c r="BF82" i="12" s="1"/>
  <c r="BD84" i="12"/>
  <c r="BF84" i="12" s="1"/>
  <c r="BD79" i="12"/>
  <c r="BF79" i="12" s="1"/>
  <c r="BH79" i="12" s="1"/>
  <c r="BD80" i="12"/>
  <c r="BF80" i="12" s="1"/>
  <c r="BD83" i="12"/>
  <c r="BF83" i="12" s="1"/>
  <c r="BC83" i="12"/>
  <c r="BE83" i="12" s="1"/>
  <c r="BC79" i="12"/>
  <c r="BE79" i="12" s="1"/>
  <c r="BG79" i="12" s="1"/>
  <c r="BC82" i="12"/>
  <c r="BE82" i="12" s="1"/>
  <c r="BC81" i="12"/>
  <c r="BE81" i="12" s="1"/>
  <c r="BC84" i="12"/>
  <c r="BE84" i="12" s="1"/>
  <c r="BC80" i="12"/>
  <c r="BE80" i="12" s="1"/>
  <c r="BD244" i="12"/>
  <c r="BF244" i="12" s="1"/>
  <c r="BD242" i="12"/>
  <c r="BF242" i="12" s="1"/>
  <c r="BC241" i="12"/>
  <c r="BE241" i="12" s="1"/>
  <c r="BG241" i="12" s="1"/>
  <c r="BD243" i="12"/>
  <c r="BF243" i="12" s="1"/>
  <c r="BD241" i="12"/>
  <c r="BF241" i="12" s="1"/>
  <c r="BH241" i="12" s="1"/>
  <c r="BD245" i="12"/>
  <c r="BF245" i="12" s="1"/>
  <c r="BD246" i="12"/>
  <c r="BF246" i="12" s="1"/>
  <c r="BC245" i="12"/>
  <c r="BE245" i="12" s="1"/>
  <c r="BC246" i="12"/>
  <c r="BE246" i="12" s="1"/>
  <c r="BC243" i="12"/>
  <c r="BE243" i="12" s="1"/>
  <c r="BC244" i="12"/>
  <c r="BE244" i="12" s="1"/>
  <c r="BC242" i="12"/>
  <c r="BE242" i="12" s="1"/>
  <c r="BD195" i="12"/>
  <c r="BF195" i="12" s="1"/>
  <c r="BD194" i="12"/>
  <c r="BF194" i="12" s="1"/>
  <c r="BD197" i="12"/>
  <c r="BF197" i="12" s="1"/>
  <c r="BD193" i="12"/>
  <c r="BF193" i="12" s="1"/>
  <c r="BH193" i="12" s="1"/>
  <c r="BC196" i="12"/>
  <c r="BE196" i="12" s="1"/>
  <c r="BD196" i="12"/>
  <c r="BF196" i="12" s="1"/>
  <c r="BD198" i="12"/>
  <c r="BF198" i="12" s="1"/>
  <c r="BC195" i="12"/>
  <c r="BE195" i="12" s="1"/>
  <c r="BC193" i="12"/>
  <c r="BE193" i="12" s="1"/>
  <c r="BG193" i="12" s="1"/>
  <c r="BC197" i="12"/>
  <c r="BE197" i="12" s="1"/>
  <c r="BC194" i="12"/>
  <c r="BE194" i="12" s="1"/>
  <c r="BC198" i="12"/>
  <c r="BE198" i="12" s="1"/>
  <c r="BD154" i="12"/>
  <c r="BF154" i="12" s="1"/>
  <c r="BD152" i="12"/>
  <c r="BF152" i="12" s="1"/>
  <c r="BD151" i="12"/>
  <c r="BF151" i="12" s="1"/>
  <c r="BH151" i="12" s="1"/>
  <c r="BC153" i="12"/>
  <c r="BE153" i="12" s="1"/>
  <c r="BC155" i="12"/>
  <c r="BE155" i="12" s="1"/>
  <c r="BD156" i="12"/>
  <c r="BF156" i="12" s="1"/>
  <c r="BC151" i="12"/>
  <c r="BE151" i="12" s="1"/>
  <c r="BG151" i="12" s="1"/>
  <c r="BD153" i="12"/>
  <c r="BF153" i="12" s="1"/>
  <c r="BD155" i="12"/>
  <c r="BF155" i="12" s="1"/>
  <c r="BC154" i="12"/>
  <c r="BE154" i="12" s="1"/>
  <c r="BC156" i="12"/>
  <c r="BE156" i="12" s="1"/>
  <c r="BC152" i="12"/>
  <c r="BE152" i="12" s="1"/>
  <c r="BD290" i="12"/>
  <c r="BF290" i="12" s="1"/>
  <c r="BC291" i="12"/>
  <c r="BE291" i="12" s="1"/>
  <c r="BD292" i="12"/>
  <c r="BF292" i="12" s="1"/>
  <c r="BD294" i="12"/>
  <c r="BF294" i="12" s="1"/>
  <c r="BD289" i="12"/>
  <c r="BF289" i="12" s="1"/>
  <c r="BH289" i="12" s="1"/>
  <c r="BC292" i="12"/>
  <c r="BE292" i="12" s="1"/>
  <c r="BD293" i="12"/>
  <c r="BF293" i="12" s="1"/>
  <c r="BC290" i="12"/>
  <c r="BE290" i="12" s="1"/>
  <c r="BC289" i="12"/>
  <c r="BE289" i="12" s="1"/>
  <c r="BG289" i="12" s="1"/>
  <c r="BC293" i="12"/>
  <c r="BE293" i="12" s="1"/>
  <c r="BC294" i="12"/>
  <c r="BE294" i="12" s="1"/>
  <c r="BD291" i="12"/>
  <c r="BF291" i="12" s="1"/>
  <c r="BC157" i="12"/>
  <c r="BE157" i="12" s="1"/>
  <c r="BG157" i="12" s="1"/>
  <c r="BD159" i="12"/>
  <c r="BF159" i="12" s="1"/>
  <c r="BD162" i="12"/>
  <c r="BF162" i="12" s="1"/>
  <c r="BD158" i="12"/>
  <c r="BF158" i="12" s="1"/>
  <c r="BD160" i="12"/>
  <c r="BF160" i="12" s="1"/>
  <c r="BD157" i="12"/>
  <c r="BF157" i="12" s="1"/>
  <c r="BH157" i="12" s="1"/>
  <c r="BC161" i="12"/>
  <c r="BE161" i="12" s="1"/>
  <c r="BC159" i="12"/>
  <c r="BE159" i="12" s="1"/>
  <c r="BD161" i="12"/>
  <c r="BF161" i="12" s="1"/>
  <c r="BC162" i="12"/>
  <c r="BE162" i="12" s="1"/>
  <c r="BC160" i="12"/>
  <c r="BE160" i="12" s="1"/>
  <c r="BC158" i="12"/>
  <c r="BE158" i="12" s="1"/>
  <c r="BD148" i="12"/>
  <c r="BF148" i="12" s="1"/>
  <c r="BD147" i="12"/>
  <c r="BF147" i="12" s="1"/>
  <c r="BD149" i="12"/>
  <c r="BF149" i="12" s="1"/>
  <c r="BD150" i="12"/>
  <c r="BF150" i="12" s="1"/>
  <c r="BD145" i="12"/>
  <c r="BF145" i="12" s="1"/>
  <c r="BH145" i="12" s="1"/>
  <c r="BC147" i="12"/>
  <c r="BE147" i="12" s="1"/>
  <c r="BC150" i="12"/>
  <c r="BE150" i="12" s="1"/>
  <c r="BC146" i="12"/>
  <c r="BE146" i="12" s="1"/>
  <c r="BC145" i="12"/>
  <c r="BE145" i="12" s="1"/>
  <c r="BG145" i="12" s="1"/>
  <c r="BC149" i="12"/>
  <c r="BE149" i="12" s="1"/>
  <c r="BC148" i="12"/>
  <c r="BE148" i="12" s="1"/>
  <c r="BD146" i="12"/>
  <c r="BF146" i="12" s="1"/>
  <c r="BD107" i="12"/>
  <c r="BF107" i="12" s="1"/>
  <c r="BD105" i="12"/>
  <c r="BF105" i="12" s="1"/>
  <c r="BC107" i="12"/>
  <c r="BE107" i="12" s="1"/>
  <c r="BC103" i="12"/>
  <c r="BE103" i="12" s="1"/>
  <c r="BG103" i="12" s="1"/>
  <c r="BD106" i="12"/>
  <c r="BF106" i="12" s="1"/>
  <c r="BC105" i="12"/>
  <c r="BE105" i="12" s="1"/>
  <c r="BD104" i="12"/>
  <c r="BF104" i="12" s="1"/>
  <c r="BD108" i="12"/>
  <c r="BF108" i="12" s="1"/>
  <c r="BC104" i="12"/>
  <c r="BE104" i="12" s="1"/>
  <c r="BD103" i="12"/>
  <c r="BF103" i="12" s="1"/>
  <c r="BH103" i="12" s="1"/>
  <c r="BC108" i="12"/>
  <c r="BE108" i="12" s="1"/>
  <c r="BC106" i="12"/>
  <c r="BE106" i="12" s="1"/>
  <c r="BH7" i="12"/>
  <c r="BD359" i="12"/>
  <c r="BF359" i="12" s="1"/>
  <c r="BD358" i="12"/>
  <c r="BF358" i="12" s="1"/>
  <c r="BD357" i="12"/>
  <c r="BF357" i="12" s="1"/>
  <c r="BD360" i="12"/>
  <c r="BF360" i="12" s="1"/>
  <c r="BD356" i="12"/>
  <c r="BF356" i="12" s="1"/>
  <c r="BC359" i="12"/>
  <c r="BE359" i="12" s="1"/>
  <c r="BC355" i="12"/>
  <c r="BE355" i="12" s="1"/>
  <c r="BG355" i="12" s="1"/>
  <c r="BD355" i="12"/>
  <c r="BF355" i="12" s="1"/>
  <c r="BH355" i="12" s="1"/>
  <c r="BC357" i="12"/>
  <c r="BE357" i="12" s="1"/>
  <c r="BC358" i="12"/>
  <c r="BE358" i="12" s="1"/>
  <c r="BC356" i="12"/>
  <c r="BE356" i="12" s="1"/>
  <c r="BC360" i="12"/>
  <c r="BE360" i="12" s="1"/>
  <c r="BD77" i="12"/>
  <c r="BF77" i="12" s="1"/>
  <c r="BD74" i="12"/>
  <c r="BF74" i="12" s="1"/>
  <c r="BD76" i="12"/>
  <c r="BF76" i="12" s="1"/>
  <c r="BC78" i="12"/>
  <c r="BE78" i="12" s="1"/>
  <c r="BD78" i="12"/>
  <c r="BF78" i="12" s="1"/>
  <c r="BC73" i="12"/>
  <c r="BE73" i="12" s="1"/>
  <c r="BG73" i="12" s="1"/>
  <c r="BC75" i="12"/>
  <c r="BE75" i="12" s="1"/>
  <c r="BC76" i="12"/>
  <c r="BE76" i="12" s="1"/>
  <c r="BD73" i="12"/>
  <c r="BF73" i="12" s="1"/>
  <c r="BH73" i="12" s="1"/>
  <c r="BC74" i="12"/>
  <c r="BE74" i="12" s="1"/>
  <c r="BD75" i="12"/>
  <c r="BF75" i="12" s="1"/>
  <c r="BC77" i="12"/>
  <c r="BE77" i="12" s="1"/>
  <c r="BD176" i="12"/>
  <c r="BF176" i="12" s="1"/>
  <c r="BD180" i="12"/>
  <c r="BF180" i="12" s="1"/>
  <c r="BD179" i="12"/>
  <c r="BF179" i="12" s="1"/>
  <c r="BD178" i="12"/>
  <c r="BF178" i="12" s="1"/>
  <c r="BD175" i="12"/>
  <c r="BF175" i="12" s="1"/>
  <c r="BH175" i="12" s="1"/>
  <c r="BD177" i="12"/>
  <c r="BF177" i="12" s="1"/>
  <c r="BC180" i="12"/>
  <c r="BE180" i="12" s="1"/>
  <c r="BC175" i="12"/>
  <c r="BE175" i="12" s="1"/>
  <c r="BG175" i="12" s="1"/>
  <c r="BC177" i="12"/>
  <c r="BE177" i="12" s="1"/>
  <c r="BC179" i="12"/>
  <c r="BE179" i="12" s="1"/>
  <c r="BC178" i="12"/>
  <c r="BE178" i="12" s="1"/>
  <c r="BC176" i="12"/>
  <c r="BE176" i="12" s="1"/>
  <c r="BD95" i="12"/>
  <c r="BF95" i="12" s="1"/>
  <c r="BD93" i="12"/>
  <c r="BF93" i="12" s="1"/>
  <c r="BD96" i="12"/>
  <c r="BF96" i="12" s="1"/>
  <c r="BD91" i="12"/>
  <c r="BF91" i="12" s="1"/>
  <c r="BH91" i="12" s="1"/>
  <c r="BC96" i="12"/>
  <c r="BE96" i="12" s="1"/>
  <c r="BD94" i="12"/>
  <c r="BF94" i="12" s="1"/>
  <c r="BC94" i="12"/>
  <c r="BE94" i="12" s="1"/>
  <c r="BC91" i="12"/>
  <c r="BE91" i="12" s="1"/>
  <c r="BG91" i="12" s="1"/>
  <c r="BD92" i="12"/>
  <c r="BF92" i="12" s="1"/>
  <c r="BC93" i="12"/>
  <c r="BE93" i="12" s="1"/>
  <c r="BC92" i="12"/>
  <c r="BE92" i="12" s="1"/>
  <c r="BC95" i="12"/>
  <c r="BE95" i="12" s="1"/>
  <c r="BC70" i="12"/>
  <c r="BE70" i="12" s="1"/>
  <c r="BC67" i="12"/>
  <c r="BE67" i="12" s="1"/>
  <c r="BG67" i="12" s="1"/>
  <c r="BC72" i="12"/>
  <c r="BE72" i="12" s="1"/>
  <c r="BC71" i="12"/>
  <c r="BE71" i="12" s="1"/>
  <c r="BC69" i="12"/>
  <c r="BE69" i="12" s="1"/>
  <c r="BC68" i="12"/>
  <c r="BE68" i="12" s="1"/>
  <c r="BD68" i="12"/>
  <c r="BF68" i="12" s="1"/>
  <c r="BD67" i="12"/>
  <c r="BF67" i="12" s="1"/>
  <c r="BH67" i="12" s="1"/>
  <c r="BD69" i="12"/>
  <c r="BF69" i="12" s="1"/>
  <c r="BD71" i="12"/>
  <c r="BF71" i="12" s="1"/>
  <c r="BD72" i="12"/>
  <c r="BF72" i="12" s="1"/>
  <c r="BD70" i="12"/>
  <c r="BF70" i="12" s="1"/>
  <c r="BD352" i="12"/>
  <c r="BF352" i="12" s="1"/>
  <c r="BC352" i="12"/>
  <c r="BE352" i="12" s="1"/>
  <c r="BD354" i="12"/>
  <c r="BF354" i="12" s="1"/>
  <c r="BC351" i="12"/>
  <c r="BE351" i="12" s="1"/>
  <c r="BD353" i="12"/>
  <c r="BF353" i="12" s="1"/>
  <c r="BC353" i="12"/>
  <c r="BE353" i="12" s="1"/>
  <c r="BC354" i="12"/>
  <c r="BE354" i="12" s="1"/>
  <c r="BC350" i="12"/>
  <c r="BE350" i="12" s="1"/>
  <c r="BC349" i="12"/>
  <c r="BE349" i="12" s="1"/>
  <c r="BG349" i="12" s="1"/>
  <c r="BD349" i="12"/>
  <c r="BF349" i="12" s="1"/>
  <c r="BH349" i="12" s="1"/>
  <c r="BD351" i="12"/>
  <c r="BF351" i="12" s="1"/>
  <c r="BD350" i="12"/>
  <c r="BF350" i="12" s="1"/>
  <c r="BD215" i="12"/>
  <c r="BF215" i="12" s="1"/>
  <c r="BD212" i="12"/>
  <c r="BF212" i="12" s="1"/>
  <c r="BC214" i="12"/>
  <c r="BE214" i="12" s="1"/>
  <c r="BC215" i="12"/>
  <c r="BE215" i="12" s="1"/>
  <c r="BD211" i="12"/>
  <c r="BF211" i="12" s="1"/>
  <c r="BH211" i="12" s="1"/>
  <c r="BC211" i="12"/>
  <c r="BE211" i="12" s="1"/>
  <c r="BG211" i="12" s="1"/>
  <c r="BD214" i="12"/>
  <c r="BF214" i="12" s="1"/>
  <c r="BC213" i="12"/>
  <c r="BE213" i="12" s="1"/>
  <c r="BD216" i="12"/>
  <c r="BF216" i="12" s="1"/>
  <c r="BD213" i="12"/>
  <c r="BF213" i="12" s="1"/>
  <c r="BC216" i="12"/>
  <c r="BE216" i="12" s="1"/>
  <c r="BC212" i="12"/>
  <c r="BE212" i="12" s="1"/>
  <c r="BC271" i="12"/>
  <c r="BE271" i="12" s="1"/>
  <c r="BG271" i="12" s="1"/>
  <c r="BD271" i="12"/>
  <c r="BF271" i="12" s="1"/>
  <c r="BH271" i="12" s="1"/>
  <c r="BD272" i="12"/>
  <c r="BF272" i="12" s="1"/>
  <c r="BD273" i="12"/>
  <c r="BF273" i="12" s="1"/>
  <c r="BC275" i="12"/>
  <c r="BE275" i="12" s="1"/>
  <c r="BD276" i="12"/>
  <c r="BF276" i="12" s="1"/>
  <c r="BC274" i="12"/>
  <c r="BE274" i="12" s="1"/>
  <c r="BC273" i="12"/>
  <c r="BE273" i="12" s="1"/>
  <c r="BD275" i="12"/>
  <c r="BF275" i="12" s="1"/>
  <c r="BC272" i="12"/>
  <c r="BE272" i="12" s="1"/>
  <c r="BD274" i="12"/>
  <c r="BF274" i="12" s="1"/>
  <c r="BC276" i="12"/>
  <c r="BE276" i="12" s="1"/>
  <c r="AN257" i="10"/>
  <c r="AP257" i="10" s="1"/>
  <c r="AN258" i="10"/>
  <c r="AP258" i="10" s="1"/>
  <c r="AN253" i="10"/>
  <c r="AP253" i="10" s="1"/>
  <c r="AN254" i="10"/>
  <c r="AP254" i="10" s="1"/>
  <c r="AN256" i="10"/>
  <c r="AP256" i="10" s="1"/>
  <c r="AN255" i="10"/>
  <c r="AP255" i="10" s="1"/>
  <c r="BD116" i="12"/>
  <c r="BF116" i="12" s="1"/>
  <c r="BD117" i="12"/>
  <c r="BF117" i="12" s="1"/>
  <c r="BD119" i="12"/>
  <c r="BF119" i="12" s="1"/>
  <c r="BC116" i="12"/>
  <c r="BE116" i="12" s="1"/>
  <c r="BC119" i="12"/>
  <c r="BE119" i="12" s="1"/>
  <c r="BC115" i="12"/>
  <c r="BE115" i="12" s="1"/>
  <c r="BG115" i="12" s="1"/>
  <c r="BD118" i="12"/>
  <c r="BF118" i="12" s="1"/>
  <c r="BC117" i="12"/>
  <c r="BE117" i="12" s="1"/>
  <c r="BC120" i="12"/>
  <c r="BE120" i="12" s="1"/>
  <c r="BD120" i="12"/>
  <c r="BF120" i="12" s="1"/>
  <c r="BD115" i="12"/>
  <c r="BF115" i="12" s="1"/>
  <c r="BH115" i="12" s="1"/>
  <c r="BC118" i="12"/>
  <c r="BE118" i="12" s="1"/>
  <c r="BD133" i="12"/>
  <c r="BF133" i="12" s="1"/>
  <c r="BH133" i="12" s="1"/>
  <c r="BD136" i="12"/>
  <c r="BF136" i="12" s="1"/>
  <c r="BD134" i="12"/>
  <c r="BF134" i="12" s="1"/>
  <c r="BD135" i="12"/>
  <c r="BF135" i="12" s="1"/>
  <c r="BD138" i="12"/>
  <c r="BF138" i="12" s="1"/>
  <c r="BC133" i="12"/>
  <c r="BE133" i="12" s="1"/>
  <c r="BG133" i="12" s="1"/>
  <c r="BC135" i="12"/>
  <c r="BE135" i="12" s="1"/>
  <c r="BC138" i="12"/>
  <c r="BE138" i="12" s="1"/>
  <c r="BC137" i="12"/>
  <c r="BE137" i="12" s="1"/>
  <c r="BC136" i="12"/>
  <c r="BE136" i="12" s="1"/>
  <c r="BD137" i="12"/>
  <c r="BF137" i="12" s="1"/>
  <c r="BC134" i="12"/>
  <c r="BE134" i="12" s="1"/>
  <c r="BD229" i="12"/>
  <c r="BF229" i="12" s="1"/>
  <c r="BH229" i="12" s="1"/>
  <c r="BD233" i="12"/>
  <c r="BF233" i="12" s="1"/>
  <c r="BD231" i="12"/>
  <c r="BF231" i="12" s="1"/>
  <c r="BD232" i="12"/>
  <c r="BF232" i="12" s="1"/>
  <c r="BD234" i="12"/>
  <c r="BF234" i="12" s="1"/>
  <c r="BD230" i="12"/>
  <c r="BF230" i="12" s="1"/>
  <c r="BC231" i="12"/>
  <c r="BE231" i="12" s="1"/>
  <c r="BC233" i="12"/>
  <c r="BE233" i="12" s="1"/>
  <c r="BC230" i="12"/>
  <c r="BE230" i="12" s="1"/>
  <c r="BC232" i="12"/>
  <c r="BE232" i="12" s="1"/>
  <c r="BC234" i="12"/>
  <c r="BE234" i="12" s="1"/>
  <c r="BC229" i="12"/>
  <c r="BE229" i="12" s="1"/>
  <c r="BG229" i="12" s="1"/>
  <c r="BD126" i="12"/>
  <c r="BF126" i="12" s="1"/>
  <c r="BD121" i="12"/>
  <c r="BF121" i="12" s="1"/>
  <c r="BH121" i="12" s="1"/>
  <c r="BD123" i="12"/>
  <c r="BF123" i="12" s="1"/>
  <c r="BD125" i="12"/>
  <c r="BF125" i="12" s="1"/>
  <c r="BD122" i="12"/>
  <c r="BF122" i="12" s="1"/>
  <c r="BD124" i="12"/>
  <c r="BF124" i="12" s="1"/>
  <c r="BC124" i="12"/>
  <c r="BE124" i="12" s="1"/>
  <c r="BC126" i="12"/>
  <c r="BE126" i="12" s="1"/>
  <c r="BC123" i="12"/>
  <c r="BE123" i="12" s="1"/>
  <c r="BC122" i="12"/>
  <c r="BE122" i="12" s="1"/>
  <c r="BC125" i="12"/>
  <c r="BE125" i="12" s="1"/>
  <c r="BC121" i="12"/>
  <c r="BE121" i="12" s="1"/>
  <c r="BG121" i="12" s="1"/>
  <c r="BG7" i="12"/>
  <c r="BD110" i="12"/>
  <c r="BF110" i="12" s="1"/>
  <c r="BD112" i="12"/>
  <c r="BF112" i="12" s="1"/>
  <c r="BD109" i="12"/>
  <c r="BF109" i="12" s="1"/>
  <c r="BH109" i="12" s="1"/>
  <c r="BC110" i="12"/>
  <c r="BE110" i="12" s="1"/>
  <c r="BC111" i="12"/>
  <c r="BE111" i="12" s="1"/>
  <c r="BD111" i="12"/>
  <c r="BF111" i="12" s="1"/>
  <c r="BC109" i="12"/>
  <c r="BE109" i="12" s="1"/>
  <c r="BG109" i="12" s="1"/>
  <c r="BD114" i="12"/>
  <c r="BF114" i="12" s="1"/>
  <c r="BC114" i="12"/>
  <c r="BE114" i="12" s="1"/>
  <c r="BC113" i="12"/>
  <c r="BE113" i="12" s="1"/>
  <c r="BD113" i="12"/>
  <c r="BF113" i="12" s="1"/>
  <c r="BC112" i="12"/>
  <c r="BE112" i="12" s="1"/>
  <c r="BD323" i="12"/>
  <c r="BF323" i="12" s="1"/>
  <c r="BD319" i="12"/>
  <c r="BF319" i="12" s="1"/>
  <c r="BH319" i="12" s="1"/>
  <c r="BD324" i="12"/>
  <c r="BF324" i="12" s="1"/>
  <c r="BD322" i="12"/>
  <c r="BF322" i="12" s="1"/>
  <c r="BD320" i="12"/>
  <c r="BF320" i="12" s="1"/>
  <c r="BD321" i="12"/>
  <c r="BF321" i="12" s="1"/>
  <c r="BC322" i="12"/>
  <c r="BE322" i="12" s="1"/>
  <c r="BC320" i="12"/>
  <c r="BE320" i="12" s="1"/>
  <c r="BC321" i="12"/>
  <c r="BE321" i="12" s="1"/>
  <c r="BC324" i="12"/>
  <c r="BE324" i="12" s="1"/>
  <c r="BC323" i="12"/>
  <c r="BE323" i="12" s="1"/>
  <c r="BC319" i="12"/>
  <c r="BE319" i="12" s="1"/>
  <c r="BG319" i="12" s="1"/>
  <c r="BD268" i="12"/>
  <c r="BF268" i="12" s="1"/>
  <c r="BD270" i="12"/>
  <c r="BF270" i="12" s="1"/>
  <c r="BD267" i="12"/>
  <c r="BF267" i="12" s="1"/>
  <c r="BD269" i="12"/>
  <c r="BF269" i="12" s="1"/>
  <c r="BD266" i="12"/>
  <c r="BF266" i="12" s="1"/>
  <c r="BD265" i="12"/>
  <c r="BF265" i="12" s="1"/>
  <c r="BH265" i="12" s="1"/>
  <c r="BC269" i="12"/>
  <c r="BE269" i="12" s="1"/>
  <c r="BC268" i="12"/>
  <c r="BE268" i="12" s="1"/>
  <c r="BC265" i="12"/>
  <c r="BE265" i="12" s="1"/>
  <c r="BG265" i="12" s="1"/>
  <c r="BC267" i="12"/>
  <c r="BE267" i="12" s="1"/>
  <c r="BC270" i="12"/>
  <c r="BE270" i="12" s="1"/>
  <c r="BC266" i="12"/>
  <c r="BE266" i="12" s="1"/>
  <c r="BD362" i="12"/>
  <c r="BF362" i="12" s="1"/>
  <c r="BD364" i="12"/>
  <c r="BF364" i="12" s="1"/>
  <c r="BD366" i="12"/>
  <c r="BF366" i="12" s="1"/>
  <c r="BD361" i="12"/>
  <c r="BF361" i="12" s="1"/>
  <c r="BH361" i="12" s="1"/>
  <c r="BC364" i="12"/>
  <c r="BE364" i="12" s="1"/>
  <c r="BC365" i="12"/>
  <c r="BE365" i="12" s="1"/>
  <c r="BD365" i="12"/>
  <c r="BF365" i="12" s="1"/>
  <c r="BC362" i="12"/>
  <c r="BE362" i="12" s="1"/>
  <c r="BC363" i="12"/>
  <c r="BE363" i="12" s="1"/>
  <c r="BD363" i="12"/>
  <c r="BF363" i="12" s="1"/>
  <c r="BC366" i="12"/>
  <c r="BE366" i="12" s="1"/>
  <c r="BC361" i="12"/>
  <c r="BE361" i="12" s="1"/>
  <c r="BG361" i="12" s="1"/>
  <c r="BC45" i="12"/>
  <c r="BE45" i="12" s="1"/>
  <c r="BC47" i="12"/>
  <c r="BE47" i="12" s="1"/>
  <c r="BC48" i="12"/>
  <c r="BE48" i="12" s="1"/>
  <c r="BC43" i="12"/>
  <c r="BE43" i="12" s="1"/>
  <c r="BG43" i="12" s="1"/>
  <c r="BC46" i="12"/>
  <c r="BE46" i="12" s="1"/>
  <c r="BC44" i="12"/>
  <c r="BE44" i="12" s="1"/>
  <c r="BD45" i="12"/>
  <c r="BF45" i="12" s="1"/>
  <c r="BD46" i="12"/>
  <c r="BF46" i="12" s="1"/>
  <c r="BD48" i="12"/>
  <c r="BF48" i="12" s="1"/>
  <c r="BD47" i="12"/>
  <c r="BF47" i="12" s="1"/>
  <c r="BD44" i="12"/>
  <c r="BF44" i="12" s="1"/>
  <c r="BD43" i="12"/>
  <c r="BF43" i="12" s="1"/>
  <c r="BH43" i="12" s="1"/>
  <c r="BI43" i="12" s="1"/>
  <c r="BD191" i="12"/>
  <c r="BF191" i="12" s="1"/>
  <c r="BD192" i="12"/>
  <c r="BF192" i="12" s="1"/>
  <c r="BD190" i="12"/>
  <c r="BF190" i="12" s="1"/>
  <c r="BC192" i="12"/>
  <c r="BE192" i="12" s="1"/>
  <c r="BC189" i="12"/>
  <c r="BE189" i="12" s="1"/>
  <c r="BC187" i="12"/>
  <c r="BE187" i="12" s="1"/>
  <c r="BG187" i="12" s="1"/>
  <c r="BC191" i="12"/>
  <c r="BE191" i="12" s="1"/>
  <c r="BD188" i="12"/>
  <c r="BF188" i="12" s="1"/>
  <c r="BD189" i="12"/>
  <c r="BF189" i="12" s="1"/>
  <c r="BD187" i="12"/>
  <c r="BF187" i="12" s="1"/>
  <c r="BH187" i="12" s="1"/>
  <c r="BC188" i="12"/>
  <c r="BE188" i="12" s="1"/>
  <c r="BC190" i="12"/>
  <c r="BE190" i="12" s="1"/>
  <c r="BD314" i="12"/>
  <c r="BF314" i="12" s="1"/>
  <c r="BD313" i="12"/>
  <c r="BF313" i="12" s="1"/>
  <c r="BH313" i="12" s="1"/>
  <c r="BC316" i="12"/>
  <c r="BE316" i="12" s="1"/>
  <c r="BD316" i="12"/>
  <c r="BF316" i="12" s="1"/>
  <c r="BD317" i="12"/>
  <c r="BF317" i="12" s="1"/>
  <c r="BD315" i="12"/>
  <c r="BF315" i="12" s="1"/>
  <c r="BD318" i="12"/>
  <c r="BF318" i="12" s="1"/>
  <c r="BC313" i="12"/>
  <c r="BE313" i="12" s="1"/>
  <c r="BG313" i="12" s="1"/>
  <c r="BC314" i="12"/>
  <c r="BE314" i="12" s="1"/>
  <c r="BC315" i="12"/>
  <c r="BE315" i="12" s="1"/>
  <c r="BC317" i="12"/>
  <c r="BE317" i="12" s="1"/>
  <c r="BC318" i="12"/>
  <c r="BE318" i="12" s="1"/>
  <c r="BD144" i="12"/>
  <c r="BF144" i="12" s="1"/>
  <c r="BD142" i="12"/>
  <c r="BF142" i="12" s="1"/>
  <c r="BD143" i="12"/>
  <c r="BF143" i="12" s="1"/>
  <c r="BD141" i="12"/>
  <c r="BF141" i="12" s="1"/>
  <c r="BC141" i="12"/>
  <c r="BE141" i="12" s="1"/>
  <c r="BD139" i="12"/>
  <c r="BF139" i="12" s="1"/>
  <c r="BH139" i="12" s="1"/>
  <c r="BC142" i="12"/>
  <c r="BE142" i="12" s="1"/>
  <c r="BC140" i="12"/>
  <c r="BE140" i="12" s="1"/>
  <c r="BD140" i="12"/>
  <c r="BF140" i="12" s="1"/>
  <c r="BC143" i="12"/>
  <c r="BE143" i="12" s="1"/>
  <c r="BC144" i="12"/>
  <c r="BE144" i="12" s="1"/>
  <c r="BC139" i="12"/>
  <c r="BE139" i="12" s="1"/>
  <c r="BG139" i="12" s="1"/>
  <c r="BD219" i="12"/>
  <c r="BF219" i="12" s="1"/>
  <c r="BD222" i="12"/>
  <c r="BF222" i="12" s="1"/>
  <c r="BD217" i="12"/>
  <c r="BF217" i="12" s="1"/>
  <c r="BH217" i="12" s="1"/>
  <c r="BC217" i="12"/>
  <c r="BE217" i="12" s="1"/>
  <c r="BG217" i="12" s="1"/>
  <c r="BC219" i="12"/>
  <c r="BE219" i="12" s="1"/>
  <c r="BC220" i="12"/>
  <c r="BE220" i="12" s="1"/>
  <c r="BD220" i="12"/>
  <c r="BF220" i="12" s="1"/>
  <c r="BC221" i="12"/>
  <c r="BE221" i="12" s="1"/>
  <c r="BD218" i="12"/>
  <c r="BF218" i="12" s="1"/>
  <c r="BC218" i="12"/>
  <c r="BE218" i="12" s="1"/>
  <c r="BC222" i="12"/>
  <c r="BE222" i="12" s="1"/>
  <c r="BD221" i="12"/>
  <c r="BF221" i="12" s="1"/>
  <c r="BC29" i="12"/>
  <c r="BE29" i="12" s="1"/>
  <c r="BC25" i="12"/>
  <c r="BE25" i="12" s="1"/>
  <c r="BG25" i="12" s="1"/>
  <c r="BC30" i="12"/>
  <c r="BE30" i="12" s="1"/>
  <c r="BC28" i="12"/>
  <c r="BE28" i="12" s="1"/>
  <c r="BC26" i="12"/>
  <c r="BE26" i="12" s="1"/>
  <c r="BC27" i="12"/>
  <c r="BE27" i="12" s="1"/>
  <c r="BD27" i="12"/>
  <c r="BF27" i="12" s="1"/>
  <c r="BD29" i="12"/>
  <c r="BF29" i="12" s="1"/>
  <c r="BD30" i="12"/>
  <c r="BF30" i="12" s="1"/>
  <c r="BD25" i="12"/>
  <c r="BF25" i="12" s="1"/>
  <c r="BH25" i="12" s="1"/>
  <c r="BD26" i="12"/>
  <c r="BF26" i="12" s="1"/>
  <c r="BD28" i="12"/>
  <c r="BF28" i="12" s="1"/>
  <c r="BD87" i="12"/>
  <c r="BF87" i="12" s="1"/>
  <c r="BD89" i="12"/>
  <c r="BF89" i="12" s="1"/>
  <c r="BC85" i="12"/>
  <c r="BE85" i="12" s="1"/>
  <c r="BG85" i="12" s="1"/>
  <c r="BC86" i="12"/>
  <c r="BE86" i="12" s="1"/>
  <c r="BD90" i="12"/>
  <c r="BF90" i="12" s="1"/>
  <c r="BC89" i="12"/>
  <c r="BE89" i="12" s="1"/>
  <c r="BD85" i="12"/>
  <c r="BF85" i="12" s="1"/>
  <c r="BH85" i="12" s="1"/>
  <c r="BD86" i="12"/>
  <c r="BF86" i="12" s="1"/>
  <c r="BC87" i="12"/>
  <c r="BE87" i="12" s="1"/>
  <c r="BD88" i="12"/>
  <c r="BF88" i="12" s="1"/>
  <c r="BC88" i="12"/>
  <c r="BE88" i="12" s="1"/>
  <c r="BC90" i="12"/>
  <c r="BE90" i="12" s="1"/>
  <c r="BC63" i="12"/>
  <c r="BE63" i="12" s="1"/>
  <c r="BC65" i="12"/>
  <c r="BE65" i="12" s="1"/>
  <c r="BC61" i="12"/>
  <c r="BE61" i="12" s="1"/>
  <c r="BG61" i="12" s="1"/>
  <c r="BC66" i="12"/>
  <c r="BE66" i="12" s="1"/>
  <c r="BC64" i="12"/>
  <c r="BE64" i="12" s="1"/>
  <c r="BC62" i="12"/>
  <c r="BE62" i="12" s="1"/>
  <c r="BD61" i="12"/>
  <c r="BF61" i="12" s="1"/>
  <c r="BH61" i="12" s="1"/>
  <c r="BD66" i="12"/>
  <c r="BF66" i="12" s="1"/>
  <c r="BD64" i="12"/>
  <c r="BF64" i="12" s="1"/>
  <c r="BD63" i="12"/>
  <c r="BF63" i="12" s="1"/>
  <c r="BD65" i="12"/>
  <c r="BF65" i="12" s="1"/>
  <c r="BD62" i="12"/>
  <c r="BF62" i="12" s="1"/>
  <c r="BD250" i="12"/>
  <c r="BF250" i="12" s="1"/>
  <c r="BD249" i="12"/>
  <c r="BF249" i="12" s="1"/>
  <c r="BD251" i="12"/>
  <c r="BF251" i="12" s="1"/>
  <c r="BD252" i="12"/>
  <c r="BF252" i="12" s="1"/>
  <c r="BC252" i="12"/>
  <c r="BE252" i="12" s="1"/>
  <c r="BD247" i="12"/>
  <c r="BF247" i="12" s="1"/>
  <c r="BH247" i="12" s="1"/>
  <c r="BC251" i="12"/>
  <c r="BE251" i="12" s="1"/>
  <c r="BC247" i="12"/>
  <c r="BE247" i="12" s="1"/>
  <c r="BG247" i="12" s="1"/>
  <c r="BD248" i="12"/>
  <c r="BF248" i="12" s="1"/>
  <c r="BC248" i="12"/>
  <c r="BE248" i="12" s="1"/>
  <c r="BC249" i="12"/>
  <c r="BE249" i="12" s="1"/>
  <c r="BC250" i="12"/>
  <c r="BE250" i="12" s="1"/>
  <c r="BD239" i="12"/>
  <c r="BF239" i="12" s="1"/>
  <c r="BD237" i="12"/>
  <c r="BF237" i="12" s="1"/>
  <c r="BD240" i="12"/>
  <c r="BF240" i="12" s="1"/>
  <c r="BC240" i="12"/>
  <c r="BE240" i="12" s="1"/>
  <c r="BD236" i="12"/>
  <c r="BF236" i="12" s="1"/>
  <c r="BC236" i="12"/>
  <c r="BE236" i="12" s="1"/>
  <c r="BC237" i="12"/>
  <c r="BE237" i="12" s="1"/>
  <c r="BC239" i="12"/>
  <c r="BE239" i="12" s="1"/>
  <c r="BD235" i="12"/>
  <c r="BF235" i="12" s="1"/>
  <c r="BH235" i="12" s="1"/>
  <c r="BC238" i="12"/>
  <c r="BE238" i="12" s="1"/>
  <c r="BD238" i="12"/>
  <c r="BF238" i="12" s="1"/>
  <c r="BC235" i="12"/>
  <c r="BE235" i="12" s="1"/>
  <c r="BG235" i="12" s="1"/>
  <c r="BD338" i="12"/>
  <c r="BF338" i="12" s="1"/>
  <c r="BD339" i="12"/>
  <c r="BF339" i="12" s="1"/>
  <c r="BD341" i="12"/>
  <c r="BF341" i="12" s="1"/>
  <c r="BC341" i="12"/>
  <c r="BE341" i="12" s="1"/>
  <c r="BD342" i="12"/>
  <c r="BF342" i="12" s="1"/>
  <c r="BC337" i="12"/>
  <c r="BE337" i="12" s="1"/>
  <c r="BG337" i="12" s="1"/>
  <c r="BD340" i="12"/>
  <c r="BF340" i="12" s="1"/>
  <c r="BC340" i="12"/>
  <c r="BE340" i="12" s="1"/>
  <c r="BC339" i="12"/>
  <c r="BE339" i="12" s="1"/>
  <c r="BD337" i="12"/>
  <c r="BF337" i="12" s="1"/>
  <c r="BH337" i="12" s="1"/>
  <c r="BC338" i="12"/>
  <c r="BE338" i="12" s="1"/>
  <c r="BC342" i="12"/>
  <c r="BE342" i="12" s="1"/>
  <c r="BD280" i="12"/>
  <c r="BF280" i="12" s="1"/>
  <c r="BD278" i="12"/>
  <c r="BF278" i="12" s="1"/>
  <c r="BD279" i="12"/>
  <c r="BF279" i="12" s="1"/>
  <c r="BD277" i="12"/>
  <c r="BF277" i="12" s="1"/>
  <c r="BH277" i="12" s="1"/>
  <c r="BC280" i="12"/>
  <c r="BE280" i="12" s="1"/>
  <c r="BD282" i="12"/>
  <c r="BF282" i="12" s="1"/>
  <c r="BD281" i="12"/>
  <c r="BF281" i="12" s="1"/>
  <c r="BC281" i="12"/>
  <c r="BE281" i="12" s="1"/>
  <c r="BC277" i="12"/>
  <c r="BE277" i="12" s="1"/>
  <c r="BG277" i="12" s="1"/>
  <c r="BC278" i="12"/>
  <c r="BE278" i="12" s="1"/>
  <c r="BC282" i="12"/>
  <c r="BE282" i="12" s="1"/>
  <c r="BC279" i="12"/>
  <c r="BE279" i="12" s="1"/>
  <c r="BC42" i="12"/>
  <c r="BE42" i="12" s="1"/>
  <c r="BC39" i="12"/>
  <c r="BE39" i="12" s="1"/>
  <c r="BC37" i="12"/>
  <c r="BE37" i="12" s="1"/>
  <c r="BG37" i="12" s="1"/>
  <c r="BC41" i="12"/>
  <c r="BE41" i="12" s="1"/>
  <c r="BC38" i="12"/>
  <c r="BE38" i="12" s="1"/>
  <c r="BD40" i="12"/>
  <c r="BF40" i="12" s="1"/>
  <c r="BC40" i="12"/>
  <c r="BE40" i="12" s="1"/>
  <c r="BD42" i="12"/>
  <c r="BF42" i="12" s="1"/>
  <c r="BD41" i="12"/>
  <c r="BF41" i="12" s="1"/>
  <c r="BD39" i="12"/>
  <c r="BF39" i="12" s="1"/>
  <c r="BD37" i="12"/>
  <c r="BF37" i="12" s="1"/>
  <c r="BH37" i="12" s="1"/>
  <c r="BD38" i="12"/>
  <c r="BF38" i="12" s="1"/>
  <c r="BD284" i="12"/>
  <c r="BF284" i="12" s="1"/>
  <c r="BD286" i="12"/>
  <c r="BF286" i="12" s="1"/>
  <c r="BD283" i="12"/>
  <c r="BF283" i="12" s="1"/>
  <c r="BH283" i="12" s="1"/>
  <c r="BD287" i="12"/>
  <c r="BF287" i="12" s="1"/>
  <c r="BC284" i="12"/>
  <c r="BE284" i="12" s="1"/>
  <c r="BD285" i="12"/>
  <c r="BF285" i="12" s="1"/>
  <c r="BC285" i="12"/>
  <c r="BE285" i="12" s="1"/>
  <c r="BC286" i="12"/>
  <c r="BE286" i="12" s="1"/>
  <c r="BC283" i="12"/>
  <c r="BE283" i="12" s="1"/>
  <c r="BG283" i="12" s="1"/>
  <c r="BD288" i="12"/>
  <c r="BF288" i="12" s="1"/>
  <c r="BC287" i="12"/>
  <c r="BE287" i="12" s="1"/>
  <c r="BC288" i="12"/>
  <c r="BE288" i="12" s="1"/>
  <c r="BD343" i="12"/>
  <c r="BF343" i="12" s="1"/>
  <c r="BH343" i="12" s="1"/>
  <c r="BD348" i="12"/>
  <c r="BF348" i="12" s="1"/>
  <c r="BD346" i="12"/>
  <c r="BF346" i="12" s="1"/>
  <c r="BD344" i="12"/>
  <c r="BF344" i="12" s="1"/>
  <c r="BD345" i="12"/>
  <c r="BF345" i="12" s="1"/>
  <c r="BD347" i="12"/>
  <c r="BF347" i="12" s="1"/>
  <c r="BC344" i="12"/>
  <c r="BE344" i="12" s="1"/>
  <c r="BC347" i="12"/>
  <c r="BE347" i="12" s="1"/>
  <c r="BC345" i="12"/>
  <c r="BE345" i="12" s="1"/>
  <c r="BC343" i="12"/>
  <c r="BE343" i="12" s="1"/>
  <c r="BG343" i="12" s="1"/>
  <c r="BC348" i="12"/>
  <c r="BE348" i="12" s="1"/>
  <c r="BC346" i="12"/>
  <c r="BE346" i="12" s="1"/>
  <c r="BD254" i="12"/>
  <c r="BF254" i="12" s="1"/>
  <c r="BD255" i="12"/>
  <c r="BF255" i="12" s="1"/>
  <c r="BD257" i="12"/>
  <c r="BF257" i="12" s="1"/>
  <c r="BC257" i="12"/>
  <c r="BE257" i="12" s="1"/>
  <c r="BC256" i="12"/>
  <c r="BE256" i="12" s="1"/>
  <c r="BC254" i="12"/>
  <c r="BE254" i="12" s="1"/>
  <c r="BD256" i="12"/>
  <c r="BF256" i="12" s="1"/>
  <c r="BD253" i="12"/>
  <c r="BF253" i="12" s="1"/>
  <c r="BH253" i="12" s="1"/>
  <c r="BC258" i="12"/>
  <c r="BE258" i="12" s="1"/>
  <c r="BD258" i="12"/>
  <c r="BF258" i="12" s="1"/>
  <c r="BC255" i="12"/>
  <c r="BE255" i="12" s="1"/>
  <c r="BC253" i="12"/>
  <c r="BE253" i="12" s="1"/>
  <c r="BG253" i="12" s="1"/>
  <c r="BD336" i="12"/>
  <c r="BF336" i="12" s="1"/>
  <c r="BD334" i="12"/>
  <c r="BF334" i="12" s="1"/>
  <c r="BD332" i="12"/>
  <c r="BF332" i="12" s="1"/>
  <c r="BD333" i="12"/>
  <c r="BF333" i="12" s="1"/>
  <c r="BD335" i="12"/>
  <c r="BF335" i="12" s="1"/>
  <c r="BD331" i="12"/>
  <c r="BF331" i="12" s="1"/>
  <c r="BH331" i="12" s="1"/>
  <c r="BC334" i="12"/>
  <c r="BE334" i="12" s="1"/>
  <c r="BC331" i="12"/>
  <c r="BE331" i="12" s="1"/>
  <c r="BG331" i="12" s="1"/>
  <c r="BC336" i="12"/>
  <c r="BE336" i="12" s="1"/>
  <c r="BC332" i="12"/>
  <c r="BE332" i="12" s="1"/>
  <c r="BC333" i="12"/>
  <c r="BE333" i="12" s="1"/>
  <c r="BC335" i="12"/>
  <c r="BE335" i="12" s="1"/>
  <c r="BD300" i="12"/>
  <c r="BF300" i="12" s="1"/>
  <c r="BD298" i="12"/>
  <c r="BF298" i="12" s="1"/>
  <c r="BC298" i="12"/>
  <c r="BE298" i="12" s="1"/>
  <c r="BD299" i="12"/>
  <c r="BF299" i="12" s="1"/>
  <c r="BD297" i="12"/>
  <c r="BF297" i="12" s="1"/>
  <c r="BC295" i="12"/>
  <c r="BE295" i="12" s="1"/>
  <c r="BG295" i="12" s="1"/>
  <c r="BD296" i="12"/>
  <c r="BF296" i="12" s="1"/>
  <c r="BC300" i="12"/>
  <c r="BE300" i="12" s="1"/>
  <c r="BC296" i="12"/>
  <c r="BE296" i="12" s="1"/>
  <c r="BC299" i="12"/>
  <c r="BE299" i="12" s="1"/>
  <c r="BD295" i="12"/>
  <c r="BF295" i="12" s="1"/>
  <c r="BH295" i="12" s="1"/>
  <c r="BC297" i="12"/>
  <c r="BE297" i="12" s="1"/>
  <c r="AS19" i="10"/>
  <c r="BJ35" i="6"/>
  <c r="BK35" i="6" s="1"/>
  <c r="BJ37" i="6"/>
  <c r="BK37" i="6" s="1"/>
  <c r="BJ20" i="6"/>
  <c r="BK20" i="6" s="1"/>
  <c r="BJ17" i="6"/>
  <c r="BK17" i="6" s="1"/>
  <c r="BJ31" i="6"/>
  <c r="BK31" i="6" s="1"/>
  <c r="BJ14" i="6"/>
  <c r="BK14" i="6" s="1"/>
  <c r="BJ22" i="6"/>
  <c r="BK22" i="6" s="1"/>
  <c r="BJ11" i="6"/>
  <c r="BK11" i="6" s="1"/>
  <c r="BK25" i="6"/>
  <c r="AP139" i="10"/>
  <c r="AP163" i="10"/>
  <c r="AP187" i="10"/>
  <c r="AP223" i="10"/>
  <c r="AP247" i="10"/>
  <c r="AP31" i="10"/>
  <c r="AP85" i="10"/>
  <c r="AP109" i="10"/>
  <c r="AP157" i="10"/>
  <c r="AP217" i="10"/>
  <c r="AT337" i="10"/>
  <c r="AU337" i="10" s="1"/>
  <c r="AP361" i="10"/>
  <c r="AP271" i="10"/>
  <c r="AP295" i="10"/>
  <c r="AP319" i="10"/>
  <c r="AP343" i="10"/>
  <c r="AP43" i="10"/>
  <c r="AP13" i="10"/>
  <c r="AP151" i="10"/>
  <c r="AP175" i="10"/>
  <c r="AP235" i="10"/>
  <c r="AP355" i="10"/>
  <c r="AP25" i="10"/>
  <c r="AR25" i="10" s="1"/>
  <c r="AP19" i="10"/>
  <c r="AR19" i="10" s="1"/>
  <c r="AP73" i="10"/>
  <c r="AP97" i="10"/>
  <c r="AP121" i="10"/>
  <c r="AP169" i="10"/>
  <c r="AP193" i="10"/>
  <c r="AP205" i="10"/>
  <c r="AP277" i="10"/>
  <c r="BD7" i="6"/>
  <c r="BE7" i="6" s="1"/>
  <c r="BF7" i="6" s="1"/>
  <c r="AT331" i="10" l="1"/>
  <c r="AU331" i="10" s="1"/>
  <c r="BI187" i="12"/>
  <c r="AR265" i="10"/>
  <c r="AS25" i="10"/>
  <c r="BI151" i="12"/>
  <c r="BI163" i="12"/>
  <c r="AR211" i="10"/>
  <c r="AR259" i="10"/>
  <c r="BI37" i="12"/>
  <c r="AR313" i="10"/>
  <c r="BI127" i="12"/>
  <c r="BI181" i="12"/>
  <c r="BI97" i="12"/>
  <c r="BI85" i="12"/>
  <c r="BI307" i="12"/>
  <c r="AS13" i="10"/>
  <c r="AR325" i="10"/>
  <c r="BI61" i="12"/>
  <c r="AR181" i="10"/>
  <c r="AR13" i="10"/>
  <c r="BI31" i="12"/>
  <c r="AR229" i="10"/>
  <c r="BI313" i="12"/>
  <c r="BI103" i="12"/>
  <c r="AS43" i="10"/>
  <c r="BI235" i="12"/>
  <c r="BI121" i="12"/>
  <c r="BI271" i="12"/>
  <c r="BI349" i="12"/>
  <c r="BI73" i="12"/>
  <c r="AS325" i="10"/>
  <c r="AS61" i="10"/>
  <c r="AT61" i="10" s="1"/>
  <c r="AU61" i="10" s="1"/>
  <c r="AS319" i="10"/>
  <c r="AS271" i="10"/>
  <c r="AS133" i="10"/>
  <c r="AS169" i="10"/>
  <c r="AS211" i="10"/>
  <c r="AS253" i="10"/>
  <c r="AS115" i="10"/>
  <c r="AS85" i="10"/>
  <c r="AS175" i="10"/>
  <c r="AS139" i="10"/>
  <c r="AS103" i="10"/>
  <c r="AS49" i="10"/>
  <c r="AT49" i="10" s="1"/>
  <c r="AU49" i="10" s="1"/>
  <c r="AS163" i="10"/>
  <c r="AS67" i="10"/>
  <c r="AS283" i="10"/>
  <c r="AS187" i="10"/>
  <c r="AS301" i="10"/>
  <c r="AS181" i="10"/>
  <c r="AS79" i="10"/>
  <c r="AS109" i="10"/>
  <c r="AS157" i="10"/>
  <c r="AS121" i="10"/>
  <c r="AS91" i="10"/>
  <c r="AS223" i="10"/>
  <c r="AS73" i="10"/>
  <c r="AS151" i="10"/>
  <c r="AS55" i="10"/>
  <c r="AS313" i="10"/>
  <c r="AS247" i="10"/>
  <c r="AS307" i="10"/>
  <c r="AT307" i="10" s="1"/>
  <c r="AU307" i="10" s="1"/>
  <c r="AS193" i="10"/>
  <c r="AS97" i="10"/>
  <c r="AS217" i="10"/>
  <c r="AS145" i="10"/>
  <c r="AT145" i="10" s="1"/>
  <c r="AU145" i="10" s="1"/>
  <c r="AS127" i="10"/>
  <c r="AS37" i="10"/>
  <c r="AS295" i="10"/>
  <c r="AS199" i="10"/>
  <c r="AS241" i="10"/>
  <c r="AT241" i="10" s="1"/>
  <c r="AU241" i="10" s="1"/>
  <c r="AS7" i="10"/>
  <c r="AS289" i="10"/>
  <c r="AR7" i="10"/>
  <c r="AS277" i="10"/>
  <c r="AS205" i="10"/>
  <c r="AS235" i="10"/>
  <c r="AS259" i="10"/>
  <c r="AS229" i="10"/>
  <c r="AS265" i="10"/>
  <c r="AT265" i="10" s="1"/>
  <c r="AU265" i="10" s="1"/>
  <c r="BI295" i="12"/>
  <c r="BI247" i="12"/>
  <c r="BI133" i="12"/>
  <c r="BI169" i="12"/>
  <c r="AS31" i="10"/>
  <c r="BI13" i="12"/>
  <c r="BI343" i="12"/>
  <c r="BI217" i="12"/>
  <c r="BI241" i="12"/>
  <c r="BI49" i="12"/>
  <c r="BI7" i="12"/>
  <c r="BI145" i="12"/>
  <c r="BI289" i="12"/>
  <c r="BI331" i="12"/>
  <c r="BI253" i="12"/>
  <c r="BI277" i="12"/>
  <c r="BI139" i="12"/>
  <c r="BI265" i="12"/>
  <c r="BI319" i="12"/>
  <c r="BI211" i="12"/>
  <c r="BI175" i="12"/>
  <c r="BI193" i="12"/>
  <c r="BI79" i="12"/>
  <c r="BI109" i="12"/>
  <c r="BI283" i="12"/>
  <c r="BI115" i="12"/>
  <c r="BI67" i="12"/>
  <c r="BI91" i="12"/>
  <c r="BI355" i="12"/>
  <c r="BI259" i="12"/>
  <c r="BI55" i="12"/>
  <c r="BI337" i="12"/>
  <c r="BI25" i="12"/>
  <c r="BI361" i="12"/>
  <c r="BI229" i="12"/>
  <c r="BI157" i="12"/>
  <c r="BI19" i="12"/>
  <c r="AR355" i="10"/>
  <c r="AT355" i="10" s="1"/>
  <c r="AU355" i="10" s="1"/>
  <c r="AR127" i="10"/>
  <c r="AR295" i="10"/>
  <c r="AR85" i="10"/>
  <c r="AR277" i="10"/>
  <c r="AR193" i="10"/>
  <c r="AR97" i="10"/>
  <c r="AR37" i="10"/>
  <c r="AR103" i="10"/>
  <c r="AR43" i="10"/>
  <c r="AR271" i="10"/>
  <c r="AR67" i="10"/>
  <c r="AR289" i="10"/>
  <c r="AR157" i="10"/>
  <c r="AR31" i="10"/>
  <c r="AR163" i="10"/>
  <c r="AR151" i="10"/>
  <c r="AR301" i="10"/>
  <c r="AR205" i="10"/>
  <c r="AR55" i="10"/>
  <c r="AR91" i="10"/>
  <c r="AR217" i="10"/>
  <c r="AR253" i="10"/>
  <c r="AR169" i="10"/>
  <c r="AR73" i="10"/>
  <c r="AR283" i="10"/>
  <c r="AR175" i="10"/>
  <c r="AR79" i="10"/>
  <c r="AR343" i="10"/>
  <c r="AT343" i="10" s="1"/>
  <c r="AU343" i="10" s="1"/>
  <c r="AR199" i="10"/>
  <c r="AR361" i="10"/>
  <c r="AT361" i="10" s="1"/>
  <c r="AU361" i="10" s="1"/>
  <c r="AR133" i="10"/>
  <c r="AR247" i="10"/>
  <c r="AR139" i="10"/>
  <c r="AR319" i="10"/>
  <c r="AR115" i="10"/>
  <c r="AT115" i="10" s="1"/>
  <c r="AU115" i="10" s="1"/>
  <c r="AR109" i="10"/>
  <c r="AR223" i="10"/>
  <c r="AR121" i="10"/>
  <c r="AR235" i="10"/>
  <c r="AR187" i="10"/>
  <c r="AT19" i="10"/>
  <c r="AU19" i="10" s="1"/>
  <c r="AT25" i="10"/>
  <c r="AU25" i="10" s="1"/>
  <c r="BG7" i="6"/>
  <c r="BH7" i="6" s="1"/>
  <c r="AT259" i="10" l="1"/>
  <c r="AU259" i="10" s="1"/>
  <c r="AT211" i="10"/>
  <c r="AU211" i="10" s="1"/>
  <c r="AT13" i="10"/>
  <c r="AU13" i="10" s="1"/>
  <c r="AT67" i="10"/>
  <c r="AU67" i="10" s="1"/>
  <c r="AT313" i="10"/>
  <c r="AU313" i="10" s="1"/>
  <c r="AT229" i="10"/>
  <c r="AU229" i="10" s="1"/>
  <c r="AT109" i="10"/>
  <c r="AU109" i="10" s="1"/>
  <c r="AT169" i="10"/>
  <c r="AU169" i="10" s="1"/>
  <c r="AT325" i="10"/>
  <c r="AU325" i="10" s="1"/>
  <c r="AT319" i="10"/>
  <c r="AU319" i="10" s="1"/>
  <c r="AT55" i="10"/>
  <c r="AU55" i="10" s="1"/>
  <c r="AT181" i="10"/>
  <c r="AU181" i="10" s="1"/>
  <c r="AT79" i="10"/>
  <c r="AU79" i="10" s="1"/>
  <c r="AT133" i="10"/>
  <c r="AU133" i="10" s="1"/>
  <c r="AT187" i="10"/>
  <c r="AU187" i="10" s="1"/>
  <c r="AT85" i="10"/>
  <c r="AU85" i="10" s="1"/>
  <c r="AT121" i="10"/>
  <c r="AU121" i="10" s="1"/>
  <c r="AT253" i="10"/>
  <c r="AU253" i="10" s="1"/>
  <c r="AT271" i="10"/>
  <c r="AU271" i="10" s="1"/>
  <c r="AT217" i="10"/>
  <c r="AU217" i="10" s="1"/>
  <c r="AT301" i="10"/>
  <c r="AU301" i="10" s="1"/>
  <c r="AT157" i="10"/>
  <c r="AU157" i="10" s="1"/>
  <c r="AT43" i="10"/>
  <c r="AU43" i="10" s="1"/>
  <c r="AT31" i="10"/>
  <c r="AU31" i="10" s="1"/>
  <c r="AT283" i="10"/>
  <c r="AU283" i="10" s="1"/>
  <c r="AT91" i="10"/>
  <c r="AU91" i="10" s="1"/>
  <c r="AT103" i="10"/>
  <c r="AU103" i="10" s="1"/>
  <c r="AT139" i="10"/>
  <c r="AU139" i="10" s="1"/>
  <c r="AT151" i="10"/>
  <c r="AU151" i="10" s="1"/>
  <c r="AT7" i="10"/>
  <c r="AU7" i="10" s="1"/>
  <c r="AT175" i="10"/>
  <c r="AU175" i="10" s="1"/>
  <c r="AT295" i="10"/>
  <c r="AU295" i="10" s="1"/>
  <c r="AT199" i="10"/>
  <c r="AU199" i="10" s="1"/>
  <c r="AT277" i="10"/>
  <c r="AU277" i="10" s="1"/>
  <c r="AT247" i="10"/>
  <c r="AU247" i="10" s="1"/>
  <c r="AT73" i="10"/>
  <c r="AU73" i="10" s="1"/>
  <c r="AT289" i="10"/>
  <c r="AU289" i="10" s="1"/>
  <c r="AT235" i="10"/>
  <c r="AU235" i="10" s="1"/>
  <c r="AT163" i="10"/>
  <c r="AU163" i="10" s="1"/>
  <c r="AT37" i="10"/>
  <c r="AU37" i="10" s="1"/>
  <c r="AT205" i="10"/>
  <c r="AU205" i="10" s="1"/>
  <c r="AT97" i="10"/>
  <c r="AU97" i="10" s="1"/>
  <c r="AT223" i="10"/>
  <c r="AU223" i="10" s="1"/>
  <c r="AT193" i="10"/>
  <c r="AU193" i="10" s="1"/>
  <c r="AT127" i="10"/>
  <c r="AU127" i="10" s="1"/>
  <c r="BJ7" i="6"/>
  <c r="BK7" i="6" s="1"/>
</calcChain>
</file>

<file path=xl/comments1.xml><?xml version="1.0" encoding="utf-8"?>
<comments xmlns="http://schemas.openxmlformats.org/spreadsheetml/2006/main">
  <authors>
    <author>DIGITAL EXITO</author>
  </authors>
  <commentList>
    <comment ref="O6" authorId="0" shapeId="0">
      <text>
        <r>
          <rPr>
            <b/>
            <sz val="9"/>
            <color indexed="81"/>
            <rFont val="Tahoma"/>
            <family val="2"/>
          </rPr>
          <t>MJD:</t>
        </r>
        <r>
          <rPr>
            <sz val="9"/>
            <color indexed="81"/>
            <rFont val="Tahoma"/>
            <family val="2"/>
          </rPr>
          <t xml:space="preserve">
Para una CORRECTA descripción del Control, remitirse a la Hoja CONTROLES</t>
        </r>
      </text>
    </comment>
  </commentList>
</comments>
</file>

<file path=xl/comments2.xml><?xml version="1.0" encoding="utf-8"?>
<comments xmlns="http://schemas.openxmlformats.org/spreadsheetml/2006/main">
  <authors>
    <author>DIGITAL EXITO</author>
    <author>Usuario de Windows</author>
  </authors>
  <commentList>
    <comment ref="BJ4" authorId="0" shapeId="0">
      <text>
        <r>
          <rPr>
            <b/>
            <sz val="9"/>
            <color indexed="81"/>
            <rFont val="Tahoma"/>
            <family val="2"/>
          </rPr>
          <t>DIGITAL EXITO:</t>
        </r>
        <r>
          <rPr>
            <sz val="9"/>
            <color indexed="81"/>
            <rFont val="Tahoma"/>
            <family val="2"/>
          </rPr>
          <t xml:space="preserve">
Diligenciar cuando la medida de respuesta sea diferente a </t>
        </r>
        <r>
          <rPr>
            <b/>
            <i/>
            <sz val="14"/>
            <color indexed="81"/>
            <rFont val="Tahoma"/>
            <family val="2"/>
          </rPr>
          <t>Asumir el Riesgo</t>
        </r>
      </text>
    </comment>
    <comment ref="M6" authorId="1" shapeId="0">
      <text>
        <r>
          <rPr>
            <b/>
            <sz val="16"/>
            <color indexed="81"/>
            <rFont val="Tahoma"/>
            <family val="2"/>
          </rPr>
          <t xml:space="preserve">MJD:
</t>
        </r>
        <r>
          <rPr>
            <sz val="16"/>
            <color indexed="81"/>
            <rFont val="Tahoma"/>
            <family val="2"/>
          </rPr>
          <t>Remitirse a la pestaña Probabilidad Seguridad Informac</t>
        </r>
      </text>
    </comment>
    <comment ref="O6" authorId="1" shapeId="0">
      <text>
        <r>
          <rPr>
            <b/>
            <sz val="18"/>
            <color indexed="81"/>
            <rFont val="Tahoma"/>
            <family val="2"/>
          </rPr>
          <t>MJD:</t>
        </r>
        <r>
          <rPr>
            <sz val="18"/>
            <color indexed="81"/>
            <rFont val="Tahoma"/>
            <family val="2"/>
          </rPr>
          <t xml:space="preserve">
Remitirse a la Guía de Administración de Riesgos - G-MC-04 para la tabla de Impactos de Riesgos de Seguridad Digital</t>
        </r>
      </text>
    </comment>
    <comment ref="U6" authorId="0" shapeId="0">
      <text>
        <r>
          <rPr>
            <b/>
            <sz val="9"/>
            <color indexed="81"/>
            <rFont val="Tahoma"/>
            <family val="2"/>
          </rPr>
          <t>MJD:</t>
        </r>
        <r>
          <rPr>
            <sz val="9"/>
            <color indexed="81"/>
            <rFont val="Tahoma"/>
            <family val="2"/>
          </rPr>
          <t xml:space="preserve">
Para una CORRECTA descripción del Control, remitirse a la Hoja CONTROLES</t>
        </r>
      </text>
    </comment>
    <comment ref="BG6" authorId="1" shapeId="0">
      <text>
        <r>
          <rPr>
            <b/>
            <sz val="9"/>
            <color indexed="81"/>
            <rFont val="Tahoma"/>
            <family val="2"/>
          </rPr>
          <t xml:space="preserve">Ministerio de Justicia y del Derecho: </t>
        </r>
        <r>
          <rPr>
            <sz val="9"/>
            <color indexed="81"/>
            <rFont val="Tahoma"/>
            <family val="2"/>
          </rPr>
          <t>Revisar la pestaña de probabilidad de seg. De la información</t>
        </r>
        <r>
          <rPr>
            <sz val="9"/>
            <color indexed="81"/>
            <rFont val="Tahoma"/>
            <family val="2"/>
          </rPr>
          <t xml:space="preserve">
</t>
        </r>
      </text>
    </comment>
    <comment ref="BH6" authorId="1" shapeId="0">
      <text>
        <r>
          <rPr>
            <b/>
            <sz val="9"/>
            <color indexed="81"/>
            <rFont val="Tahoma"/>
            <family val="2"/>
          </rPr>
          <t>Ministerio de Justicia y del Derecho:</t>
        </r>
        <r>
          <rPr>
            <sz val="9"/>
            <color indexed="81"/>
            <rFont val="Tahoma"/>
            <family val="2"/>
          </rPr>
          <t xml:space="preserve">
Revisar Guía de  administración de riesgos del Ministerio de Justicia y del Derecho</t>
        </r>
      </text>
    </comment>
  </commentList>
</comments>
</file>

<file path=xl/sharedStrings.xml><?xml version="1.0" encoding="utf-8"?>
<sst xmlns="http://schemas.openxmlformats.org/spreadsheetml/2006/main" count="4118" uniqueCount="1435">
  <si>
    <t>Tipo de Proceso</t>
  </si>
  <si>
    <t>Procesos</t>
  </si>
  <si>
    <t>Objetivos</t>
  </si>
  <si>
    <t>Tipo_de_Riesgo</t>
  </si>
  <si>
    <t>Clase de Causa</t>
  </si>
  <si>
    <t>Probabilidad</t>
  </si>
  <si>
    <t>Impacto</t>
  </si>
  <si>
    <t>Opciones_de_Manejo</t>
  </si>
  <si>
    <t>Control_Existente</t>
  </si>
  <si>
    <t>Evaluación</t>
  </si>
  <si>
    <t>Medidas_de_Respuesta</t>
  </si>
  <si>
    <t>Solidez Controles</t>
  </si>
  <si>
    <t>Objetivos Estratégicos</t>
  </si>
  <si>
    <t>Estratégico</t>
  </si>
  <si>
    <t xml:space="preserve">Gestión del Conocimiento </t>
  </si>
  <si>
    <t>Riesgo Estratégico</t>
  </si>
  <si>
    <t>Interna</t>
  </si>
  <si>
    <t>Raro</t>
  </si>
  <si>
    <t>Insignificante</t>
  </si>
  <si>
    <t>Aceptar el Riesgo</t>
  </si>
  <si>
    <t>Preventivo</t>
  </si>
  <si>
    <t>Rara Vez</t>
  </si>
  <si>
    <t>Rara vezInsignificante</t>
  </si>
  <si>
    <t>Bajo</t>
  </si>
  <si>
    <t>Asumir el riesgo</t>
  </si>
  <si>
    <t>Fuerte</t>
  </si>
  <si>
    <r>
      <t>1. </t>
    </r>
    <r>
      <rPr>
        <sz val="11"/>
        <color rgb="FF212529"/>
        <rFont val="Arial"/>
        <family val="2"/>
      </rPr>
      <t>Fortalecer el sistema de justicia para que sea accesible, oportuno y cercano al ciudadano.</t>
    </r>
  </si>
  <si>
    <t>Gestión de la Información y las comunicaciones</t>
  </si>
  <si>
    <t>Proveer información oportuna, confiable, veraz y accesible a clientes internos y externos del Ministerio de Justicia y del Derecho.</t>
  </si>
  <si>
    <t>Riesgo Operativo</t>
  </si>
  <si>
    <t>Externa</t>
  </si>
  <si>
    <t>Improbable</t>
  </si>
  <si>
    <t>Menor</t>
  </si>
  <si>
    <t>Evitar el Riesgo</t>
  </si>
  <si>
    <t>Correctivo</t>
  </si>
  <si>
    <t>Rara vezMenor</t>
  </si>
  <si>
    <t>Moderado</t>
  </si>
  <si>
    <t xml:space="preserve"> Reducir el riesgo</t>
  </si>
  <si>
    <r>
      <t>2. </t>
    </r>
    <r>
      <rPr>
        <sz val="11"/>
        <color rgb="FF212529"/>
        <rFont val="Arial"/>
        <family val="2"/>
      </rPr>
      <t>Formular y coordinar la política pública en materia de justicia transicional, en el marco de la reconciliación nacional.</t>
    </r>
  </si>
  <si>
    <t>Gestión de la Relación con los Grupos de Interés</t>
  </si>
  <si>
    <t>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t>
  </si>
  <si>
    <t>Riesgo Financiero</t>
  </si>
  <si>
    <t>Moderada</t>
  </si>
  <si>
    <t>Compartir el Riesgo</t>
  </si>
  <si>
    <t>Posible</t>
  </si>
  <si>
    <t>Rara vezModerado</t>
  </si>
  <si>
    <t>Alto</t>
  </si>
  <si>
    <t>Reducir el riesgo</t>
  </si>
  <si>
    <t>Débil</t>
  </si>
  <si>
    <r>
      <t>3. </t>
    </r>
    <r>
      <rPr>
        <sz val="11"/>
        <color rgb="FF212529"/>
        <rFont val="Arial"/>
        <family val="2"/>
      </rPr>
      <t>Liderar la formulación, implementación y seguimiento de las políticas en materia criminal y penitenciaria</t>
    </r>
  </si>
  <si>
    <t>Mejora Integral de la Gestión Institucional</t>
  </si>
  <si>
    <t xml:space="preserve">Coordinar y administrar la implementación del Sistema Integrado de Gestión del Ministerio de Justicia y de Derecho, con el fin de 
asegurar su mejora contlnua, conveniencia, eficacia y eficiencia conforme con los estándares adoptados. </t>
  </si>
  <si>
    <t>Riesgo de Cumplimiento</t>
  </si>
  <si>
    <t>Probable</t>
  </si>
  <si>
    <t>Mayor</t>
  </si>
  <si>
    <t>Reducir el Riesgo</t>
  </si>
  <si>
    <t>Rara vezMayor</t>
  </si>
  <si>
    <t>Extremo</t>
  </si>
  <si>
    <t>Evitar el riesgo</t>
  </si>
  <si>
    <r>
      <t>4. </t>
    </r>
    <r>
      <rPr>
        <sz val="11"/>
        <color rgb="FF212529"/>
        <rFont val="Arial"/>
        <family val="2"/>
      </rPr>
      <t>Consolidar la política integral de drogas, su implementación y evaluación.</t>
    </r>
  </si>
  <si>
    <t>Direccionamiento y Planeación Institucional</t>
  </si>
  <si>
    <t xml:space="preserve">Orientar la gestion de la entidad y del sector para que las acciones se deriven de una planeación eficiente y articulada que optimice 
el uso de los recursos en el logro de los objetivos institucionales. </t>
  </si>
  <si>
    <t>Riesgo de Tecnología</t>
  </si>
  <si>
    <t>Casi seguro</t>
  </si>
  <si>
    <t>Catastrófico</t>
  </si>
  <si>
    <t>Rara vezCatastrófico</t>
  </si>
  <si>
    <r>
      <t>5. </t>
    </r>
    <r>
      <rPr>
        <sz val="11"/>
        <color rgb="FF212529"/>
        <rFont val="Arial"/>
        <family val="2"/>
      </rPr>
      <t>Afianzar una gestión institucional innovadora y ética, soportada en el desarrollo humano y la participación ciudadana.</t>
    </r>
  </si>
  <si>
    <t>Misional</t>
  </si>
  <si>
    <t>Gestión contra la Criminalidad y la Reincidencia</t>
  </si>
  <si>
    <t>Riesgo de Imagen</t>
  </si>
  <si>
    <t>ImprobableInsignificante</t>
  </si>
  <si>
    <t>Formulación y Seguimiento de las Políticas Públicas</t>
  </si>
  <si>
    <t>Formularlos criterios,parámetros o lineamientos generales elegidos para abordar las prioridades de la agenda pública en materia de justicia y del derecho y orientar las decisiones respecto a una necesidad o situación de interés público en las materias de competencia del sector de Justicia y del Derecho;hacer seguimiento a las acciones definidas para su implementación o desarrollo y efectuar los ajustes que se requieran.</t>
  </si>
  <si>
    <t>ImprobableMenor</t>
  </si>
  <si>
    <t>Formulación y Seguimiento de Proyectos Normativos</t>
  </si>
  <si>
    <t>Formular proyectos de actos normativos de acuerdo con las políticas que orientan el sector Justicia y del Derecho,que sirven de herramienta para cumplir con los objetivos del Ministerio en beneficio de la comunidad y partes interesadas de acuerdo con el ordenamiento jurídico vigente.</t>
  </si>
  <si>
    <t>ImprobableModerado</t>
  </si>
  <si>
    <t>Acceso a la Justicia</t>
  </si>
  <si>
    <t>ImprobableMayor</t>
  </si>
  <si>
    <t>Fortalecimiento del Principio de Seguridad Jurídica</t>
  </si>
  <si>
    <t>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t>
  </si>
  <si>
    <t>ImprobableCatastrófico</t>
  </si>
  <si>
    <t>Apoyo</t>
  </si>
  <si>
    <t>Gestión Administrativa</t>
  </si>
  <si>
    <t>Fijar los lineamientos, parámetros y actividades requeridas para garantizar la gestión de los servicios administrativos, logísticos y la administración de los bienes necesario para la operación del Ministerio de Justicia y del Derecho.</t>
  </si>
  <si>
    <t>PosibleInsignificante</t>
  </si>
  <si>
    <t>Gestión Financiera</t>
  </si>
  <si>
    <t>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t>
  </si>
  <si>
    <t>PosibleMenor</t>
  </si>
  <si>
    <t>Gestión de las Tecnologías y la Información</t>
  </si>
  <si>
    <t>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t>
  </si>
  <si>
    <t>PosibleModerado</t>
  </si>
  <si>
    <t>Gestión Contractual</t>
  </si>
  <si>
    <t>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t>
  </si>
  <si>
    <t>PosibleMayor</t>
  </si>
  <si>
    <t>Gestión Jurídica</t>
  </si>
  <si>
    <t>Apoyar a las diferentes dependencias de la Entidad y del Sector Justicia en el cumplimiento de su función administrativa, emitir conceptos jurídicos, defender y representar jurídicamente al Ministerio de Justicia y del Derecho</t>
  </si>
  <si>
    <t>PosibleCatastrófico</t>
  </si>
  <si>
    <t>Gestión Documental</t>
  </si>
  <si>
    <t>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t>
  </si>
  <si>
    <t>ProbableInsignificante</t>
  </si>
  <si>
    <t>Gestión del Talento Humano</t>
  </si>
  <si>
    <t>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t>
  </si>
  <si>
    <t>ProbableMenor</t>
  </si>
  <si>
    <t>Seguimiento y Evaluación</t>
  </si>
  <si>
    <t>Evaluar y/o hacer seguimiento a la planeación, ejecución y control en la gestión de los procesos (SIG), programas, planes y proyectos del Ministerio de Justicia y del Derecho para el mejoramiento continuo de la gestión de la Entidad.</t>
  </si>
  <si>
    <t>ProbableModerado</t>
  </si>
  <si>
    <t>ProbableMayor</t>
  </si>
  <si>
    <t>ProbableCatastrófico</t>
  </si>
  <si>
    <t>Casi seguroInsignificante</t>
  </si>
  <si>
    <t>Casi seguroMenor</t>
  </si>
  <si>
    <t>Calificación de Impacto</t>
  </si>
  <si>
    <t>Evidencia</t>
  </si>
  <si>
    <t>Ejecución del Control</t>
  </si>
  <si>
    <t>Control</t>
  </si>
  <si>
    <t>Casi seguroModerado</t>
  </si>
  <si>
    <t>Si</t>
  </si>
  <si>
    <t>Completa</t>
  </si>
  <si>
    <t>Siempre</t>
  </si>
  <si>
    <t>Casi seguroMayor</t>
  </si>
  <si>
    <t>No</t>
  </si>
  <si>
    <t>Incompleta</t>
  </si>
  <si>
    <t>Algunas Veces</t>
  </si>
  <si>
    <t>Detectivo</t>
  </si>
  <si>
    <t>Casi seguroCatastrófico</t>
  </si>
  <si>
    <t>No existe</t>
  </si>
  <si>
    <t>No se ejecuta</t>
  </si>
  <si>
    <t>Detectivo/Correctivo</t>
  </si>
  <si>
    <t>Código: F-MC-G04-01
Versión: 5</t>
  </si>
  <si>
    <t>Herramienta de Riesgos de Gestión</t>
  </si>
  <si>
    <t>Vigencia</t>
  </si>
  <si>
    <t>IDENTIFICACIÓN DEL RIESGO</t>
  </si>
  <si>
    <t>ÁNALISIS DEL RIESGO</t>
  </si>
  <si>
    <t>EVALUACIÓN DEL RIESGO</t>
  </si>
  <si>
    <t>MEDIDAS DE RESPUESTA</t>
  </si>
  <si>
    <t>Riesgo Inherente</t>
  </si>
  <si>
    <t>CONTROLES</t>
  </si>
  <si>
    <t>Diseño del Control</t>
  </si>
  <si>
    <t>Solidez Individual de cada Control</t>
  </si>
  <si>
    <t>Solidez del Conjunto de Controles</t>
  </si>
  <si>
    <t>Riesgo Residual</t>
  </si>
  <si>
    <t>Seguimiento 1</t>
  </si>
  <si>
    <t>Seguimiento 2</t>
  </si>
  <si>
    <t>Seguimiento 3</t>
  </si>
  <si>
    <t>N°</t>
  </si>
  <si>
    <t>PROCESO</t>
  </si>
  <si>
    <t>OBJETIVO DEL PROCESO</t>
  </si>
  <si>
    <t xml:space="preserve"> RIESGO</t>
  </si>
  <si>
    <t>Tipo de Riesgo</t>
  </si>
  <si>
    <t>OBJETIVOS ESTRATÉGICOS RELACIONADOS</t>
  </si>
  <si>
    <t>CAUSA</t>
  </si>
  <si>
    <t>Clasificación de la Causa</t>
  </si>
  <si>
    <t>CONSECUENCIAS</t>
  </si>
  <si>
    <t>PROBABILIDAD</t>
  </si>
  <si>
    <t>IMPACTO</t>
  </si>
  <si>
    <t xml:space="preserve">EVALUACIÓN </t>
  </si>
  <si>
    <t>DESCRIPCIÓN DEL CONTROL</t>
  </si>
  <si>
    <t>Causa que ataca</t>
  </si>
  <si>
    <t>CLASE DE CONTROL EXISTENTE</t>
  </si>
  <si>
    <t>1. ¿Existe un responsable asignado de la ejecución?</t>
  </si>
  <si>
    <t>2. ¿El responsable tiene la autoridad y adecuada segregación de funciones en la ejecución del control?</t>
  </si>
  <si>
    <t>3. ¿La oportunidad en que se ejecuta el control ayuda a prevenir la mitigación del riesgo o a detectar la materialización del riesgo en manera oportuna?</t>
  </si>
  <si>
    <t>4. ¿Las actividades que desarrollan en el control realmente buscan por si sola prevenir o detectar las causas que puedan dar origen al riesgo, ejemplo: Verificar, Validar, Cotejar, Comparar, Revisar?</t>
  </si>
  <si>
    <t>5. ¿La fuente de Información que se utiliza en el desarrollo del control es información confiable que permita mitigar el riesgo?</t>
  </si>
  <si>
    <t>6. ¿Las observaciones, desviaciones o diferencias identificadas como resultados de la ejecución del control son investigadas y resueltas de manera oportuna?</t>
  </si>
  <si>
    <t>7. ¿Se deja evidencia o rastro de la ejecución del control, que permita cualquier tercero con la evidencia, llegar a la misma conclusión?</t>
  </si>
  <si>
    <t>Total Diseño de Control</t>
  </si>
  <si>
    <t>RANGO DE CALIFICACIÓN DEL DISEÑO</t>
  </si>
  <si>
    <t>NIVEL DE EJECUCIÓN DEL CONTROL</t>
  </si>
  <si>
    <t>RANGO DE CALIFICACIÓN DE LA EJECUCIÓN</t>
  </si>
  <si>
    <t>SOLIDEZ INDIVIDUAL DE CADA CONTROL</t>
  </si>
  <si>
    <t>Total Solidez Individual</t>
  </si>
  <si>
    <t xml:space="preserve">Promedio de los Controles de  Riesgo </t>
  </si>
  <si>
    <t xml:space="preserve">CALIFICACIÓN DE LA SOLIDEZ DEL CONJUNTO DE CONTROLES </t>
  </si>
  <si>
    <t>Casillas que mueve en Probabilidad</t>
  </si>
  <si>
    <t>Casillas que mueve en Impacto</t>
  </si>
  <si>
    <t>OPCIONES DE MANEJO</t>
  </si>
  <si>
    <t>Inoportunidad en la realización del tramité Beneficio Jurídico de Indulto</t>
  </si>
  <si>
    <t>1. Fortalecer el sistema de justicia para que sea accesible, oportuno y cercano al ciudadano.</t>
  </si>
  <si>
    <t>Demora en el proceso de revisión del acto administrativo</t>
  </si>
  <si>
    <t>Acción de tutela</t>
  </si>
  <si>
    <t>El profesional designado para el tramité de la Dirección de Justicia Transicional, semanalmente luego de haber remitido para revisón el acto administrativo, a fin de evitar demoras que puedan entorpecer el tramité, realizará un seguimiento al proceso de revisión, para lo cual solicitará información al responsable del mismo sobre el avance del proceso. Si en el momento de realizar el seguimiento, se evidencia una demora superior a 5 días hábiles por parte del responsable de la revisión, se notificará de esta situación al líder de la Dirección de Justicia Transicional, el cual enviara un memorando reiterando la solicitud de revisión. Evidencia: Hoja de ruta del tramité
Estado de la solicitud en el sistema de Información Interinstitucional de Justicia Transicional 
Memorandos remitidos a las areas involucradas en el proceso de revisión
Reiteración de la solicitud en los casos a los que haya lugar</t>
  </si>
  <si>
    <t>Demora en la notificación del acto administrativo al interno por parte de la oficina jurídica del centro penintenciario</t>
  </si>
  <si>
    <t>Habeas Corpus</t>
  </si>
  <si>
    <t>El profesional designado para el tramité de la Dirección de Justicia Transicional, semanalmente luego de haber remitido a la oficinina jurídica del centro penintenciario para notificación del acto administrativo, a fin de evitar demoras que puedan entorpecer el tramité, realizará un seguimiento al proceso de notificación, para lo cual solicitará información a la oficina jurídica del centro penintenciario, Si en el momento de realizar el seguimiento, se evidencia una demora superior a 5 días hábiles por parte de la oficina jurídica del centro penintenciario, se notificará de esta situación al líder de la Dirección de Justicia Transicional, el cual enviara un oficio reiterando la solicitud de notificación. Evidencia: Hoja de ruta del tramité
Estado de la solicitud en el sistema de Información Interinstitucional de Justicia Transicional 
Oficios remitidos a la oficina jurídica del centro peninteciario 
Reiteración de la solicitud en los casos a los que haya lugar</t>
  </si>
  <si>
    <t>Requerimiento o intervención de un ente de control</t>
  </si>
  <si>
    <t>Realizar o líquidar pagos de forma inadecuada</t>
  </si>
  <si>
    <t xml:space="preserve">Errores por acción u omisión de la información en el registro en las cuentas de cobro
</t>
  </si>
  <si>
    <t xml:space="preserve">Requerimiento por partes de Emtes de Control.
</t>
  </si>
  <si>
    <t>El contador y la persona asignada de tesorería, cada vez que se liquida y se tramita para pago una cuenta de cobro, a fin de evitar errores en la liquidación de estas cuentas, verifica que la documentación este completa, que sea acorde a la forma de pago descrita en el contrato, verifica los requisitos de persona natural (planilla Seguidad Social y Deducciones) y que la obligación sea coherente con esta documentación. En caso de encontrar información faltante o inconsistente, devuelve de forma inmediata a la persona asignada a la revisión anterior para una posterior correción de ser necesaria Evidencia:  Firma y visto bueno del contador en la cuenta de cobro
Tramité en tesorería (Cuenta de cobro para pago)
Devolución de la cuenta de cobro en los casos en los que aplique</t>
  </si>
  <si>
    <t>Falta de actualización en materia tributaria.</t>
  </si>
  <si>
    <t xml:space="preserve">Investigación Disciplinaria
</t>
  </si>
  <si>
    <t>El funcionario asignado por el Grupo de Gestión Financiera, cada vez que se presente un cambio normativo que afecte el proceso de liquidación de cuentas de cobro,  a fin de evitar errores en la liquidación de estas cuentas y fortalecer las competencias del personal a cargo del proceso, realiza un proceso de socialización y sensibilización al equipo de trabajo, teniendo en cuenta estos cambios. En caso de que al momento de la ejecución de la actividad hayase un faltante de citados mayor o igual a la tercera parte , se deberá o re programar la actividad o realizarla una segunda vez, si aún después de esto se sigue presentando inasistencia se enviará por correo electrónico la información a los no asistentes para su consulta Evidencia:
Asistencia a la socialización y sensibilización
Programación de los eventos
Envío del material por correo electrónico</t>
  </si>
  <si>
    <t>Sobreacumulación de cuentas de cobro muy cerca del plazo final para su liquidación y pago</t>
  </si>
  <si>
    <t>Sanciones pecuniarias</t>
  </si>
  <si>
    <t>La persona responsable de tesorería, una vez se aprueba el PAC y luego de identificadas las solicitudes de este con recursos significativos dentro del PAC mensual, a fin de informar la aprobación del monto y las fechas máximas establecidas para la solicitud de pago, envía una comunicación al responsable de la solicitud con los plazos máximos establecidos para la solicitud de radicación de pago, con copia al jefe de area. Si luego de cinco (5) días hábiles, no se cuenta con la cuenta de cobro radicada por parte del solicitante del PAC, se reitarara la solicitud copiando esta a la secretaria general, informando así mismo la fecha de la primera solicitud o adjuntando esta. Evidencia:
Comunicación al solicitante informando montos y plazos
Respuesta del solicitante (Cuenta de cobro radicada)
Reiteración de la solicitud en los casos en que sea necesario</t>
  </si>
  <si>
    <t>Inexistencia de un sistema que permita automatizar algunas tareas relacionadas con la liquidación</t>
  </si>
  <si>
    <r>
      <t xml:space="preserve">El contador y la persona asignada de tesorería, cada vez que se liquida y se tramita para pago una cuenta de cobro, a fin de evitar errores en la liquidación de estas cuentas, verifica que la documentación este completa, que sea acorde a la forma de pago descrita en el contrato, verifica los requisitos de persona natural (planilla Seguidad Social y Deducciones) y que la obligación sea coherente con esta documentación. En caso de encontrar información faltante o inconsistente, devuelve de forma inmediata a la persona asignada a la revisión anterior para una posterior correción de ser necesaria Evidencia:  Firma y visto bueno del contador en la cuenta de cobro
Tramité en tesorería (Cuenta de cobro para pago)
Devolución de la cuenta de cobro en los casos en los que aplique
</t>
    </r>
    <r>
      <rPr>
        <b/>
        <sz val="11"/>
        <color theme="1"/>
        <rFont val="Abadi"/>
        <family val="2"/>
      </rPr>
      <t>El siguiente control NO mitiga la causa de Inexistencia de un sistema que permita automatizar algunas tareas relacionadas con la liquidación, pero permite realizar la labor de revisión manualmente. Así mismo el proces de Gestión Financiera viene realizando la gestión ante la DTGIJ de solicitud de implermntación de un aplicativo o software que mitigaría la causa identificada pero la respuesta ha sido negativa por parte de esta.</t>
    </r>
  </si>
  <si>
    <t>Presentar información inexacta o inoportuna en los Estados Financieros.</t>
  </si>
  <si>
    <t>Entrega tardía de la información por parte de las dependencias generadoras</t>
  </si>
  <si>
    <t xml:space="preserve">Requerimiento por parte de los entes de control
</t>
  </si>
  <si>
    <t>La persona responsable de la conciliación designada por el líder del grupo de gestión financiera, mensualmente a fin de evitar la entrega tardía de la informaicón por parte de las dependencias generadoras, requiere la información a las areás para los diferentes estados financieros, atendiendo los plazos establecidos en la circular interna. Si pasados los primeros días del mes siguiente, no se ha recibido información de las areás se reitera la solicitud adjuntando la circular. Si luego de la reiteración no se recibe información, se deja constancia del hecho en las revelaciones de los estados financieros y se comunicara a la secretaría general sobre el evento. Evidencia:
Solicitud de información inicial
Reiteración de la solicitud en los casos que sea necesaria
Comunicación a Secretaría General en los casos requeridos
Revelaciones de los estados financieros</t>
  </si>
  <si>
    <t>Entrega incompleta o inconsistente por parte de las dependencias generadoras</t>
  </si>
  <si>
    <t xml:space="preserve">Investigación disciplinaria
</t>
  </si>
  <si>
    <t>La persona responsable de la conciliación designada por el líder del grupo de gestión financiera, mensualmente a fin de detectar errores en la información remitida por las areás, realiza la conciliación e identifica posibles cifras con diferencias. Si al momento de realizar la conciliación detecta cifras con diferencias, se solicita aclaración o verificación de estas al areá responsable de forma inmediata, de no surtirse este proceso se deja la anotación en la respectiva conciliación, para ser subsanada en el mes siguiente. Evidencia:
Reporte de información recibida
Conciliación
Registros Contables
Anotaciones en las conciliaciones en los casos que se requiera</t>
  </si>
  <si>
    <t>Entrega de reportes o tableros de control de información de forma inconsistente o inoportuna</t>
  </si>
  <si>
    <t>La fuente no realiza la actualización periódica de los datos entregados para el reporte</t>
  </si>
  <si>
    <t>Pérdida de credibilidad</t>
  </si>
  <si>
    <t>La Subdirección de Gestión de la Información, trimestralmente, a fin de verificar el cumplimiento de las condiciones previamente pactadas, realiza seguimiento al convenio o acuerdo de intercambio de información. En caso de encontrar incumplimiento de las condiciones  pactadas en el convenio o acuerdo, el Ministerio debe generar la alerta a la fuente de información para que esta tome las medidas correspondientes. Evidencia: Informes de seguimiento
Alertas en el caso que así lo amerite
Respectiva respuesta de la fuente de información ante las alertas generadas</t>
  </si>
  <si>
    <t>5. Afianzar una gestión institucional innovadora y ética, soportada en el desarrollo humano y la participación ciudadana.</t>
  </si>
  <si>
    <t xml:space="preserve">Interpretación errónea de los datos entregados </t>
  </si>
  <si>
    <t>Quejas de los usuarios</t>
  </si>
  <si>
    <t>El profesional designado de la  Subdirección de Gestión de la Información, al menos una vez al año, para evitar interpretación errónea de los datos y fortalecer la consistencia de los mismos, socializara los lineamientos para análisis y calidad de los datos tanto para las áreas misionales como para la subdirección. La socialización se podrá realizar por estos medios: mailing, intranet, reuniones. En caso de que al momento de socializar los lineamientos haya una ausencia mayor o igual a la tercera parte, se enviará a los ausentes las memorias y el material utilizado en la reunión. Evidencia: Asistencia a la socialización, material utilizado en la reunión y memorias.</t>
  </si>
  <si>
    <t>Demora en la entrega de información por parte de la fuente</t>
  </si>
  <si>
    <t xml:space="preserve">Decisiones erróneas </t>
  </si>
  <si>
    <t>La fuente realiza la entrega con errores de calidad en los datos a la Subdirección de Gestión de Información</t>
  </si>
  <si>
    <t>La Dirección de Métodos Alternativos de Solución de Conflictos, al menos una vez al año, para actualizar el conocimiento de los grupos de interés del Sistema de Información de la Conciliación, el Arbitraje y la amigable composición SICAAC en temas normativos y del manejo de la operación estadística, realiza un programa de entrenamiento al equipo OECED o a una muestra de grupos de interés involucrados en la operación estadística de la concilación en derecho. En caso de que al momento de realizar el entrenamiento se presente una ausencia mayor o igual a la cuarta parte, se realizará el proceso de divulgación de la información a todos los invitados al programa de entrenamiento. Evidencia: Asistencia al programa de entrenamiento
Envío de la información base del programa de entrenamiento</t>
  </si>
  <si>
    <t>Indisponibilidad de un bien o servicio de tecnología</t>
  </si>
  <si>
    <t>Falencia en el proceso pre contractual de servicios y bienes tecnologicos</t>
  </si>
  <si>
    <t>Afectación de la imagen institucional</t>
  </si>
  <si>
    <r>
      <t xml:space="preserve">El profesional designado  cada vez que se va a realizar un contrato con un proveedor de bienes o servicios tecnologicos, a fin de evitar reprocesos  y/o declaratoria desierta en la fase contractual verifica que la documentación de la etapa pre contractual, cumpla con los requerimientos técnicos y financieros. Si en el momento de la revisión se detalla alguna inconsistencia o falla de información, se deberá replantear la documentación exigida de la etapa en cuestión, ya sea estudios previos, cotizaciones, entre otras, para luego volver a iniciar la fase. </t>
    </r>
    <r>
      <rPr>
        <b/>
        <sz val="11"/>
        <color theme="1"/>
        <rFont val="Abadi"/>
        <family val="2"/>
      </rPr>
      <t>Evidencia</t>
    </r>
    <r>
      <rPr>
        <sz val="11"/>
        <color theme="1"/>
        <rFont val="Abadi"/>
        <family val="2"/>
      </rPr>
      <t xml:space="preserve">: Documentación de la etapa pre- contractual en sus diferentes versionamientos, con el Visto bueno de parte del jefe inmediato. </t>
    </r>
  </si>
  <si>
    <t xml:space="preserve">Falta de mantenimento a los bienes y/o actualización de los servicios tecnologicos </t>
  </si>
  <si>
    <t>Multas y sanciones por incumplimiento a las normas vigentes</t>
  </si>
  <si>
    <r>
      <t>El profesional designado como supervisor  y los que hacen parte del equipo de trabajo encargados del control y seguimiento de los contratos de mantenimiento y/o actualización de los bienes o servicios tecnologicos, anualmente a fin de evitar fallas en la prestación del servicio, en el desempeño de los equipos y mantener la seguridad  informatica actualizada, programa y hace seguimiento a todos los mantenimientos de los bienes tecnologicos exceptuando los servicios e infraestructura contratados con terceros, asi como las condiciones en las cuales se deba surtir el proceso de actualización de los servicios. Si en el momento de hacer la programación se identifica un bien o servicio como infraestructura critica (interno), se debera estructurar un mantenimiento o actualizacion con mayor frecuencia a la establecida normalmente.</t>
    </r>
    <r>
      <rPr>
        <b/>
        <sz val="11"/>
        <color theme="1"/>
        <rFont val="Abadi"/>
        <family val="2"/>
      </rPr>
      <t xml:space="preserve"> Evidencia:</t>
    </r>
    <r>
      <rPr>
        <sz val="11"/>
        <color theme="1"/>
        <rFont val="Abadi"/>
        <family val="2"/>
      </rPr>
      <t xml:space="preserve"> Programación de los mantenimientos con las condiciones ( exceptuando servicios e infraestructura contratados con terceros)  e Informes de supervisión de los contratos relacionados. </t>
    </r>
  </si>
  <si>
    <t>Incumplimiento de las políticas de Uso de los Recursos Informáticos y de Seguridad de las Información</t>
  </si>
  <si>
    <t>Ataques ciberneticos  a los servicios tecnologicos del Ministerio</t>
  </si>
  <si>
    <t xml:space="preserve">Incumplimiento en los objetivos y/o misionalidad del Ministerio </t>
  </si>
  <si>
    <r>
      <t xml:space="preserve">La Dirección de Tecnologías cada vez que surja la necesidad de actualizar el plan de seguridad y privacidad de la información, a fin de evitar ataques ciberneticos a los servicios tecnologicos del Ministerio, ejecutara las actividades relacionadas con la actualización y seguira poniendo en práctica las vigentes (Ethical hacking e ingeniería social, Inteligencia de Amenazas, Seguridad Perimetral y Simulación de ataques cibernéticos). Cuando en el desarrollo del plan se encuentre alguna vulnerabilidad o amenaza, se procede a remediarla o a generar un control compensatorio. </t>
    </r>
    <r>
      <rPr>
        <b/>
        <sz val="11"/>
        <color theme="1"/>
        <rFont val="Abadi"/>
        <family val="2"/>
      </rPr>
      <t xml:space="preserve">Evidencia: </t>
    </r>
    <r>
      <rPr>
        <sz val="11"/>
        <color theme="1"/>
        <rFont val="Abadi"/>
        <family val="2"/>
      </rPr>
      <t xml:space="preserve">Resultado de los ejercicios de aplicación del plan
Versionamientos o actualizaciones del plan 
Instrumento de evaluación en MSPI (MINTIC) . </t>
    </r>
  </si>
  <si>
    <t>Pérdida de información contenida en medio electronico</t>
  </si>
  <si>
    <t>Fallas de los dispositivos</t>
  </si>
  <si>
    <r>
      <t>1.El profesional designado como supervisor  y los que hacen parte del equipo de trabajo encargados del control y seguimiento de los contratos de mantenimiento y/o actualización de los bienes o servicios tecnologicos, anualmente a fin de evitar fallas en la prestación del servicio, en el desempeño de los equipos y mantener la seguridad  informatica actualizada, programa y hace seguimiento a todos los mantenimientos de los bienes tecnologicos exceptuando los servicios e infraestructura contratados con terceros, asi como las condiciones en las cuales se deba surtir el proceso de actualización de los servicios. Si en el momento de hacer la programación se identifica un bien o servicio como infraestructura critica (interno), se debera estructurar un mantenimiento o actualizacion con mayor frecuencia a la establecida normalmente.</t>
    </r>
    <r>
      <rPr>
        <b/>
        <sz val="11"/>
        <color theme="1"/>
        <rFont val="Abadi"/>
        <family val="2"/>
      </rPr>
      <t xml:space="preserve"> Evidencia:</t>
    </r>
    <r>
      <rPr>
        <sz val="11"/>
        <color theme="1"/>
        <rFont val="Abadi"/>
        <family val="2"/>
      </rPr>
      <t xml:space="preserve"> Programación de los mantenimientos con las condiciones ( exceptuando servicios e infraestructura contratados con terceros)  e Informes de supervisión de los contratos relacionados. </t>
    </r>
  </si>
  <si>
    <t>Incumplimiento en los objetivos y/o misionalidad del Ministerio</t>
  </si>
  <si>
    <r>
      <t xml:space="preserve">2.La Dirección de Tecnologías cada vez que surja la necesidad de actualizar el plan de seguridad y privacidad de la información, a fin de evitar ataques ciberneticos a los servicios tecnologicos del Ministerio, ejecutara las actividades relacionadas con la actualización y seguira poniendo en práctica las vigentes (Ethical hacking e ingeniería social, Inteligencia de Amenazas, Seguridad Perimetral y Simulación de ataques cibernéticos). Cuando en el desarrollo del plan se encuentre alguna vulnerabilidad o amenaza, se procede a remediarla o a generar un control compensatorio. </t>
    </r>
    <r>
      <rPr>
        <b/>
        <sz val="11"/>
        <color theme="1"/>
        <rFont val="Abadi"/>
        <family val="2"/>
      </rPr>
      <t xml:space="preserve">Evidencia: </t>
    </r>
    <r>
      <rPr>
        <sz val="11"/>
        <color theme="1"/>
        <rFont val="Abadi"/>
        <family val="2"/>
      </rPr>
      <t xml:space="preserve">Resultado de los ejercicios de aplicación del plan
Versionamientos o actualizaciones del plan 
Instrumento de evaluación en MSPI (MINTIC) </t>
    </r>
  </si>
  <si>
    <t>Fallas en el software al momento de realizar las copias de respaldo</t>
  </si>
  <si>
    <r>
      <t>3.El profesional designado como supervisor  y los que hacen parte del equipo de trabajo encargados de hacer el seguimiento de los contratos de mantenimiento y/o actualización de los bienes o servicios tecnologicos, anualmente a fin de evitar fallas en la prestación del servicio, en el desempeño de los equipos y mantener la seguridad  informatica actualizada; programa y hace seguimiento a todos los mantenimientos de los bienes tecnologicos exceptuando los servicios e infraestructura contratados con terceros, asi como las condiciones en las cuales se deba surtir el proceso de actualización de los servicios. Si en el momento de hacer la programación se identifica un bien o servicio como infraestructura critica (interno), se debera estructurar un mantenimiento o actualizacion con mayor frecuencia a la establecida normalmente.</t>
    </r>
    <r>
      <rPr>
        <b/>
        <sz val="11"/>
        <color theme="1"/>
        <rFont val="Abadi"/>
        <family val="2"/>
      </rPr>
      <t xml:space="preserve"> Evidencia:</t>
    </r>
    <r>
      <rPr>
        <sz val="11"/>
        <color theme="1"/>
        <rFont val="Abadi"/>
        <family val="2"/>
      </rPr>
      <t xml:space="preserve"> Programación de los mantenimientos con las condiciones ( exceptuando servicios e infraestructura contratados con terceros)  e Informes de supervisión de los contratos relacionados. </t>
    </r>
  </si>
  <si>
    <t>Desconocimiento en el uso de las herramientas tecnológicas - Errores humanos</t>
  </si>
  <si>
    <t>Requerimientos por parte de entes de control</t>
  </si>
  <si>
    <r>
      <t>4.La persona designada por la Dirección de Tecnologías y Gestión de la Información en Justicia, anualmente a fin de reducir la posibilidad de errores humanos al momento de ejectutar actividades relacionadas con herramientas tecnologicas y fortalecer el conocimiento de las mismas, diseña el plan de uso y apropiación de TIC incluyendo temas de capacitación y fortalecimiento de habilidades en el uso de sistemas y software del MJD Al momento de construir el plan de uso y apropiación, este debera incluir a todo el personal del MJD sin importar la forma de vinculación, así mismo se deberá tener en cuenta los incidentes elevados en mesa de ayuda para la construcción del mismo y colocar especial énfasis en aquellos usuarios que han sido autores de las mismas. Así mismo cuando se realice la actualización o cambio de una herramienta tecnológica que sea de uso común a todo el Ministerio, se deberán programar una serie de capacitaciones que logre la mayor cobertura posible.</t>
    </r>
    <r>
      <rPr>
        <b/>
        <sz val="11"/>
        <color theme="1"/>
        <rFont val="Abadi"/>
        <family val="2"/>
      </rPr>
      <t xml:space="preserve">  Evidencia:</t>
    </r>
    <r>
      <rPr>
        <sz val="11"/>
        <color theme="1"/>
        <rFont val="Abadi"/>
        <family val="2"/>
      </rPr>
      <t xml:space="preserve"> Plan de uso y apropiación, Grabación de las capacitaciones, piezas.</t>
    </r>
  </si>
  <si>
    <t>Entrega incompleta o a destiempo de información oficial a partes interesadas</t>
  </si>
  <si>
    <r>
      <t xml:space="preserve">5. La Dirección de Tecnologías - Uso y apropiación minimo una vez al año, a fin de fortalecer el conocimiento y práctica de los lineamientos del MJD en lo referente a recursos informáticos, socializara y sensibilizara a las personas vinculadas al MJD en la políticas de Uso de los Recursos Informáticos y Seguridad de la Información. Cuando se presente la actualización de la política o ingreso de nuevo personal se requerirá realizar el proceso completo de socialización y sensibilización. </t>
    </r>
    <r>
      <rPr>
        <b/>
        <sz val="11"/>
        <color theme="1"/>
        <rFont val="Abadi"/>
        <family val="2"/>
      </rPr>
      <t xml:space="preserve"> Evidencia:</t>
    </r>
    <r>
      <rPr>
        <sz val="11"/>
        <color theme="1"/>
        <rFont val="Abadi"/>
        <family val="2"/>
      </rPr>
      <t xml:space="preserve"> Piezas o material utilizado para la socialización y divulgación
a las sensibilizaciones. </t>
    </r>
  </si>
  <si>
    <t>Pérdida  de información o archivos del MJD</t>
  </si>
  <si>
    <t xml:space="preserve">
Aplicación inadecuada o desconocimiento de la normatividad archivística 
</t>
  </si>
  <si>
    <t>Traumatismos en la prestación del servicio del GGD</t>
  </si>
  <si>
    <t xml:space="preserve">El Grupo de Gestión Documental realizará mínimo tres (3)  capacitación al año a los funcionarios, Para ampliar los conocimientos en archivo, aplicar los procesos de desarrollo de la función archivística y la gestión documental a través de las herramientas tecnológicas disponibles, Si a la segunda convocatoria el invitado no asiste el coordinador de GGD enviará un reporte al jefe directo con copia a la OCI, Si al final del año alguna dependencia no asistió se llevara como punto en la agenda en el comité de desempeño                                                              para el fortalecimiento de competencias en materia archivística.
Evidencia: Registro de asistencia  </t>
  </si>
  <si>
    <t>Inadecuados  controles de acceso  de documentos</t>
  </si>
  <si>
    <t xml:space="preserve">
Perdida del patrimonio documental 
</t>
  </si>
  <si>
    <t>El GGD, cada vez que exista cambio de personal que tuviese acceso al archivo de gestión remitirá un correo electrónico al Grupo de Gestión Administrativa al supervisor del contrato de vigilancia con los datos de las personas autorizadas para ingresar, adicional se realizará un registro en el formato establecido, que permita evidenciar quienes tuvieron acceso al archivo de gestión. cuando ocurra el ingreso de personal no autorizado, se debe reportar mediante correo electrónico de forma inmediata al GGA, SG y la OCI para tomar las medidas correspondientes. 
Evidencia: Correo electrónico  y Formato establecido.</t>
  </si>
  <si>
    <t>Falta de Implementación del sistema Integrado de Conservación Documental e Infraestructura inadecuada para la correcto almacenamiento de los soportes Documentales.</t>
  </si>
  <si>
    <t xml:space="preserve">Deterioro de los documentos </t>
  </si>
  <si>
    <t>El profesional del Grupo de Gestión Documental realizara actividades periódicas durante todo el año para garantizar la adecuada conservación de los soportes y medios, así como de los espacios de almacenamiento y custodia de los documentosverificando que la infraestructura cuente con espacios óptimos y  salvaguardar los documentos y  desarrollaando las actividades específicas, descritas en las planes de Conservación y Preservación Documental, La no implementación del SIC a largo plazo puede ocasionar perdida de la información contenida en los diferentes soportes de la entidad.
Evidencia: Formatos asistencia a las capacitaciones de temas del SIC. (F-THDE-02-04)
 Formato de inspección de sistemas de almacenamiento e instalaciones físicas. (F-GD-G01-13) y Formato Monitoreo y Control F-GD-G01-16
Formato Control Factores Biológicos F-GD-G01-15</t>
  </si>
  <si>
    <t xml:space="preserve">
No cumplimiento del cronograma de Transferencia Documental Primarias
</t>
  </si>
  <si>
    <t>Acumulación de archivo en las oficinas productoras</t>
  </si>
  <si>
    <t>El líder del Proceso de Transferencias Documentales Anualmente Con el fin de la liberar espacios en cada dependencia y ayudar en la correcta administración de los expedientes, 
Elabora y socializa el cronograma de trasferencias con las dependencias, La dependencia deberá elaborar un Memorando solicitando prórroga para la entrega de la transferencia la cual será aprobada por el GGD, en caso de que no se cumpla el GGD  debe remitir un memorando a la dependencia con copia a la OCI  para que se justifique la no realización de la Transferencia y el incumplimiento para reporte de Indicadores de Gestión., El líder del proceso de las transferencias documentales previo a la fecha de entrega se comunicará con la dependencia para brindar asistencia técnica si se requiere. 
Evidencias: formato único de inventario documental FUID y acta de entrega y memorando si se requiere, Listados de Asistencia</t>
  </si>
  <si>
    <t xml:space="preserve">Falta de oportunidad en la radicación y entrega de las comunicaciones oficiales </t>
  </si>
  <si>
    <t>Direccionamiento erroneo de las comunicaones por la falta de actualización en las tipoligias documentales por las dependencias del MJD</t>
  </si>
  <si>
    <t>Atraso en tiempos  de respuestas por las dependencias</t>
  </si>
  <si>
    <t>El Grupo de Gestión Documental Cada año, a fin de generar una adecuada distribución de correspondencia al interior de la entidad, Programara una serie de Capacitaciones con cada dependencia sobre las tipologías documentales de su competencia ,En caso de que las personas  citadas a la capacitación  no asistiesen a estas el Coordinador GGD debe realizar la solicitud a la dependencia en donde se presentó inasistencia mediante Memorando informando la fecha y hora  de la nueva capacitación  haciendo énfasis en una posible obligatoriedad. Evidencia: Evidencia: Registro de asistencia Memorando y programación de Capacitaciones</t>
  </si>
  <si>
    <t>Falta de seguimiento adecuado y control en la recepción y distribución de las comunicaciones.</t>
  </si>
  <si>
    <t>Las comunicaciones no llegan tiempo a su destinatario, y presentan falencias en la captura de información.</t>
  </si>
  <si>
    <t>El Grupo de Gestión Documental, diariamente genera un informe en 3 cortes 10:30, 14:30, 17:30 determina los puntos  frágiles del proceso,  de acuerdo a los distintos puntos de acción,detallando de manera cuantitativa la calidad del proceso , con el fin de conocer y diagnosticar la labor del personal del mesa de entrada, Por lo que  realiza un muestreo de  un 45% de la radicación diaria, automatizando la distribución y permitiendo la validación en tiempo real, logrando determinar alertas tempranas, mediante un sistema desarrollado en VBA y con gestor de bases de datos de ACCESS y Power bi,  para que de esta manera la coordinación GGD,  y demás actores del proceso, puedan ver datos estadisticos generales y especificos de la operación, se tiene acceso desde cualquier medio electrónico (Celular, PC) realizando alimentaciones en línea y acciones que mitigan las posibles falencias con las personas que presenten alguna devilidad  Evidencia: Informe Power bi</t>
  </si>
  <si>
    <t>Incumplimiento de los términos establecidos para responder PQRD a los grupos de interés del Ministerio</t>
  </si>
  <si>
    <t>A.  Falta de conocimiento por parte de servidores y contratistas para el correcto manejo del Sistema de Gestión Documental que soporta la gestión de las PQRSD</t>
  </si>
  <si>
    <t>Investigaciones Disciplinarias</t>
  </si>
  <si>
    <t>El Grupo de Gestión Documental al menos una vez al año a fin de fortalecer el conocimiento sobre el  manejo de la herramienta para el tramité de PQRSD, realizará una capacitación sobre el uso adecuado del Sistema de Gestión Documental, según los lineamientos del Manual de Archivo y Correspondencia de la Entidad, a servidores y contratistas de las diferentes dependencias, En caso de que las personas  citadas a la capacitación  no asistiesen a estas el Coordinador del GGD debe realizar la solicitud a la dependencia en donde se presentó inasistencia mediante Memorando informando la fecha y hora  de la nueva capacitación haciendo énfasis en una posible obligatoriedad. Evidencia: Registro de asistencia Memorando y programación de Capacitaciones</t>
  </si>
  <si>
    <t xml:space="preserve">B. Incorrecto reparto de las PQRSD a las dependencias a través del Sistema de Gestión Documental.
</t>
  </si>
  <si>
    <t>Demandas contra la entidad</t>
  </si>
  <si>
    <r>
      <t xml:space="preserve">El Grupo de Gestión Documental Cada año, a fin de generar una adecuada distribución de correspondencia al interior de la entidad, Programara una serie de Capacitaciones con cada dependencia sobre las tipologías documentales de su competencia ,En caso de que las personas  citadas a la capacitación  no asistiesen a estas el Coordinador GGD debe realizar la solicitud a la dependencia en donde se presentó inasistencia mediante Memorando informando la fecha y hora  de la nueva capacitación  haciendo énfasis en una posible obligatoriedad. </t>
    </r>
    <r>
      <rPr>
        <b/>
        <sz val="11"/>
        <color theme="1"/>
        <rFont val="Abadi"/>
        <family val="2"/>
      </rPr>
      <t>Evidencia</t>
    </r>
    <r>
      <rPr>
        <sz val="11"/>
        <color theme="1"/>
        <rFont val="Abadi"/>
        <family val="2"/>
      </rPr>
      <t>: Registro de asistencia Memorando y programación de Capacitaciones</t>
    </r>
  </si>
  <si>
    <t>C. Inadecuado seguimiento a la respuesta de las PQRSD dentro de las dependencias, en su rol de primera línea de defensa.</t>
  </si>
  <si>
    <t>Pérdida de credibilidad institucional.</t>
  </si>
  <si>
    <t>Los enlaces de PQRSD de las dependencias una vez al mes, para generar alertas tempranas respecto al cumplimiento de los términos de las PQRSD, realizarán seguimientos internos a la gestión de estas, de acuerdo con las directrices del Grupo de  Servicio al Ciudadano En caso de que el enlace de PQRSD no realice el seguimiento, el GSC procedera a hacer un requerimiento al líder de la dependencia para que este de cumplimiento a la tarea asignada. Si al momento de realizar el seguimiento, el enlace detalla PQRSD próximas a vencerse, de forma inmediata informará a la persona responsable en EPX de esta situación para evitar su vencimiento Evidencia: Correos electronicos de seguimiento de los enlaces, Requerimiento al líder de la dependencia y correo del enlace al responsable con las alertas de próximos vencimientos</t>
  </si>
  <si>
    <t>C. Inadecuado seguimiento a la respuesta de las PQRD dentro de las dependencias, en su rol de primera línea de defensa.</t>
  </si>
  <si>
    <t>D. Falta de autocontrol de los colaboradores (servidores y contratistas) del Ministerio  para dar respuesta a las PQRSD recibidas de manera oportuna</t>
  </si>
  <si>
    <t>Vulneración de los derechos fundamentales de petición y de acceso a la información que tienen los ciudadanos.</t>
  </si>
  <si>
    <t>El Grupo de Servicio al Ciudadano una vez publicado el informe trimestral de PQRD, para promover el autocontrol de los colaboradores en el tema, realizará el reconocimiento institucional de las tres (3) dependencias con los mejores desempeños en cada periodo de medición, a trávés de su divulgación vía mailing interno. En caso de que se presenten empates se incluirán en el reconocimiento y si una dependencia presenta una reducción significativa (más del 10%) en sus resultados se enviará un correo alertando sobre la situación para la revisión interna de esta. Evidencia: Mailing (correos electronicos) con socialización del reconocimiento y las alertas en el caso de ser requeridas.</t>
  </si>
  <si>
    <t>D. Falta de autocontrol de los colaboradores (servidores y contratistas) del Ministerio  para dar respuesta a las PQRD recibidas de manera oportuna</t>
  </si>
  <si>
    <t>E. Indebido seguimiento y control en la atención de PQRD por parte del GSC</t>
  </si>
  <si>
    <t>Incumplimiento de funciones del grupo establecidas en la Resolución 685 de 2017.</t>
  </si>
  <si>
    <t>El Grupo de Servicio al Ciudadano semanalmente, con el fin de generar alertas oportunas a las dependencias de la Entidad y en su rol de segunda línea de defensa, enviará correo electrónico a todas las dependencias que tengan PQRS asignadas, sobre próximos vencimientos de términos para responder. En caso de que el destinatario se encuentre en alguna situación administrativa que signifique su no lectura, se remitirá el reporte al personal asignado por el enlace. Evidencia:  Reporte de EPX enviados a los enlaces o al personal asignado según el caso Se encuentra contenido en Gestión de requerimientos de grupos de interés</t>
  </si>
  <si>
    <t>El Grupo de Servicio al Ciudadano trimestralmente para realizar control y seguimiento del estado  de PQRSD realizara un informe sobre estas, el cual publicará en la página WEB y se llevará al Comité Institucional de Gestión y Desempeño En caso de que se identifiquen Incumplimiento en términos de respuesta se realizará el envío de un reporte a la OCID y así mismo se realizará una divulgación con las diferentes dependencias sobre los resultados del informe.
 Evidencia:  Informe del estado de las PQRSD, correo electrónico enviado a la OCID, Acta de Comité, correo electrónico con el informe enviado a las diferentes dependencias objeto de análisis Se encuentra contenido en Gestión de requerimientos de grupos de interés</t>
  </si>
  <si>
    <t xml:space="preserve">Incumplimiento de los términos procesales establecidos en la Ley para presentar las intervenciones en los Procesos de control de constitucionalidad y legalidad a cargo de la DDDOJ ante la Corte Constitucional y el Consejo de Estado  </t>
  </si>
  <si>
    <t>Fallas en la supervisión de los términos</t>
  </si>
  <si>
    <t>Deterioro de la imagen institucional</t>
  </si>
  <si>
    <t xml:space="preserve">El funcionario designado luego de fijadas en lista las demandas de la Corte Constitucional o notificadas las demandas o actuaciones del Consejo de Estado, a fin de evitar el incumplimiento de los términos en aquellos procesos en los que la intervención es obligatoria o se ha decidido previamente,confirma mediante las páginas Web de la Corte Constitucional y el Consejo de Estado y la WEB de las secretarías generales de ambas instituciones los términos de los procesos,  excepto durante la vacancia judicial. En caso de encontrar diferencias entre los términos se procede a su correción en el formato del Ministerio. Evidencia: Formatos de control de vencimientos de términos procesales de Corte Constitucional y Consejo de Estado F-ANSJ-02-06(V1) F-ANSJ-02-07(V1) . Acta de validación de vencimientos F-THDE-02-04                                                                                                                                                                                                                                </t>
  </si>
  <si>
    <t>No justificar la no intervención oportunamente de un proceso por orden superior</t>
  </si>
  <si>
    <t xml:space="preserve">El abogado desgnado, cada vez posterior al ánalisis del proceso en donde se decida no intervenir, para dejar la trazabilidad de la gestión del mismo y justificar el proceder del Ministerio, proyecta un memorando de No Intervención para la firma de la dirección. Si la dirección determina que se debe intervenir, se procede a realizar la intervención. Evidencia: Memorando u respuesta al proceso asignado.                            </t>
  </si>
  <si>
    <t>Fallas en los sistemas de apoyo necesarios para el desarrollo de las actividades</t>
  </si>
  <si>
    <t>El abogado designado  cada vez posterior al ánalisis del proceso en donde se decida intervenir a fin de evitar posibles incumplimientos en los terminos por fallas en los sistemas de apoyo proyectara la respuesta para la firma de la dirección, con antelación suficiente a la fecha de vencimiento de términos  En caso de tener proyectada la respuesta pero esta no se firme dentro de un termino razonable, se procedera a generar una alerta para la revisión de la misma. Evidencia: Respuesta proyectada, firmada y radicada.</t>
  </si>
  <si>
    <t>Olvido por parte del funcionario designado</t>
  </si>
  <si>
    <t>Investigación de carácter disciplinarios para el funcionario</t>
  </si>
  <si>
    <t xml:space="preserve">Fallas en el seguimiento y verificación de los pronunciamientos judiciales de fondo de la Corte Constitucional y el Consejo de Estado, que incidan en el ordenamiento jurídico y sean proferidos en los procesos de control de constitucionalidad y legalidad en que interviene la DDDOJ. </t>
  </si>
  <si>
    <t>Que el seguimiento no se haga de forma oportuna</t>
  </si>
  <si>
    <t>El funcionario designado semanalmente a fin de evitar que el seguimiento no se realice de forma oportuna, actualiza  el Cuadro de control procesal de Corte Constitucional, excepto durante la vacancia judicial. Cuando al actualizar el cuadro encuentre una situación que merezca ser comunicada, se informara esta a la dirección Evidencia: Cuadro de control procesal de la Corte Constitucional F-SJ-02-01</t>
  </si>
  <si>
    <t>Que el seguimiento no refleje la realidad</t>
  </si>
  <si>
    <t>Afectación de la seguridad jurídica</t>
  </si>
  <si>
    <t>El funcionario designado quincenalmente a fin de evitar que el seguimiento no se realice de forma oportuna, actualiza  el Cuadro de control procesal del Consejo de Estado, excepto durante la vacancia judicial. Cuando al actualizar el cuadro encuentre una situación que merezca ser comunicada, se informara esta a la dirección. Evidencia: Cuadro de control procesal de Consejo de Estado F-SJ-02-02</t>
  </si>
  <si>
    <t xml:space="preserve">El funcionario designado revisa y reporta mensualmente al Director las novedades jurisprudenciales del Consejo de Estado en los procesos de nulidad de actos de carácter general expedidos por el Gobierno, a medida que éstos se publican en la página web del Consejo. El reporte se envía al director o directora de la DDDOJ por correo electrónico. El control no se hace durante la vacancia judicial. Evidencia: Registro-Correo electrónico.                                                                                                                                                </t>
  </si>
  <si>
    <t>Inexactitud en la información normativa que se carga en la base de datos del sistema SUIN - JURISCOL, frente a la información publicada por quienes las producen.</t>
  </si>
  <si>
    <t>Incorrecta aplicación de la guía  vigente para el cargue de la información, por parte del personal que alimenta el Sistema SUIN - JURISCOL</t>
  </si>
  <si>
    <t>No se fortalece el principio de seguridad jurídica del país</t>
  </si>
  <si>
    <t>El funcionario designado, al menos una vez al año, a fin de fortalecer el conocimiento de la guía vigente para el cargue de la información en el Sistema SUIN-JURISCOL, realiza capacitaciones o talleres al equipo y nuevo personal asignado. Si al momento de realizar la capacitación o taller se presenta una inasistencia mayor o igual a la tercera parte de los citados, se deberá realizar un segundo ejercicio para de esta manera poder dar cobertura a la totalidad del personal invitado, si aún despues de la segunda citación se sigue presentando inasistencia, se enviará a través de correo la guía para conocimiento de los no asistentes. Evidencia: Asistencia a la capacitación o taller 
Presentación - Material utilizado en la capacitación o taller
Programación de las capacitaciones
Envío de la guía a los no asistentes cuando así sea necesario</t>
  </si>
  <si>
    <t>Dificultad o imposibilidad de obtener y usar la información normativa publicada en el Diario Oficial por problemas con la suscripción con la Imprenta Nacional.</t>
  </si>
  <si>
    <t>Pérdida de imagen del SUIN y del Ministerio de Justicia y del Derecho</t>
  </si>
  <si>
    <t xml:space="preserve">El profesional designado de la DDDOJ, cada vez que se requiere la suscripción al Diario Oficial con la Imprenta Nacional, para evitar demoras en el proceso pre-contractual, establece un cronograma con tiempos y responsables donde se detallen todas las actividades que se deban realizar para llevar a buen término el proceso pre-contractual. Si se presenta una situación que impida el cumplimiento de alguna actividad en la fecha establecida se deberá modificar el cronograma para que este se ajuste a las nuevas fechas sin perder los plazos límites establecidos inicialmente. Evidencia: Cronograma interno de trabajo 
Seguimiento al cronograma interno de trabajo
Modificaciones del cronograma
Entrega de la documentación a gestión contractual                                                                                              </t>
  </si>
  <si>
    <t xml:space="preserve"> Fallas en la herramienta tecnológica que afecten el correcto funcionamiento del sistema</t>
  </si>
  <si>
    <t xml:space="preserve">El funcionario designado, cada que se presente un incidente, a fin de detectar posibles fallas en la herramienta tecnológica y corregir cuando sea posible,  informará a la DTGIJ y al proveedor sobre los mismos, para que estos sean tenidos en cuenta en los mantenimientos que esta Dirección realiza. Si al momento de detectar los incidentes, se puede resolver este por parte de la DDDOJ se procederá a remediarlo de forma inmediata y posteriormente se comunicará a la DTGIJ. Evidencia: Registro de incidentes en el sistema de mesa de ayuda ARANDA y sistema de mesa de ayuda del proveedor
Solución de ser posible del mismo por parte de la DDDOJ
</t>
  </si>
  <si>
    <t>Desactualización del contenido cargado en el Sistema SUIN Juríscol frente a la programación del cargue.</t>
  </si>
  <si>
    <t>Incumplimiento del cargue por parte del funcionario designado</t>
  </si>
  <si>
    <t xml:space="preserve">El funcionario designado, mensualmente a fin de llevar un control de las tareas asignadas y evitar un incumplimiento en el cargue por parte de los funcionarios asignados a las tareas, hara seguimiento a la programación donde se revisará el avance de esta. Si al momento de hacer el seguimiento se identifica una norma no cargada en el sistema, se hace el respectivo requerimiento al funcionario designado para que este realice el cargue, si por alguna razón el funcionario no puede realizar el cargue se designara a un nuevo funcionario quien debera realizar el cargue en el menor tiempo posible. Evidencia: Formato Control General
Correos electronicos 
Reasignación del cargue de ser necesario
</t>
  </si>
  <si>
    <t xml:space="preserve">Inconsistencia en los Informe de auditoría </t>
  </si>
  <si>
    <t>Los procesos auditados arrojan información errada o inoportuna.</t>
  </si>
  <si>
    <t>informes inconsistentes</t>
  </si>
  <si>
    <t xml:space="preserve">El Auditor Líder de la OCI cada vez que haya un proceso de auditoría,  genera una carta de representación a través de la herramienta EPX, en la cual el auditado pone de presente que la información que habrá de entregar es confiable, oportuna y completa. En caso de que el auditado hago caso omiso a la entrega del documento a través de correo electronico se le reitera la solicitud. Evidencia: Carta remitida por los responsable de los procesos </t>
  </si>
  <si>
    <t>si</t>
  </si>
  <si>
    <t>Desconocimiento de los procesos y procedimientos por parte de los auditores</t>
  </si>
  <si>
    <t>Toma de decisiones erradas</t>
  </si>
  <si>
    <t xml:space="preserve">El jefe de la OCI, anualmente realizará sesión de capacitación  a todos los integrantes del equipo auditor con el fin de reforzar los conocimientos de procesos y procedimiento. En caso de que uno de los integrantes del equipo no pueda asistir, la capacitacion sera reprogramada dentro del mismo mes de programación. Evidencia: Control de asistencia firmado por cada uno de los asistentes y los temas tratados y conclusion de la reunion.                                                                                                                                                              </t>
  </si>
  <si>
    <t>Análisis incompleto de la información realizada por parte del auditor</t>
  </si>
  <si>
    <t>Desviación en los resultados de la auditoria</t>
  </si>
  <si>
    <t>El Jefe de la OCI enfoca al auditor, previo al desarrollo de la auditoría, y a la vez, revisa el informe preliminar y sus papeles de trabajo, cada vez que se desarrolla una auditoria y antes de ser remitido a las partes interesadas con el  fin de evitar imprecisiones en el contenido del mismo. Lo lee, analiza y en caso de observar inconsistencias solicita. através de correo electrónico las justificaciones o correcciones al auditor para realizar los respectivos ajustes al informe. Evidencia: Correo electrónico con la revisan realizada al informe</t>
  </si>
  <si>
    <t>Análisis incompleto de la información realizado por parte del auditor</t>
  </si>
  <si>
    <t>Incumplimiento de la planeacion de auditorías</t>
  </si>
  <si>
    <t>Falta de colaboración por parte del proceso que se va auditar para la ejecución de la auditoría.</t>
  </si>
  <si>
    <t>Procesos sin un adecuado mejoramiento continuo</t>
  </si>
  <si>
    <t>El auditor líder de la OCI cada vez que haya un proceso auditor,  genera una carta de representación a través de la herramienta EPX, en la cual el auditado pone de presente que la información que habrá de entregar es confiable, oportuna y completa. En caso de que el auditado hago caso omiso a la entrega del documento a través de correo electrónico se le reitera la solicitud. Evidencia: Carta remitida por los responsable de los procesos</t>
  </si>
  <si>
    <t>Situaciones fortuitas o atención de situaciones no previstas</t>
  </si>
  <si>
    <t>Reprogramación de las auditorias ya programadas</t>
  </si>
  <si>
    <t>El jefe de la OCI presentará anualmente al CICCI - para su aprobación- el documento metodológico que contiene los lineamientos para el establecimiento del Plan Anual de Auditoría. Incorporando componentes como: introducción, objetivo, alcance, fuentes de criterios, conocimiento de la entidad, alienación con la planeación estratégica, determinación del universo de auditoría y del plan de auditoria, en caso de que algunos de los elementos que constituyen el documento metologico falte o se tenga que actualizar este será presentado nuevamente al CICCI para la aprobación del ajuste al plan anual Evidencia: Acta de aprobación del plan anual.</t>
  </si>
  <si>
    <t>Requerimientos internos no previstos</t>
  </si>
  <si>
    <t>Inadecuada planeación del trabajo de auditoría.</t>
  </si>
  <si>
    <t>El grupo de profesionales junto con el jefe de la Oficina realizan reuniones mensuales de seguimiento a la gestión de acuerdo con la programación anual, con el fin de revisar el avance de actividades a cargo de cada profesional y establecer tiempos para su cumplimiento. En caso de que uno de los integrantes del equipo no pueda asistir, la capacitación será reprogramada dentro del mismo mes de programación. Evidencia: Control de asistencia firmado por cada uno de los asistentes y los temas tratados y conclusión de la reunión.</t>
  </si>
  <si>
    <t>Incumplimiento de metodología del proceso de formulación de políticas públicas competencia del Ministerio de Justicia y el Derecho.</t>
  </si>
  <si>
    <t>Desconocimiento de la metodología de formulación de políticas públicas</t>
  </si>
  <si>
    <t>Hallazgo por parte de Entes de Control</t>
  </si>
  <si>
    <t>El funcionario o contratista designado por cada viceministerio, al menos dos veces al año, a fin de fortalecer el conocimiento en la metodología vigente para la formulación de política pública, realiza capacitación y divulgación de la misma a los funcionarios encargados de formular política pública. Si al momento de realizar la capacitación, el personal asistente es menor a la tercera parte, se deberá reprogramar la capacitación o realizar un proceso de divulgación de la metodología a los no asistentes para de esta forma lograr la cobertura total de las personas involucradas en este proceso Evidencia: 
Asistencia a capacitación
Metodología divulgada 
Diligenciamiento del plan de Formulación de Políticas Públicas</t>
  </si>
  <si>
    <t>Desconocimiento de la metodología</t>
  </si>
  <si>
    <t>2. Formular y coordinar la política pública en materia de justicia transicional, en el marco de la reconciliación nacional.</t>
  </si>
  <si>
    <t xml:space="preserve">Tiempos limitados o insuficientes </t>
  </si>
  <si>
    <t>Incumplimiento de la misionalidad de la entidad</t>
  </si>
  <si>
    <t>Los viceministros en coordinación con los directores, cada vez que se vaya a formular política pública, a fin de controlar los tiempos y poder actuar frente a situaciones que impidan el oportuno desarrollo de las actividades, establece un cronograma con fechas y responsables para cada una de las etapas del proceso de formulación de política. Si en el transcurso de las labores se presenta algún factor externo o interno que impida el oportuno cumplimiento de los tiempos previamente establecidos se procederá a modificar el cronograma a fin de poder adelantar las actividades en los tiempos requeridos y que impidan el incumplimiento de las actividades de la metodología de formulación. Evidencia: 
Cronograma de actividades
Modificaciones al cronograma con sus respectivas justificaciones</t>
  </si>
  <si>
    <t>3. Liderar la formulación, implementación y seguimiento de las políticas en materia criminal y penitenciaria</t>
  </si>
  <si>
    <t>Falta de competencias específicas en las temáticas para la formulación de política pública.</t>
  </si>
  <si>
    <t>Pérdida de imagen institucional</t>
  </si>
  <si>
    <t xml:space="preserve">Los viceministros en coordinación con los directores, cada vez que se vaya a formular política pública, a fin de seleccionar al personal más idóneo para las temáticas a tratar en la formulación de políticas públicas y teniendo en cuenta el manual de funciones del Ministerio, procederá a distribuir internamente ya sea el proceso completo de formulación o las actividades relacionadas en la metodología al personal a cargo. Si en el proceso de distribución de actividades o temáticas, se presenta una deficiencia en conocimientos o experiencia interna se podrá recurrir a una entidad externa o a expertos, para solicitar el apoyo requerido. Evidencia: 
Cronograma de actividades con responsables definidos según sus competencias
Solicitud de apoyo o colaboración para una actividad o temática específica </t>
  </si>
  <si>
    <t>4. Consolidar la política integral de drogas, su implementación y evaluación.</t>
  </si>
  <si>
    <t>Retrasos o incumplimientos en la suscripción y/o ejecución de los contratos</t>
  </si>
  <si>
    <t>Fallas en la entrega de la documentación para la suscripción del contrato</t>
  </si>
  <si>
    <t xml:space="preserve">No se puedan prestar a tiempo los servicios requeridos para la Entidad. </t>
  </si>
  <si>
    <t>El enlace de contratación de cada dependencia cada vez que se va a efectuar la suscripción de un contrato verifica que la información suministrada por el contratista corresponda con los requisitos establecidos,  a través de una lista de chequeo la cual debera consultar en el SIG,  donde están los documentos requeridos y la revisión con la información física suministrada por el contratista. En caso de encontrar documentación faltante, requiere al contratista a través de correo electronico el suministro de la documentación faltante o incompleta para poder continuar con el proceso de contratación, en un plazo prudente de tal forma que no se retrase el proceso de suscripción. Evidencia: la lista de chequeo diligenciada, la información de la carpeta del contraista y los correos a que hubo lugar en donde solicitó la información faltante o incompleta (en los casos que aplique).</t>
  </si>
  <si>
    <t>Incumplimientos técnicos , legales y/o financieros en la elaboración de estudios previos y documentos soporte.</t>
  </si>
  <si>
    <t>Requerimientos de los entes de control</t>
  </si>
  <si>
    <t>El profesional encargado de adelantar la contratación, cada vez que se va a efectuar la suscripción de un contrato, verifica que la información radicada por parte de cada dependencia corresponda con los requisitos establecidos,  a través de una lista de chequeo la cual debera consultar en el SIG,  donde están los documentos requeridos y la revisión con la información física suministrada por el contratista. En caso de encontrar documentación faltante, requiere al enlace a través de correo electronico el suministro de la documentación faltante o incompleta para poder continuar con el proceso de contratación, en un plazo prudente de tal forma que no se retrase el proceso de suscripción. Evidencia: la lista de chequeo diligenciada, la información de la carpeta del contratista y los correos a que hubo lugar en donde solicitó la información faltante o incompleta (en los casos que aplique).</t>
  </si>
  <si>
    <t>Debilidad en el proceso de seguimiento a la ejecución de los contratos</t>
  </si>
  <si>
    <t>Afectación presupuestal al Plan Anual Mensualizado de Caja - PAC</t>
  </si>
  <si>
    <t>El profesional en derecho del grupo de gestión contractual, cada vez que se va a efectuar la suscripción de un contrato, a fin de verificar que el proceso pre contractual cumpla con los requisitos técnicos, legales y financieros, revisa los estudios previos y los documentos soporte de la contratación. En caso de encontrar inconsistencias o información faltante y si el hecho es subsanable se solicita la modificación o complemento a la dependencia responsable en un plazo prudente de tal forma que no se retrase el proceso de suscripción. Si por otro lado la situación no es subsanable, se hace devolución de la documentación completa junto a un memorando donde se explican las razones de esta decisión y se solicita la modificación de la documentación existente. Evidencia: 
Ajustes solicitados a la dependencia (en los casos que aplique)
Correos electrónicos de las dependencias con los respectivos ajustes
Devolución de la documentación con el memorando (en los casos que aplique)</t>
  </si>
  <si>
    <t>Incumplimiento de la ejecución presupuestal del Ministerio</t>
  </si>
  <si>
    <t>Divulgar información confusa e inoportuna</t>
  </si>
  <si>
    <t>Uso de lenguaje técnico que impida su entendimiento por el público en general</t>
  </si>
  <si>
    <t>Pérdida de credibilidad de la entidad</t>
  </si>
  <si>
    <t>El periodista a cargo de la respectiva publicación, cada vez que se va a publicar un documento o información técnica, a fin de aclarar la temática, revisar la terminología utilizada y evitar imprecisiones en la información a divulgar, solicita asesoría con la fuente primaria de la información o documentación. En caso de evidenciar algún término de díficil comprensión, o que la lectura de la información o documentación es confusa se procederá a realizar una modificación sin perder el sentido lógico ni de fondo de la misma. Estas modificaciones serán aprobadas por la fuente primaria de la información previo a su publicación o divulgación. Evidencia: Documentación o información en sus diferentes versiones
Documentación o información publicada</t>
  </si>
  <si>
    <t xml:space="preserve">Se reciba de manera tardía la información oficial para publicación </t>
  </si>
  <si>
    <t>Quejas por parte de los usuarios</t>
  </si>
  <si>
    <t>El grupo de profesionales de la Oficina de Prensa y Comunicaciones, diariamente, para producir y difundir la información de manera oportuna deberá consultar sus fuentes asignadas. Las fuentes asignadas pueden remitirse en cualquier momento para producir y solicitar la divulgación de información al grupo de profesionales de la Oficina de Prensa y Comunicaciones, sin perjuicio de la consulta diaria por parte de este último. Evidencia: Consulta por parte del grupo profesionales de la Oficina de Prensa y Comunicaciones
Solicitud de produción o divulgación por parte de la fuente</t>
  </si>
  <si>
    <t>Desconocimiento del manual de comunicaciones por parte del personal de la Oficina de Prensa y Comunicaciones</t>
  </si>
  <si>
    <t>Aumento de Peticiones o solicitudes de información por falta de claridad en las publicaciones</t>
  </si>
  <si>
    <t xml:space="preserve">El profesional designado de la Oficina de Prensa y Comunicaciones, minimo dos veces al año, a fin de fortalecer el conocimiento sobre el Manual de comunicaciones y resolver dudas o evitar confusiones en su interpretación, socializará este al equipo de trabajo de la Oficina. Cuando en el proceso de socialización no asista una tercera parte del equipo de trabajo, se deberá programar una segunda fecha para los no asistentes, a fin de dar cobertura a la totalidad del equipo. Evidencia: Asistencia a la socialización
Programación de las capacitaciones según el caso </t>
  </si>
  <si>
    <t>Formular proyectos de actos normativos que no cumplan con el ordenamiento jurídico vigente.</t>
  </si>
  <si>
    <t>Desconocimiento del ordenamiento jurídico para la producción de los proyectos de actos normativos.</t>
  </si>
  <si>
    <t xml:space="preserve">Reproceso </t>
  </si>
  <si>
    <t>El funcionario o contratista designado por cada director, al menos una vez al año, a fin de fortalecer el conocimiento en el ordenamiento jurídico vigente para la producción de proyectos de actos normativos , realiza capacitación y divulgación de las mismas a los funcionarios encargados de llevar a cabo este proceso. Si al momento de realizar la capacitación, el personal asistente es menor a la tercera parte, se deberá reprogramar la capacitación o realizar un proceso de divulgación del ordenamiento jurídico vigente a los no asistentes para de esta forma lograr la cobertura total de las personas involucradas en este proceso. De ser posible, esta capacitación y divulgación se realizará en conjunto entre direcciones. Evidencia: 
Asistencia a capacitación
Ordenamiento Jurídico divulgado</t>
  </si>
  <si>
    <t>Deficiencias en el proceso de revisión previa de los proyectos de actos normativos.</t>
  </si>
  <si>
    <t>Suspensión, nulidad, incosntitucionalidad, constitucionalidad condicionada, contra los actos normativos</t>
  </si>
  <si>
    <t>El grupo de actuaciones administrativas, cada vez que reciba por parte de las Direcciones proyectos normativos que requieran la firma del despacho del ministro o de la presidencia de la República, verifica los requisitos previamente establecidos y revisa la viabilidad jurídica, y se registran en el formato de actuaciones administrativas, En caso de no cumplir con los requisitos o cuando se tenga alguna observación que deba ser subsanada, se devuelve el proyecto de acto normativo a la dependencia que lo proyecte para que esta realice las modificaciones del caso. Evidencia:Formato de Registro de actuaciones administrativas
Correos electronicos de la radicación, devolución del proyecto en el caso que sea necesario.
Memorandos remisorios</t>
  </si>
  <si>
    <t>Daño antijurídico</t>
  </si>
  <si>
    <t xml:space="preserve">La DDDOJ cada vez que se solicite concepto de constitucionalidad, a fin de evitar posibles vicios de inconstitucionalidad del proyecto normativo, revisa que el proyecto se ajuste a los parametros de la Constitución Política y emite el concepto de acuerdo a los resultados de esta revisión. En caso de encontrar algún vicio, se devuelve el proyecto normativo con su respectivo concepto desfavorable, donde se hace mención expresa a las situaciones observadas, para las correcciones del caso. Evidencia:Concepto de constitucionalidad
Memorandos remisorios </t>
  </si>
  <si>
    <t>Contestar los requerimientos jurídicos por fiuera de los términos legales o no contestarlos (Consultas al Consejo de Estado, Revisiones de Actos Administrativos, Conceptos)</t>
  </si>
  <si>
    <t>Dificultad de recopilación de la información y documentación necesaria para proyectar las respuestas</t>
  </si>
  <si>
    <t>Reclamaciones o quejas de los usuarios</t>
  </si>
  <si>
    <t>El profesional designado, diariamente, con el fin de verificar los términos de respuesta y generar las alertas de seguimiento y  asimismo, verificar la competencia del Grupo de Actuaciones Administrativas, para dar trámite a la solicitud y el término legal para hacerlo, cuando proceda, registra en las matrices diseñadas los requerimientos recibidos por parte de las diferentes dependencias. Si al momento de realizar la verificación determina que los requerimientos son competencia de otra dependencia interna, se realiza la respectiva reasignación de los requerimientos. Evidencia: 
Matriz de consultas del Consejo de Estado
Matriz de actuaciones administrativas
Matriz de solicitudes generales (Conceptos Jurídicos)
Reasignación de los requerimientos cuanda haya lugar</t>
  </si>
  <si>
    <t>C. Inadecuado seguimiento a la respuesta de los requerimientos jurídicos dentro de las dependencias, en su rol de primera línea de defensa.</t>
  </si>
  <si>
    <t xml:space="preserve">B. Incorrecto reparto de los requerimientos jurídicos a las dependencias a través del Sistema de Gestión Documental.
</t>
  </si>
  <si>
    <t xml:space="preserve">El Coordinador del Grupo de Actuaciones Administrativas  semanalmente, con el fin de verificar los términos de respuesta y generar las alertas de vencimiento, realiza seguimiento a las matrices diseñadas para tal fin. Si al momento de realizar el seguimiento identifica alguna inconsistencia o un requerimiento próximo a vencerse, genera las alertas inmediatas para que se priorice la respuesta de estos. Evidencia: 
Matriz de consultas del Consejo de Estado
Matriz de actuaciones administrativas
Matriz de solicitudes generales (Conceptos Jurídicos)
Alertas que genera el Coordinador de GAA a través de correo electronico
</t>
  </si>
  <si>
    <t>Investigaciones penales o disciplinarias</t>
  </si>
  <si>
    <t>El funcionario encargado cada que se presente un requerimiento, a fin de determinar si se necesita o no documentacion o informacion adicional, revisa el requerimiento jurídico cumpliendo con los procedimientos establecidos. Si al momento de realizar la revisión determina la necesidad de contar con documentación o información adicional, prioriza la obtención de estos elementos, si además luego de la revisión concluye que no es posible resolver la petición dentro del termino legal vigente se debe informar esta circunstancia al peticionario, antes del vencimiento de los términos expresando los motivos de la demora y señalando a la vez el plazo en que se dará respuesta. Evidencia: 
Solicitud de información o documentación a las dependencias o entidades 
Respuesta justificando las razones de demora al peticionario</t>
  </si>
  <si>
    <t>Demora en la entrega de información por parte de las áreas</t>
  </si>
  <si>
    <t>Los funcionarios designados del Grupo de Actuaciones administrativas cuando se requiera, a fin de fortalecer la adecuada distribución de correspondencia al interior del Ministerio, capacitarán al grupo de gestión Documental (mesa de entrada) y al Grupo de Servicio al Ciudadano sobre los temas de competencia del GAA. Si al momento de realizar la capacitación se presentase ausencia mayoritaria de algun grupo, se deberá emitir un lineamiento general sobre términos y competencias los cuales han sido tratados en el ejercicio de la capacitación, el cual se remitira a los no asistentes. Evidencia: 
Asistencia de capacitaciones
Lineamiento general remitido a traves de correo electronico a los no asistentes</t>
  </si>
  <si>
    <t>Inoportuna Gestión De Las Actividades De Cobro.</t>
  </si>
  <si>
    <t>Falta de envío oportuno y con calidad del título ejecutivo, por parte de las áreas generadoras</t>
  </si>
  <si>
    <t>Pérdida de oportunidad en el recaudo de los recursos a favor de la Nación</t>
  </si>
  <si>
    <t xml:space="preserve">El coordinador del Grupo de Actuaciones Administrativas al menos una vez al mes, para identificar las actuaciones e impulsos de la gestión de cobro de cada obligación, realiza seguimiento a las obligaciones recibidas y en gestión de cobro. Si al momento de la revisión, se identifica inactividad procesal, se remitirá solicitud o correo electrónico o memorando para la priorización de estos procesos al abogado encargado. Evidencia: 
Matriz de Cobro Coactivo donde se incluye la revisión
Actas de reuniones de seguimiento
Correos, comunicaciones o memorandos solicitando la priorización del proceso cuando haya lugar.
</t>
  </si>
  <si>
    <t>Inactividad procesal dentro de las actuaciones administrativas de gestión de cobro.</t>
  </si>
  <si>
    <t>Incumplimiento en las metas y objetivos de la Dirección Jurídica</t>
  </si>
  <si>
    <t xml:space="preserve">El coordinador del Grupo de Actuaciones Administrativas mensualmente, para identificar las actuaciones e impulsos desarrollados, frente a la gestión de cobro de cada obligación, realiza el cruce entre las obligaciones remitidas por las areas emisoras del título vs el reporte de obligaciones registrado en las matrices de seguimiento de los procesos. Si al momento del cruce, identifica alguna situación que pueda llevar a la prescripción de la acción de cobro o a la pérdida de ejecutoriedad del acto administrativo, identifica los títulos que no han sido enviados a gestión de cobro y los prioriza para adelantar el cobro correspondiente. Evidencia: 
Matriz de Cobro Coactivo
Correos de remisión de información
Devolución del título al abogado para la gestión correspondiente
</t>
  </si>
  <si>
    <t>Falta de seguimiento a los procesos de cobro coactivo</t>
  </si>
  <si>
    <t>Sanciones de los organos de control al Ministerio</t>
  </si>
  <si>
    <t>Efectuar calificaciones de los riesgos procesales inoportunamente o con errores.</t>
  </si>
  <si>
    <t>Fallas en el seguimiento al cargue y registro en el sistema E-kogui de la calificación de los riesgos procesales.</t>
  </si>
  <si>
    <t>Afectación de la ejecución presupuestal</t>
  </si>
  <si>
    <t xml:space="preserve">El coordinador del Grupo de Defensa Jurídica, al menos dos veces al semesre, a fin de confrontar la información del E-kogui vs la consignada en el formato de consolidación procesal, realiza seguimiento a las calificaciones de los riesgos procesales,  Si al momento del seguimiento identifica diferencias entre la información registrada en E-kogui vs la consignada en el registro de consolidación procesal, procederá a solicitar al abogado encargado la actualización y verificación de esta información, tanto en E-kogui como en el formato. Evidencia: 
Formato de consolidación procesal
Comunicación con la comparación realizada
Solicitud de actualización y verificación, cuando sea el caso
</t>
  </si>
  <si>
    <t>Desactualización del estado del proceso por parte de los apoderados en los formatos establecidos y en E-kogui.</t>
  </si>
  <si>
    <t>Requerimientos por parte de los entes de control</t>
  </si>
  <si>
    <t xml:space="preserve">El coordinador del Grupo de Defensa Jurídica, al menos dos veces al semesre, a fin de confrontar la información del E-kogui vs la consignada en el formato de consolidación procesal, realiza seguimiento a las calificaciones de los riesgos procesales,  Si al momento del seguimiento identifica diferencias entre la información registrada en E-kogui vs la consignada en el registro de consolidación procesal, procederá a solicitar al abogado encargado la actualización y verificación de esta información, tanto en E-kogui como en el formato. Evidencia: 
Formato de información consolidada procesal
Comunicación con la comparación realizada
Solicitud de actualización y verificación, cuando sea el caso
</t>
  </si>
  <si>
    <t>Fallas en E-kogui que elimina  registros ya incorporados.</t>
  </si>
  <si>
    <t>Investigación disciplinaria</t>
  </si>
  <si>
    <t>El abogado apoderado, semanalmente, a fin de verificar que los datos registrados se encuentren vigentes y actualizados,   realiza revisión del E-kogui y de los procesos a cargo, mediante la comparación del formato: Información consolidada procesal vs información del E-kogui, Si al momento de realizar la revisión encuentra información incosistente o no actualizada, realiza la solicitud a la Agencia Nacional de Defensa Jurídica del Estado para que esta realice las correcciones respectivas en el aplicativo Evidencia: 
Formato de información consolidada procesal
Formato de inclusión y exclusión enviado a la ANDJ en los casos que sea necesario
Respuesta de la ANDJ en los casos donde se solicite alguna modificación</t>
  </si>
  <si>
    <t>Errores al realizar el reporte de calificación del riesgo en Ekogui.</t>
  </si>
  <si>
    <t>Vencimiento de términos en los procesos contenciosos y conciliaciones en los que es parte el Ministerio de Justicia y del Derecho</t>
  </si>
  <si>
    <t>Falta de seguimiento a las notificaciones de los procesos contenciosos y a las conciliaciones</t>
  </si>
  <si>
    <t>Pérdida de oportunidad en la defensa de los intereses de la Nación</t>
  </si>
  <si>
    <t xml:space="preserve">El coordinador del Grupo de Defensa juridica, mensualmente  realiza un seguimiento a los términos de los procesos contenciosos y de las conciliaciones en los que es parte el Ministerio de Justicia y del Derecho en los registros realizados por los apoderados en los formatos preestablecidos en los procedimientos y en el eKOGUI. Si al momento de realizar el seguimiento, identifica procesos contenciosos o conciliatorios próximos a vencerse, prioriza estos procesos para adelantar los tramites correspondientes según el estado del proceso  Evidencia: 
Formatos establecidos en los procesos
Correos con alertas de vencimiento </t>
  </si>
  <si>
    <t>Falta de seguimiento de los apoderados y del coordinador al registro de información procesal y E-kogui</t>
  </si>
  <si>
    <t>Daño Jurídico</t>
  </si>
  <si>
    <t>Investigaciones disciplinarias contra los funcionarios</t>
  </si>
  <si>
    <t>Inoportunidad en el pago de sentencias y conciliaciones en contra de la entidad</t>
  </si>
  <si>
    <t>Falta de seguimiento al cargue de la información en el registro de información procesal y en E-kogui</t>
  </si>
  <si>
    <t>Deterioro de la imagen del Ministerio</t>
  </si>
  <si>
    <t xml:space="preserve">El coordinador del Grupo de Defensa Jurídica, al menos dos veces al semestre, a fin de priorizar los pagos de las sentencias y conciliaciones, realiza seguimiento a las calificaciones de los riesgos procesales contenidas en E-kogui y en los formatos de consolidación procesal.  Si al momento del seguimiento identifica la obligación de pago de una sentencia o conciliación próxima a realizarse, procederá a solicitar al abogado la información para la solicitud del PAC en financiera para el tramité correspondiente. Evidencia: 
Formato de consolidación procesal
Comunicación al abogado 
Solicitud de PAC
</t>
  </si>
  <si>
    <t>Demora en la entrega de información a financiera para el respectivo pago</t>
  </si>
  <si>
    <t>Detrimento patrimonial por la causación de intereses moratorios</t>
  </si>
  <si>
    <t>Los abogados del Grupo de Defensa Jurídica   mensualmente, para identificar los pagos de las sentencias  y conciliaciones en contra del MJD,  al momento de realizar la actualizacion de la información en el sistema  E-Kogui  y en los formatos preestablecidos en los procedimientos pueden detectar sentencias y conciliaciones con pagos próximos a realizarse. Si al momento de actualizar la información, identifica que existen pagos próximos a realizarse, debera informar al coordinador del Grupo, para que este realice las gestiones internas presupuestales a las que haya lugar  Evidencia: 
Matriz de contingencias procesales 
Informes E-Kogui 
Correo electronico al coordinador informando los pagos proximos a realizarse detectados</t>
  </si>
  <si>
    <t>No realizar el traslado de las solicitudes de visita al Sistema de Responsabilidad Penal para Adolescentes - SRPA y al Sistema Penintenciario y carcelario que no son competencia del Ministerio de Justicia y el Derecho.</t>
  </si>
  <si>
    <t xml:space="preserve">Olvido por parte del personal de la solicitud </t>
  </si>
  <si>
    <t>Afectación en las capacidades de atención de las entidades que conforman el sistema nacional penintenciario y carcelario</t>
  </si>
  <si>
    <t>El coordinador del grupo penitenciario y carcelario  diariamente, para llevar un control de las solicitudes que llegan a la dirección y el debido proceso de respuesta a las mismas cuando no son competencia del ministerio, realizara un seguimiento a través de un cuadro de control donde se consigna si son o no competencia del ministerio y el paso a seguir. Si en el momento de realizar el seguimiento, se identifican solicitudes recibidas el día anterior que no han sido trasladadas se debe realizar el traslado de forma inmediata, informando a las entidades que recibirán la solicitud para que la prioricen, así mismo se deberá informar de la situación al Director quien podrá realizar un requerimiento al funcionario que no ha realizado el traslado. Evidencia: Cuadro de Control debidamente diligenciado
Notificación del traslado
Traslado a traves de fuentes oficiales</t>
  </si>
  <si>
    <t>Falta de conocimiento de las obligaciones misionales por parte del personal asociado a la Dirección de Política Criminal y Penintenciaria</t>
  </si>
  <si>
    <t>Investigaciones disciplinarias</t>
  </si>
  <si>
    <t>El coordinador del grupo penitenciario y carcelario  semanalmente, para llevar un control de las solicitudes que llegan a la dirección y el debido proceso de respuesta a las mismas cuando no son competencia del ministerio, realizara un seguimiento a través de un cuadro de control donde se consigna si son o no competencia del ministerio y el paso a seguir. Si en el momento de realizar el seguimiento, se identifican solicitudes recibidas la semana anterior que no han sido trasladadas se debe realizar el traslado de forma inmediata, informando a las entidades que recibirán la solicitud para que la prioricen, así mismo se deberá informar de la situación al Director quien podrá realizar un requerimiento al funcionario que no ha realizado el traslado. Evidencia: Cuadro de Control debidamente diligenciado
Notificación del traslado
Traslado a traves de fuentes oficiales</t>
  </si>
  <si>
    <t>Desconocimiento de la normatividad asociada</t>
  </si>
  <si>
    <t>El funcionario designado por el líder de la Dirección de política Criminal y penintenciaria, al menos una vez cada semestre, a fin de fortalecer el conocimiento en las obligaciones misionales de la Dirección, especialmente en los temas relacionados con el Sistema Penintenciario y Carcelario y el SRPA y así mismo en la normatividad asociada al proceso, realizara un proceso de sensibilización y capacitación a todo el personal de la DPCP,  En caso de que al momento de la ejecución de la actividad hayase un faltante de citados mayor o igual a la tercera parte , se deberá o re programar la actividad o realizarla una segunda vez, si aún después de esto se sigue presentando inasistencia se enviará por correo electrónico la información a los no asistentes para su consulta. Evidencia: Asistencia a la capacitación y sensibilización
Envío del material por correo electrónico
Programación de los eventos 
Re programación en los casos que sea necesario</t>
  </si>
  <si>
    <t>No realizar el seguimiento a las visitas realizadas ni a los compromisos establecidos que son competencia del Ministerio</t>
  </si>
  <si>
    <t>Fallas en el seguimiento a las visitas y sus respectivos compromisos</t>
  </si>
  <si>
    <t xml:space="preserve">El coordinador del grupo penitenciario y carcelario, cuando se cuente con un reporte de al menos diez visitas realizadas,  a fin de llevar un control sobre los compromisos competencia del Ministerio y los cuales quedarón establecidos en las visitas realizadas a los centros penitenciarios y a los centros del SRPA y evitar el incumplimiento de los mismos, realizara un seguimiento de los compromisos establecidos competencia del Ministerio, en el formato de seguimiento del Sistema Penitenciario y Carcelario y en el formato de seguimiento del SRPA Si al momento de realizar el seguimiento, se identifican compromisos vencidos o próximos a vencerse, se deberá proceder a informar al director, se establezca un plan a seguir para la revisión de los mismos y la delegación a un profesional o grupo de apoyo para que este comience a realizar el seguimiento a estos de forma más estricta. Evidencia: Asistencia a mesas de trabajo
Informes de seguimiento
Planes de acción en los casos en que sean necesarios
Actas de reunión 
</t>
  </si>
  <si>
    <t>Afectación de los derechos de las personas implicadas en los compromisos adquiridos.</t>
  </si>
  <si>
    <t>Incumplimiento de los objetivos del proceso</t>
  </si>
  <si>
    <t>Errores en el proceso de expedición de licencia de cannabis con fines médicos y científicos</t>
  </si>
  <si>
    <t>Errónea interpretación jurídica o técnica de la documentación aportada en la solicitud.</t>
  </si>
  <si>
    <t>El personal designado por la Subdirección de Control y Fiscalización de Sustancias Químicas y Estupefacientes- Grupo Control de Cannabis con fines médicos y Científicos-, para el tema jurídico y para el tema técnico, al menos una vez al año, para minimizar la posibilidad de que se presenten errores de interpretación jurídica o técnica de la documentación aportada a la solicitud de licencias de semillas y cultivo de cannabis, capacitara y sensibilizara al equipo interno de trabajo encargado de evaluar las solicitudes y requisitos en aspectos técnicos y jurídicos Cada vez que se incorpore personal nuevo al proceso, se deberá realizar la capacitación y sensibilización, siempre teniendo en cuenta las cargas internas de trabajo y la programación de la vinculación. Si al momento de realizar la capacitación hay una ausencia de la tercera parte o más de los citados, esta deberá o reprogramarse o realizarse por segunda vez, hasta tanto todo el equipo la reciba, si aún después de un segundo intento de capacitación hay personal que no recibe la capacitación, se realizará una charla personal con los ausentes para solventar dudas y compartir la información de interés del proceso. Al finalizar el proceso de capacitación se deberá entregar el material utilizado a los asistentes para posteriores consultas. Evidencia: Asistencia a la capacitación
Documentación utilizada en la capacitación
Programación de las capacitaciones</t>
  </si>
  <si>
    <t>Errores humanos al momento de realizar el acto administrativo</t>
  </si>
  <si>
    <t>Pérdida de Imagen Institucional</t>
  </si>
  <si>
    <t>El personal designado por la Subdirección de Control y Fiscalización de Sustancias Químicas y Estupefacientes- Grupo Control de Cannabis con fines médicos y Científicos-, para la expedición del Acto Administrativo, cada vez que reciba una solicitud y previo a la elaboración del acto administrativo, para minimizar la posibilidad de que se presenten errores de digitación al momento de realizar el proceso, diligenciará los campos relacionados en un formato de Excel teniendo como única fuente la documentación aportada, la cual será contrastada previo a la expedición del acto administrativo. Si luego del proceso de diligenciamiento del formato y en el momento de la revisión previo a la expedición del acto administrativo, se identican errores o informaicón incongruente, se procede a su inmediata corrección o modificación en el formato, para posteriomente trasladar estos al Acto Administrativo. Evidencia: Formato en Excel con los datos necesarios para la solicitud y elaboración del Acto Administrativo
Revisión del Formato contra la documentación aportada (Versiones del Formato)</t>
  </si>
  <si>
    <t>Requerimientos por parte de Entes de Control</t>
  </si>
  <si>
    <t>Errores en el proceso de expedición del Certificado de Carencia de Informes por Tráfico de Estupefacientes</t>
  </si>
  <si>
    <t xml:space="preserve">Errores en el diligenciamiento de los datos solicitados en la plataforma SICOQ para la solicitud </t>
  </si>
  <si>
    <t>Producto no conforme</t>
  </si>
  <si>
    <t>Los funcionarios designados por la Subdirección de Control y Fiscalización de Sustancias Químicas y Estupefacientes- Grupo Control de Sustancias Químicas- cada vez que se presente una modificación o actualización normativa y/o de la plataforma, a fin de minimizar la posibilidad de errores al momento del diligenciamiento de la información en esta, actualizará el material necesario relacionado con el uso de la plataforma SICOQ y de las Sustancias Químicas (instructivos, manuales, circulares y guías). Dependiendo del impacto en el proceso se debe realizar la modificación o actualización en el menor tiempo posible. Se debe acompañar el proceso de actualización o modificación con capacitaciones a los usuarios, teniendo en cuenta la demanda y la cargas laborales internas. Evidencia: Material actualizado  
Asistencia a las capacitaciones</t>
  </si>
  <si>
    <t>Fallas en el proceso de revisión de los datos diligenciados en la plataforma SICOQ</t>
  </si>
  <si>
    <t>Incumplimiento de las actividades planificadas (Acompañamiento y asistencia tecnica a entes territoriales)</t>
  </si>
  <si>
    <t>Devolución de la documentación requerida para la contratación de personal.</t>
  </si>
  <si>
    <t>Inadecuada implementación de la política de drogas en los territorios</t>
  </si>
  <si>
    <t xml:space="preserve">El asesor jurídico designado para el proceso de contratación de la Dirección de Política de Drogas y Actividades Relacionadas, cada vez que se vaya a realizar el proceso de contratación a traves de la prestación de servicios y previo a la entrega de la documentación a la Secretaría General, a fin de que la documentación e información consignada en la etapa pre contractual este acorde a las necesidades y requerimientos de la dependencia a cargo, revisará y ajustara la información del mismo en los aspectos técnicos y jurídicos. Si al momento de la revisión, se identifica información inconsistente, faltante o que no es clara, procede a la correción de esta, dejando una copia con los cambios realizados. Así mismo puede recibir solicitudes de ajustes por parte del líder de la Dirección. Evidencia: Versionamientos de la documentación asociada a la etapa pre contractual de los contratos
Solicitudes de ajuste a traves de las fuentes de comunicación oficiales </t>
  </si>
  <si>
    <t>Sobredemanda de acompañamiento y asistencia técnica</t>
  </si>
  <si>
    <t>Afectación en la imagen institucional</t>
  </si>
  <si>
    <t>El observatorio de Drogas, cada vez que se genera una actualización de información de los datos públicos en materia de drogas, y a fin de permitirle a los solicitantes del acompañamiento y asistencia técnica contar con información de interés que les permita reducir el número de consultas y de solicitudes al Ministerio, realizará la revisión y cargue de las actualizaciones correspondientes o de nueva información de interés para estos entes. La actualización de la información irá acompañada de una difusión a través de la página web del ministerio y del portal del observatorio. Evidencia: Actualizaciones del observatorio de drogas
Campañas de difusión de las actualizaciones</t>
  </si>
  <si>
    <t>Incumplimiento de los objetivos y metas en el Plan de acción de la Política de drogas</t>
  </si>
  <si>
    <t>Incumplimiento en el desarrollo de los estudios e investigaciones del Observatorio de Drogas</t>
  </si>
  <si>
    <t>Devolución de la documentación requerida para la suscribición de convenios por parte del suscriptor.</t>
  </si>
  <si>
    <t>No contar con la informaicón actualizada para la fromulación adecuadada de la política de drogas</t>
  </si>
  <si>
    <t xml:space="preserve">El asesor jurídico de la Dirección de Política de Drogas y Actividades Relacionadas y/o el asesor de la Subdirección Estratégica y de ánalisis y/o el asesor de la Subdirección de Control y Fiscalización de Sustancias Químicas y Estupefacientes, según el campo de acción del convenio, cada vez que se vaya a suscribir un convenio y previo a la entrega de la documentación a la Secretaría General, a fin de que la documentación e información consignada en el convenio este acorde a las necesidades y requerimientos de la dependencia a cargo, revisa y realiza los ajustes correspondientes a la información del mismo en los aspectos jurídicos. Si al momento de la revisión, se identifica información incongruente, faltante o que no es clara, procede a la correción de esta, dejando una copia con los cambios realizados. Se pueden recibir ajustes por parte del cooperante que deben ser incluidos en esta revisión. Evidencia: Versionamientos de la documentación asociada a la etapa pre contractual de los convenios
Solicitudes de ajuste a traves de las fuentes de comunicación oficiales </t>
  </si>
  <si>
    <t xml:space="preserve">La persona designada experta en temas técnicos de la Dirección de Política de Drogas y Actividades Relacionadas y/o la persona experta designada de la Subdirección Estratégica y de ánalisis y/o la persona experta designada de la Subdirección de Control y Fiscalización de Sustancias Químicas y Estupefacientes, según el campo de acción del convenio, cada vez que se vaya a suscribir un convenio y previo a la entrega de la documentación a la Secretaría General, a fin de que la documentación e información consignada en el convenio este acorde a las necesidades y requerimientos de la dependencia a cargo, revisa la información y realiza los ajustes correspondientes del mismo en los aspectos técnicos. Si al momento de la revisión, se identifica información inconsistente, faltante o que no es clara, procede a la correción de esta, dejando una copia con los cambios realizados. Se pueden recibir ajustes por parte del cooperante que deben ser incluidos en esta revisión. Evidencia: Versionamientos de la documentación asociada a la etapa pre contractual de los convenios
Solicitudes de ajuste a traves de las fuentes de comunicación oficiales </t>
  </si>
  <si>
    <t xml:space="preserve">El asesor jurídico designado para el proceso de contratación de la Dirección de Política de Drogas y Actividades Relacionadas y/o asesor jurídico designado para el proceso de contratación de la Subdirección Estratégica y de ánalisis y/o el asesor jurídico designado para el proceso de contrataciónde la Subdirección de Control y Fiscalización de Sustancias Químicas y Estupefacientes, según el campo de acción del contrato de prestación de servicios, cada vez que se vaya a realizar el proceso de contratación a traves de la prestación de servicios y previo a la entrega de la documentación a la Secretaría General, a fin de que la documentación e información consignada en la documentación pre contractual este acorde a las necesidades y requerimientos de la dependencia a cargo, revisa y ajusta la información del mismo en los aspectos técnicos y jurídicos. Si al momento de la revisión, se identifica información inconsistente, faltante o que no es clara, procede a la correción de esta, dejando una copia con los cambios realizados. Así mismo puede recibir solicitudes de ajustes por parte del líder de la Dirección o las respectivas Subdirecciones. Evidencia: Versionamientos de la documentación asociada a la etapa pre contractual de los contratos
Solicitudes de ajuste a traves de las fuentes de comunicación oficiales </t>
  </si>
  <si>
    <t>Incumplimiento de la función de seguimiento a los compromisos establecidos en el Consejo Nacional de Estupefacientes</t>
  </si>
  <si>
    <t>No contar con la información que provea los insumos técnicos necesarios para la realización de los seguimientos.</t>
  </si>
  <si>
    <t>No dar al número de sesiones previstas en la ley 30 de 1986.
No contar con información para la adecuada toma de decisiones por parte del CNE.
Retraso en el cumplimiento de compromisos adquiridos.</t>
  </si>
  <si>
    <t>El secretario técnico del CNE, a la tercera vez de no recibir respuestas a las solicitudes de información para los seguimientos de los compromisos adquiridos en el marco de las sesiones del CNE, y a fin de poder dejar en evidencia el incumplimiento y a su vez solicitar apoyo para el cumplimiento de esta función como secretaría técnica, remitirá una nueva solicitud de información pero esta vez lo hará con copia al ente de control competente, pidiendo el acompañamiento de este último e informando del incumplimiento. Si luego de realizada la nueva solicitud se recibe respuesta por parte de las entidades, igual se dejará en evidencia el incumplimiento a las solicitudes previas, el cual servirá como prueba en caso que el ente de control decida abrir alguna investigación. Evidencia: Solicitudes anteriores
Solicitud por tercera vez con copia al ente de control correspondiente
Respuesta a la solicitud</t>
  </si>
  <si>
    <t>El contador y la persona asignada de tesorería, cada vez que se liquida y se tramita para pago una cuenta de cobro, a fin de evitar errores en la liquidación de estas cuentas, verifica que la documentación este completa, que sea acorde a la forma de pago descrita en el contrato, verifica los requisitos de persona natural (planilla Seguidad Social y Deducciones) y que la obligación sea coherente con esta documentación. En caso de encontrar información faltante o inconsistente, devuelve de forma inmediata a la persona asignada a la revisión anterior para una posterior correción de ser necesaria Evidencia:  Firma y visto bueno del contador en la cuenta de cobro
Tramité en tesorería (Cuenta de cobro para pago)
Devolución de la cuenta de cobro en los casos en los que aplique
El siguiente control NO mitiga la causa de Inexistencia de un sistema que permita automatizar algunas tareas relacionadas con la liquidación, pero permite realizar la labor de revisión manualmente. Así mismo el proces de Gestión Financiera viene realizando la gestión ante la DTGIJ de solicitud de implermntación de un aplicativo o software que mitigaría la causa identificada pero la respuesta ha sido negativa por parte de esta.</t>
  </si>
  <si>
    <t>Inconsistencias en la liquidación y cargue de la nómina</t>
  </si>
  <si>
    <t>Novedades registradas extemporáneamente</t>
  </si>
  <si>
    <t xml:space="preserve">El grupo interno de nómina de GTH, cada vez que se presenta una novedad que pueda ser incluida en la nómina del mes, a fin de que todas queden causadas en el mes que se reportaron, las revisa y las  ingresa en el sistema; posteriormente se realiza una revisión por parte del líder del proceso en conjunto con quienes realizarón el cargue de las mismas. Si al realizar esta última revisión se encuentran inconsistencias, se procede al ajuste en el sistema y se informa del mismo al líder del proceso. Evidencia: 
Soportes de novedades en formato digital
Soportes de liquidación y cargue de novedades (SIIF, RF, Reporte de Bancos, Libranzas, AFC y AFP, Embargos, entre otros) </t>
  </si>
  <si>
    <t>Fallas del sistema de liquidación de nómina.</t>
  </si>
  <si>
    <t>Afectación de los servicios a los cuales acceden los servidores</t>
  </si>
  <si>
    <t>El contratista cada vez que se presenten inconsistencias detectadas por el grupo de nómina de GTH, a fin de corregir estos fallos, realiza los cambios requeridos en el sistema de liquidación de nómina. Si al momento de realizar los procedimientos para la respectiva correción se encuentra una situación que no es posible enmendar de forma inmediata, el equipo de nómina lo corrige de forma manual, mientras el contratista realiza la corrección en el sistema. Evidencia: Reporte de inconsistencias a traves del sistema con un número de caso, cierre efectivo del caso (corrección), corrección manual cuando sea el caso.</t>
  </si>
  <si>
    <t>Inoportunidad en la entrega de las novedades</t>
  </si>
  <si>
    <t>Requerimientos por parte de los Entes de Control</t>
  </si>
  <si>
    <t>El grupo de nómina de GTH mensualmente, a fin de clasificar las novedades que se liquidaran en el mes y las que se liquidaran de forma posterior, siguiendo la circular establecida por Secretaría General procede a recibir todas las novedades entregadas por las areas, los servidores y terceros, teniendo en cuenta las fechas que se consignan en esta. Si al momento de recibir la novedad esta se encuentra fuera del plazo establecido en la circular puede o causarla en el mes siguiente o registrarla de forma tardía en una nómina adicional, esta última solamente de acuerdo a ciertas excepciones. Evidencia: Acuse de recibido de las novedades . Nómina adicional cuando la situación lo amerité.</t>
  </si>
  <si>
    <t>Errores al digitar la información en el sistema</t>
  </si>
  <si>
    <t>Incumplimiento del Plan Institucional de Capacitación</t>
  </si>
  <si>
    <t>Asignación presupuestal insuficiente.</t>
  </si>
  <si>
    <t>Afectación de los objetivos del Ministerio.</t>
  </si>
  <si>
    <t xml:space="preserve">El profesional designado de Gestión del Talento Humano mensualmente, a fin de lograr la mayor cobertura de tematicas por el PIC, revisa la oferta institucional de otras entidades públicas que capaciten a costo cero, estructura los PAE con personal del Ministerio en tematicas especificas, realiza la gestión con la OAP para la busqueda de recursos en otros rubros que permitan subsanar tematicas susceptibles de certificación. Si al momento de realizar alguna de las labores mencionadas, no se logra cubrir una tematica en especifico, se deja evidencia la gestión, la cual será utilizada como insumo para reportes e informes del area. Evidencia: Confrontación de la Oferta Institucional de otras Entidades Públicas vs el PIC 
Proyectos de Aprendizaje en Equipo
Asignación presupuestal adicional </t>
  </si>
  <si>
    <t>Demoras en el proceso contractual para la contratación de proveedores de servicio de capacitación</t>
  </si>
  <si>
    <t>Afectación presupuestal.</t>
  </si>
  <si>
    <t>El profesional designado de Gestión del Talento Humano, cada vez que se requiere la contratación de una tematica de capacitacion, para evitar demoras en el proceso pre-contractual, establece un cronograma con tiempos y responsables donde se detallen todas las actividades que se deban realizar para llevar a buen término el proceso pre-contractual. Si se presenta una situación que impida el cumplimiento de alguna actividad en la fecha establecida se deberá modificar el cronograma para que este se ajuste a las nuevas fechas sin perder los plazos límites establecidos inicialmente. Evidencia: Cronograma interno de trabajo 
Seguimiento al cronograma interno de trabajo
Modificaciones del cronograma
Entrega de la documentación a gestión contractual</t>
  </si>
  <si>
    <t>Desinterés en la participación de los servidores</t>
  </si>
  <si>
    <t xml:space="preserve">Incumplimiento de lineamiento normativo </t>
  </si>
  <si>
    <t>El coordinador del proceso de Gestión del Talento Humano, cada vez que un funcionario no asista a una capacitación que involucre recursos, a fin de dejar una trazabilidad de la inasistencia y buscar un cambio de cultura al interior del Ministerio sobre este tema, informara tanto al jefe inmediato como al servidor del evento dando a conocer el valor de la capacitación a la cual no se asistió.  Al momento de remitir la comunicación solicitar la confirmación de lectura a fin de dejar en evidencia el envío y recibido del mismo. Evidencia: Correos electrónicos o comunicaciones al jefe inmediato y al servidor
Respuesta por parte de los receptores</t>
  </si>
  <si>
    <t>El coordinador del proceso de Gestión del Talento Humano, previo a una capacitación que involucre recursos a fin de sensibilizar al servidor público sobre la importancia de asistir a la capacitación, envía una comunicación al funcionario inscrito detallando los beneficios de su asistencia y las implicaciones de su inasistencia. Al momento de remitir la comunicación solicitar la confirmación de lectura a fin de dejar en evidencia el envío y recibido del mismo. Evidencia: Correo electrónico o comunicaciones al servidor inscrito
Respuesta por parte del receptor</t>
  </si>
  <si>
    <t>Vinculación de personal sin el cumplimiento de los requisitos mínimos establecidos de formación y experiencia contenidos en el manual de funciones.</t>
  </si>
  <si>
    <t>Falencia en la revisión de requisitos mínimos.</t>
  </si>
  <si>
    <t>Investigaciones disciplianrias y/o fiscales y/o penales
Requerimientos por parte de Entes de Control</t>
  </si>
  <si>
    <t>El  Coordinador del proceso de Gestión del Talento Humano, cada vez  que se vaya a realizar una vinculación de un empleado público, a fin de corroborar la información diligenciada por el profesional encargado de la revisión de los requisitos de formación, experiencia y antecedentes, verificara la información contenida en los siguientes formatos: Cálculo de tiempo de experiencia laboral, certificado de Cumplimiento de requisitos y la información de los siguientes certificados: antecedentes fiscales, disciplinarios y judiciales. Si al momento de hacer la verificación, identifica información que no es clara, esta incorrecta o el aspirante no cumple con los requisitos, se hace el llamado a la revisión por parte del profesional para que este la subsane o la aclare con el aspirante, si luego de este proceso se concluye que el aspirante no cumple con los requisitos, se informará al aspirante y a secretaría general para que se proceda a tomar la decisión del caso. Evidencia: Formato cálculo de tiempo de experiencia laboral, 
Formato certificado de Cumplimiento de requisitos 
Certificados de antecedentes fiscales, disciplinarios y judiciales.
Visto bueno del coordinador.
Comunicaciones al profesional encargado para las correcciones o aclaraciones cuando proceda.
Comunicaciones al aspirante y a secretaría general cuando procedan</t>
  </si>
  <si>
    <t>Incumplimiento del plan de Bienestar y Estímulos</t>
  </si>
  <si>
    <t>El profesional de Gestión Humana cada vez  que se vaya a realizar una actividad que tengamos la mayor participación posible teniendo en cuenta el diagnostico de necesidades, a las actividades de mayor acogida en el año anterior y la propuesta del proveedor se deberá reprogramar la actividad o en su defecto buscar otra actividad que tenga mayor acogida Diagnóstico de necesidades, propuesta presentada por la contratación y las inscripciones realizadas</t>
  </si>
  <si>
    <t>Demoras en el proceso contractual para la contratación de proveedores de bienestar y estímulos.</t>
  </si>
  <si>
    <t>El profesional de Gestión Humana una vez al año contratación de las actividades de Bienestar solicitud de cotización para garantizar que las actividades que se van a contratar se ajuesten al presupuesto asignado si la propuesta no está ajustada al total del prespuesto se debe recotizar hasta que se tenga el valor correspondiente solictud de cotización y presentación de propuestas</t>
  </si>
  <si>
    <t>Inasistencia de los pre inscritos a las actividades de Bienestar</t>
  </si>
  <si>
    <t>El profesional de Gestión Humana por cada actividad garantizar que los inscritos asistan a la actividad se envía correos con todos los parámetros para el desarrollo de la actividad con fecha, hora y logística se malgasta el prespuesto estatal asignado para el desarrollo del Plan de Bienestar correos con indicaciones de la actividad, listas de asistencia y correo solicitando la justificación de no asistencia indicando que se invirtieron recursos del estado y no dio oportunidad a que otro funcionario pudiera participar</t>
  </si>
  <si>
    <t>El profesional de Gestión Humana por cada actividad que todos los funcionarios y sus familiar tengan igualdad de participación mediante correo se informa de la actividad y se lleva a cabo una inscripción  que no cumplirse el cupo o estar sobre pasado se debe hacer los ajustes correspondientes con el contratista correos de inscripción e información al contratista de los inscritos</t>
  </si>
  <si>
    <t>Retrasos en la revisión de la documentación asociada a las solicitudes de comisiones al exterior de servidores públicos.</t>
  </si>
  <si>
    <t>Demoras en la entrega de los documentos por parte del solicitante</t>
  </si>
  <si>
    <t>Que el funcionario no pueda viajar por no allegar la documentación a tiempo.</t>
  </si>
  <si>
    <t>El Técnico administrativo del area, cada vez que el funcionario vaya a realizar un viaje, estará atento a que entregue los docuemntos con suficiente tiempo, de acuerdo a los plazos maximos que exisaten para ello, si los documentos no son allegados a tiempo no será posible subir la información al aplicativo de presidencia. Evidencia: Guia Comisión de servicios al exterior G-THAD-01 G-THAD-01 Versión 3.</t>
  </si>
  <si>
    <t>Entrega incompleta de la documentación por parte del solicitante</t>
  </si>
  <si>
    <t>Que el funcionario no pueda viajar por no allegar la documentación completa.</t>
  </si>
  <si>
    <t>El Técnico administrativo del area, cada vez que el funcionario vaya a realizar un viaje, revisará que los docuemntos entregados esten completos, verificará los documentos de acuerdo a la Guia Comisión de servicios al exterior. Si en el momento de hacer la verificación los documentos estan imcompletos o la información no es clara, se hará el llamado al funcionario para que la subsane y se le recordará los limites de tiempo de entrega para subir la información al aplicativo de presidencia. G-THAD-01 G-THAD-01 Versión 3. (No. 4.1).</t>
  </si>
  <si>
    <t xml:space="preserve">Pérdida de recursos del Ministerio de Justicia y del Derecho por no reconocimiento de incapacidades superiores a dos días. </t>
  </si>
  <si>
    <t>No gestión de la incapacidad por parte del proceso a la EPS</t>
  </si>
  <si>
    <t>Detrimento patrimonial</t>
  </si>
  <si>
    <t>El Profesional del Grupo de Gestión Humana nómina Mensualmente con el propósito de evitar que hayan incapacidades sin radicar en las respectivas EPS. Inicialmente se recibe la incapacidad por correo electrónico o por EPX, se descarga el documento en pdf y se guarda en la carpeta escaner, luego se registra en el cuadro de control de incapacidades, posteriormente se radica en la pàgina web de la EPS y a fin de mes se ingresa en el aplicativo de nòmina. Se hace seguimiento semanalmente hasta que la EPS efectua el desembolso. Si se identifica una incapacidad que no ha sido radicada, se procede a buscar el documento en la historia laboral del funcionario y se empieza el proceso de radicaciòn. la entidad pierde el derecho a exigir el cobro despuès de tres (3) años. Evidencia archivo en excel "Cuadro de control incapacidades" Carpeta compartida Incapacidades.</t>
  </si>
  <si>
    <t>Desconocimiento y/o incumplimiento del procedimiento para la validación de incapacidades por parte de los servidores publicos.</t>
  </si>
  <si>
    <t>El coordinador del Grupo de Gestiòn Humana durante los 4 meses siguientes a su vinculación Con el fin de iniciar al empleado en la integraciòn a la cultura organizacional Ejecuta el proceso de inducción, con una formación y aprendizaje sobre todos los asuntos relacionados con sus dependencias, al igual que sus responsabilidades individuales, sus deberes y sus derechos. Se reorienta la integraciòn del funcionario en la cultura organizacional de acuerdo a los cambios en los asuntos que interfieran en el logro de los objetivos, con actualizaciones acerca de las normas que regulan los procesos. Evidencia: Formato evaluación de satisfacción de las actividades de capacitación F-HTDE-02-05 
Formato Listados de asistencia F-HTDE-02-04</t>
  </si>
  <si>
    <t>Información desactualizada en el Sistema Integrado de Gestión -SIG</t>
  </si>
  <si>
    <t>No tener la ultima versión del documento</t>
  </si>
  <si>
    <t>Uso inadeacuado de la documentación</t>
  </si>
  <si>
    <t>El coordinador del grupo de calidad y transformación organizacional al menos dos veces al año a fin de identificar posible documentación desactualizada o incompleta en el SIG,  realizará verificación de la documentación cargada en el sistema,  en caso de encontrar información incompleta o desactualizada, requerirá a través de correo electrónico al responsable y facilitador del proceso el envió de la información actualizada. Evidencia: correo electrónico solicitando la información, respuesta enviada por el responsable o facilitador del proceso</t>
  </si>
  <si>
    <t>Cargue erroneo de la información en el SIG</t>
  </si>
  <si>
    <t>Errores en los procesos</t>
  </si>
  <si>
    <t>La persona designada o el coordinador del grupo de calidad y transformación organizacional cada vez que se vaya a cargar información en el sistema a fin de evitar el cargue de información erronea o desactualizada,  realizará verificación de los elementos que conforman dicha documentación (versión, paginación, roles, entre otros.), la información contenida en reportes y seguimientos,  en caso de encontrar información  desactualizada o inconsiste  requerirá a través de correo electrónico al responsable y facilitador del proceso el envió de la información corregida o actualizada Evidencia: correo electrónico solicitando corrección de la información, respuesta enviada por el responsable o facilitador del proceso</t>
  </si>
  <si>
    <t>Desconocimiento del proceso a seguir para la actualización de la información.</t>
  </si>
  <si>
    <t>Hallazgos en los resultados de auditoría.</t>
  </si>
  <si>
    <t>La persona designada o el coordinador del grupo de calidad y transformación organizacional al menos una vez al año, a fin de reforzar el conocimiento sobre la forma correcta para la actualización de la documentación o información que conforman el SIG, realizará socialización a todos los facilitadores de los procesos sobre el procedimiento dispuesto para la actualización de la información, en caso de inasistencia de al menos la tercera parte de los citados se reprogramará la socialización o en su defecto a través de correo electrónico se enviará la información del procedimiento. Evidencia: citación a la socialización, asistencia a la socialización, correo</t>
  </si>
  <si>
    <t>Seguimiento inoportuno al sistema integrado de gestión.</t>
  </si>
  <si>
    <t>No reportar información a tiempo por parte de los responsable del proceso</t>
  </si>
  <si>
    <t>La persona designada o el coordinador del grupo de calidad y transformación organizacional trimestralmente a fin de identificar información o documentación desactualizada o incompleta en el SIG, realizará verificación de la información cargada en el sistema, en caso de encontrar información incompleta o desactualizada, requerirá a través de correo electrónico al responsable y facilitador del proceso el envió o cargue de la información actualizada. Evidencia: correo electrónico solicitando la información, respuesta enviada por el responsable o facilitador del proceso</t>
  </si>
  <si>
    <t>Debilidad en la planeación de los reportes o seguimiento</t>
  </si>
  <si>
    <t>Insuficiente información sobre el estado del SIG</t>
  </si>
  <si>
    <t>La persona designada o el coordinador del grupo de calidad y transformación organizacional trimestralmente con el fin de dar cumplimiento a las diferentes actividades relacionadas con el mantenimiento del sistema y permitir un mejor control de los reportes a realizar, hará seguimiento al cronograma establecido para los reportes del SIG, en caso de encontrar incumplimiento o retraso en el envio de la información, requerirá a través de correo electrónico al responsable y facilitador del proceso el envió o cargue de la misma. Evidencia: Cronograma de reporte,  correo electrónico solicitando la información, respuesta enviada por el responsable o facilitador del proceso</t>
  </si>
  <si>
    <t xml:space="preserve">No poder tomar decisiones frente al sistema </t>
  </si>
  <si>
    <t>Inadecuada formulación de los planes y proyectos de inversión  institucionales</t>
  </si>
  <si>
    <t>Definir actividades en los planes y proyectos que no son competencia en terminos de misionalidad de la entidad</t>
  </si>
  <si>
    <t>Incumplir las metas establecidas en el plan estratégico institucional</t>
  </si>
  <si>
    <t>El grupo de gestión de proyectos y presupuesto de la OAP cada vez que se va a formular un proyecto de inversión. verificara que la información reportada por los formuladores cumpla con los requirimientos solicitados por la metodología revisando su diligenciamiento a través del formato de formulación de proyectos de inversión En caso de encontrar información faltante o que no cumpla con los requerimientos, se devuelve al respectivo formulador para su corrección, con el acompañamiento del grupo de gestión de proyectos y presupuesto de la OAP. Evidencia: Formato de Formulación de proyectos de inversión. Correos solicitando la correción y Formato Corregido.</t>
  </si>
  <si>
    <t>Inadecuada aplicación de la metodología para la formulación de los  proyectos de inversión por parte de los formuladores</t>
  </si>
  <si>
    <t>Incorrecta aplicación de los lineamientos por parte de los responsables en el proceso de formulación de la planeación institucional.</t>
  </si>
  <si>
    <t>Incumplimiento del referente estratégico de la entidad.</t>
  </si>
  <si>
    <t>El profesional asignado del grupo de planeación estratégica de la OAP cada vez que se va a realizar la formulación de la planeación verificara que las acciones establecidas sean coherentes con: el PND, los objetivos estratégicos y  la misionalidad de la entidad. mediante mesas de trabajo con las dependencias En caso de encontrar información faltante o que no es coherente, se resuleve de forma inmediata en la mesa de trabajo o de ser necesario se devuelve al respectivo formulador para su corrección luego de su revisión con el líder de la dependencia. Evidencia: Formato del Plan de Acción y del Plan Estratégico. Listados de asistencia. Correo electrónico solicitando la correción y fornatos ajustados</t>
  </si>
  <si>
    <t>Retrasos en la ejecución del presupuesto de inversión por leyendas de previo concepto</t>
  </si>
  <si>
    <t>El profesional asignado del grupo de planeación estratégica de la OAP cada vez que se va a realizar la formulación de la planeación verificara que los lineamientos brindados por esta oficina hayan sido tenidos en cuenta de forma correcta mediante mesas de trabajo con las dependencias En caso de encontrar información faltante o que no cumple con los lineamientos, se resuelve de forma inmediata en la mesa de trabajo o de ser necesario se devuelve al respectivo formulador para su corrección luego de su revisión con el líder de la dependencia. Evidencia: Formato del Plan de Acción y del Plan Estratégico. Listados de asistencia. Correo electrónico solicitando la correción y formatos ajustados</t>
  </si>
  <si>
    <t>Incumplimiento de las metas establecidas en el plan institucional</t>
  </si>
  <si>
    <t>El líder de la OAP previo a la publicación en la página WEB del Ministerio de los diferentes planes y a fin de generar un compromiso con el ejercicio de planeación e informar sobre las actividades responsabilidad de los diferentes procesos llevará a aprobación del Comité Institucional de Gestión y Desempeño, la planeación estratégica e institucional En caso de presentarse comentarios o sugerencias por parte de algún miembro del Comité y de ser posible se resoloverán de forma inmediata en este espacio o de ser necesario, se devolverá al respectivo formulador para su corrección luego de la revisión con el líder de la dependencia. Evidencia: Formato del Plan de Acción y del Plan Estratégico. Actas de comité. Correo electrónicos solicitando la correciones y formatos ajustados</t>
  </si>
  <si>
    <t>Incumplimiento de las metas definidas en los planes y proyectos de inversión institucionales</t>
  </si>
  <si>
    <t>Inadecuada ejecución de recursos de Proyectos de Inversión</t>
  </si>
  <si>
    <t>El Grupo de Gestión de Proyectos y Presupuesto, mensualmente a fin de controlar la ejecución de los proyectos de inversión y generar alertas frente al tema, realizará la revisión de todos los proyectos de inversión, de acuerdo a los parámetros de calidad y oportunidad de la información a los que se hace mención en el Decreto 1082 de 2015, En caso de encontrar inconsistencias o información que no es clara, se debe remitir al responsable del seguimiento las observaciones y ajustes a las que haya lugar mediante correo electronico, a fin de que este las corrija en el Sistema de Seguimiento de Proyectos de Inversión antes del cierre estipulado. Si el ajuste no se realiza en los tiempos estipulados, se registra en un libro de Excel los ajustes solicitados para realizar una nueva solicitud a ser tenida en cuenta en el seguimiento del mes siguiente. Evidencia: Correos electronicos solicitando ajustes, Libro de Excel con ajustes solicitados pero no cumplidos, Correos electronicos con los ajustes.Se encuentra contenido en Formulación y Seguimiento de Proyectos de Inversión</t>
  </si>
  <si>
    <t>Retrasos en la contratación de la entidad</t>
  </si>
  <si>
    <t>Afectación de le ejecución presupuestal de la entidad</t>
  </si>
  <si>
    <t>El Grupo de Gestión de Proyectos y Presupuesto, trimestralmente a fin de informar sobre la ejecución presupuestal y generar recomendaciones o alertas sobre la misma a criterio propio, realiza un informe de seguimiento a la ejecución presupuestal de todas las dependencias del Ministerio de Justicia y el Derecho, incluyendo recursos de crédito externo De detallar algun aspecto sobre el que vale la pena hacer una recomendación o alerta a criterio propio, sera informado a la dependencia responsable y al Comité Institucional de Gestión y Desempeño Evidencia: Informe de seguimiento, Acta de Comité, Correos electronicos informando a las dependencias .Se encuentra contenido en Programación presupuestal y seguimiento a los ingresos y a laejecución de los recursos asignados</t>
  </si>
  <si>
    <t xml:space="preserve">Reprocesos en la gestión interna en la fase de planeación </t>
  </si>
  <si>
    <t>Incumplimiento de las metas asignadas a la entidad en el PND</t>
  </si>
  <si>
    <t>Retrasos en la gestión interna en la fase de ejecución</t>
  </si>
  <si>
    <t xml:space="preserve">Insatisfación de los grupos de valor </t>
  </si>
  <si>
    <t>La Oficina Asesora de Planeación durante la fase de planeación de la entidad asesorara metodologicamente a las dependencias en el diligenciamiento del formato del PAI y el PEI mediante mesas de trabajo  De ser necesario realizar varias mesas de trabajo estas se programaron en el transcurso de la fase de planeación, para resolver dudas sobre el dilingenciamiento del formato  Evidencia: Asistencia a mesas de trabajo, formato del PAI - PEI diligenciado .Se encuentra contenido en Formulación y seguimiento del PAI - Formulación y seguimiento del PES - PEI</t>
  </si>
  <si>
    <t>No atender las solicitudes válidas de repatriación de ciudadanos Colombianos detenidos en el exterior y de ciudadanos extranjeros detenidos en Colombia</t>
  </si>
  <si>
    <t>La solicitud no es enviada con el expediente completo</t>
  </si>
  <si>
    <t>Sobreacumulación de peticiones sobre un caso</t>
  </si>
  <si>
    <t>El coordinador del Grupo de traslado de personas condenadas, previo al estudio del caso por parte de la Comisión Intersectorial para el estudio de repatriación de presos y posterior a la revisión y gestión del profesional designado de este, a fin de verificar que la información y la documentación del expediente se encuentre completa, revisará que la información consignada en la hoja de vida del condenado corresponda con la documentación que conforma el expediente, En caso de que al momento de revisar la hoja de vida del condenado, se identifique que el expediente se encuentra incompleto o que la información este incorrecta, en el primer caso se solicita al profesional encargado del caso para que este gestione la documentación faltante, en el segundo caso se solicitara al profesional las correcciones a las que haya lugar. Evidencia: Estudio del caso por parte de la comisión.
Gestión de la documentación faltante a las autoridades correspondientes por parte del profesional encargado del caso, cuando haya lugar.
Recepción por segunda vez de la hoja de vida con las correcciones por parte del profesional encargado del caso.</t>
  </si>
  <si>
    <t>Revisión inadecuada de la documentación por parte del funcionario designado del caso</t>
  </si>
  <si>
    <t>Requerimientos de entes de control</t>
  </si>
  <si>
    <t>Descuido del funcionario encargado del caso para la atención de la solicitud</t>
  </si>
  <si>
    <t>El coordinador del Grupo de traslado de personas condenadas, cada dos meses, a fin de verificar que se este realizando la gestión a la solicitud y determinar en que fase se encuentra, revisará los casos en la base de datos de solicitudes de traslado. En caso de que al momento de realizar la verificación se identifique una solicitud que aparece en la base de datos en estado Recibida luego de dos meses, pero no aparece ninguna otra actuación se solicitará al profesional encargado del caso la debida justificación del tema y se procederá a informar a este la prioridad de la gestión de la misma. Evidencia: Observaciones por parte del coordinador en la base de datos sobre el caso
Requerimiento al profesional de la justificación, en el caso que se requiera</t>
  </si>
  <si>
    <t>Tramitar inadecuada y/o inoportunamente las solicitudes de asistencia mutua en materia penal</t>
  </si>
  <si>
    <t>La autoridad judicial remite la solicitud de asistencia judicial sin el lleno de los requisitos previstos en el convenio internacional aplicable</t>
  </si>
  <si>
    <t xml:space="preserve">Incidencia negativa en la decisión judicial </t>
  </si>
  <si>
    <t xml:space="preserve">El coordinador del Grupo de Asistencia Judicial de la Dirección de Asuntos Internacionales, cada vez que se reciba una solicitud de asistencia judicial en materia penal y previo al envío de esta a la autoridad central correspondiente, a fin de determinar la viabilidad de la solicitud y  evitar devoluciones o reprocesos por documentación incompleta o inconsistente por parte de la Autoridad Central,revisará el cumplimiento de los requisitos de fondo y forma, previstos en el instrumento internacional aplicable al caso concreto. En caso de que al momento de recibir la solicitud, esta se encuentre sin el lleno de los requisitos, se devuelve a la autoridad judicial requirente con las observaciones del caso. Evidencia: Oficio por parte del Ministerio con las respectivas observaciones en los casos que aplique a la solicitud de la autoridad judicial. 
</t>
  </si>
  <si>
    <t>Fallas en la revisión de la documentación soporte de la solicitud del servicio</t>
  </si>
  <si>
    <t xml:space="preserve">Afectación judicial en la cooperación entre gobiernos y autoridades judiciales </t>
  </si>
  <si>
    <t>Requerimiento por parte de un ente de control</t>
  </si>
  <si>
    <t>Tramitar inadecuada y/o inoportunamente las solicitudes formales de extradicción pasiva - activa que se alleguen al ministerio de justicia.</t>
  </si>
  <si>
    <t>Devolución de la documentación soporte de la solicitud de extradicción pasiva que se envía a la CSJ</t>
  </si>
  <si>
    <t>La persona designada por el coordinador del grupo de extradicciones, cada vez que se reciba una solicitud de extradicción pasiva y previo a su envío a la Corte Suprema de Justicia, verifica que la solicitud se encuentre completa y conforme a la norma o tratado aplicable, revisará la documentación allegada por el Ministerio de Relaciones Exteriores y realiza el oficio remisorio correspondiente. En caso de que al momento de realizar la verificación se identifique una solicitud incompleta, que no cumpla con la normatividad o el tratado o que no es clara, se solicita la respectiva complementación ante el Ministerio de Relaciones Exteriores. Evidencia: Oficio remisorio de la documentación al organo judicial
Oficio de solicitud de complementación ante el Ministerio de Relaciones Exteriores en los casos donde haya lugar</t>
  </si>
  <si>
    <t>Incumplimiento de los plazos internos para la proyección de los actos administrativos de extradicción pasiva</t>
  </si>
  <si>
    <t>El coordinador del grupo de extradicciones, cada vez que se reciba una solicitud de extradicción pasiva y previo a su envío a la Corte Suprema de Justicia, a fin de verificar que la revisión inicial y el oficio remisorio esten correctos, revisará la revisión inicial y el oficio, contrastando ambos contra la documentación recibida del Ministerio de Relaciones Exteriores. En caso de que al momento de realizar la revisión, identifique alguna información que no es clara o si se presentan errores en la revisión o en el oficio, devolverá estos a la persona que realizó la revisión inicial para las respectivas correcciones del caso. Evidencia: Oficio con visto bueno remisorio de la documentación al organo judicial
Devolución del oficio para correcciones a la persona designada de la primera revisión.</t>
  </si>
  <si>
    <t>Demoras en la notificación a las partes interesadas del acto administrativo de extradicción pasiva.</t>
  </si>
  <si>
    <t>Enviar a Cancillería de manera incompleta la documentación requerida para la extradicción activa al tratado aplicable al caso</t>
  </si>
  <si>
    <t>Devolución de Cancillería por errores en la documentación enviada para la solicitud de extradicción activa.</t>
  </si>
  <si>
    <t>Incumplimiento en la ejecución  de las actividades misionales relacionadas con los programas asociados a la Dirección de Métodos Alternativos de Solución de Conflictos</t>
  </si>
  <si>
    <t>Indebida aplicación de los lineamientos establecidos en los procedimientos internos para la implementación del programa nacional de casas de justicia y convivencia ciiudadana</t>
  </si>
  <si>
    <t>Congestión de la justicia</t>
  </si>
  <si>
    <t>Los integrantes designados por el coordinador o este, del grupo de casas de justicia cada vez que se recibe una  solicitud por un medio diferente al Formulario WEB del portal de casas de justicia, para implementar el programa nacional de casas de justicia y convivencia ciudadana, y a fin de que el solicitante conozca y aclare las dudas sobre los lineamientos establecidos en los procedimientos internos para la implementación de este, brindan las indicaciones necesarias para su implementación. En caso de recibir la solicitud por el formulario electronico se revisa que esta se encuentre completa, de no estarla se devuelve al solicitante y se le pide que envíe la documentación al correo electronico del programa de casas de justicia y convivencia ciudadana. Evidencia: Solicitud recibida registrada en el Banco de Solicitudes
Asesoría registrada en el Banco de Solicitudes
Devolución de la solicitud en el caso que sea necesario
Correos electrónicos con la documentación en el caso que se haya requerido</t>
  </si>
  <si>
    <t>Indebida aplicación de los lineamientos establecidos en los procedimientos internos para la implementación del programa de justicia en equidad</t>
  </si>
  <si>
    <t>Los integrantes designados por el coordinador o este, del grupo de justicia en equidad,  cada vez que se recibe una  solicitud por EPX, para implementar la conciliación en equidad, y a fin de que el solicitante conozca y aclare las dudas sobre los lineamientos establecidos en los procedimientos internos y en el marco para la implementación de la conciliación en equidad, brindan las indicaciones necesarias para su implementación. En caso de recibir la solicitud por un medio diferente al sistema EPX, se redirecciona a este sistema a fin de proceder con la asesoría luego de que esta solicitud reciba un número de radicado Evidencia: Solicitud recibida por EPX
Reenvío de las solicitudes por un canal diferente
Asesoría brindada por EPX</t>
  </si>
  <si>
    <t>Indebida aplicación de los lineamientos establecidos en los procedimientos internos para la implementación del programa de conciliación extrajudicial en derecho, arbitraje y amigable composición</t>
  </si>
  <si>
    <t>Afectación en temas de convivencia y solución de conflictos en el orden territorial</t>
  </si>
  <si>
    <t>Los integrantes designados por el coordinador o este, del grupo de conciliación extrajudicial en derecho, arbitraje y amigable composición, cada vez que se recibe una  solicitud por EPX, para llevar a cabo los tramités del programa, y a fin de que el solicitante conozca y aclare las dudas sobre los lineamientos establecidos en los procedimientos internos y en la normativa vigente, brindan la información sobre los requisitos legales para su desarrollo. En caso de recibir la solicitud por un medio diferente al sistema EPX, se redirecciona a este sistema a fin de proceder con la asesoría luego de que esta solicitud reciba un número de radicado Evidencia: Solicitud recibida por EPX
Reenvío de las solicitudes por un canal diferente
Asesoría brindada por EPX</t>
  </si>
  <si>
    <t>Incumplimiento de la realización de visitas  a los Centros de Conciliación y Entidades avaladas priorizados, según la función legal de inspección.</t>
  </si>
  <si>
    <t>Deficiencias en la planeación de las inspecciones a los Centros de Conciliación y Entidades Avaladas</t>
  </si>
  <si>
    <t>Afectación de la calidad del servicio que prestan los centros de conciliación y entidades avaladas</t>
  </si>
  <si>
    <t>El coordinador del grupo de conciliación extrajudicial en derecho, arbitraje y amigable composición o el servidor designado, una vez al año, a fin de evitar el incumplimiento de las visitas de inspección programadas, tomará en cuenta los datos históricos y los criterios de priorización para determinar aquellos centros que deberán ser visitados en la vigencia, atendiendo las  limitaciones en recursos humanos y financieros del proceso. En el caso donde el ejercicio de priorización arroje resultados que no se puedan atender por las limitaciones previamente descritas, se deberá justificar la no elección de estos ante el jefe directo y la OAP. Para la próxima vigencia los no sleccionados tendrán una prioridad mayor siempre y cuando las condiciones de los centros y entidades avaladas no mejoren  Evidencia: Matriz de planeación y priorización con el Listado de centros planeados, los Criterios de priorización y  la Elección de los centros priorizados
Justificación de no elección de los centros priorizados cuando haya lugar.</t>
  </si>
  <si>
    <t>Afectación en la imagen del Ministerio por incumplimiento a la normatividad vigente</t>
  </si>
  <si>
    <t xml:space="preserve">Ataques delincuenciales al interior del MJD </t>
  </si>
  <si>
    <t xml:space="preserve">Fallas en el sistema de circuito cerrado de TV </t>
  </si>
  <si>
    <t>Daños en las instalaciones del MJD</t>
  </si>
  <si>
    <t>La empresa de vigilancia cuando detecte una falla en el sistema de circuito cerrado de TV, para que entre las partes (MJD y Empresa de Vigilancia) se susbsane el fallo lo más pronto posible, informara inmediatamente al MJD a través de la coordinación administrativa el evento detectado. Si al momento de solucionar el fallo no es posible con los equipos actuales, la empresa de vigilancia realizara el cambio del equipo dañado con un equipo diferente mientras se repara el mismo. Evidencia: Minuta diaria de vigilancia
Reporte del fallo al MJD
Acta de visita en el momento de reparar el fallo</t>
  </si>
  <si>
    <t>Incumplimiento de la guía de servicios administrativos en el item Vigilancia y Seguridad</t>
  </si>
  <si>
    <t>Pérdida de elementos</t>
  </si>
  <si>
    <t>La coordinación del grupo de gestión administrativa  cada vez que haya cambio o renovación de la empresa de vigilancia a fin de fortalecer las actividades de vigilancia y seguridad contenidas en la Guía de Servicios Administrativos, socializará este documento con el supervisor de la empresa de vigilancia, colocando especial enfásis en las actividades que se deban realizar de forma permanente (revisión de bolsos, solicitud de identificación, registro de equipos, entre otras) En el momento de la socialización quedará el compromiso de que el supervisor debe replicar el ejercicio con todo el personal de vigilancia asignado al MJD, en un plazo no mayor a dos semanas. Evidencia: Listados de asistencia del proceso de socialización con  el supervisor y del supervisor con el personal de vigilancia</t>
  </si>
  <si>
    <t>Afectaciones a la integridad fisica y seguridad de las personas que se encuentren en el MJD en el momento del suceso</t>
  </si>
  <si>
    <t>Interrupción del servicio de ascensores, redes eléctricas e hidráulicas</t>
  </si>
  <si>
    <t>Falta de mantenimiento de los equipos, redes eléctricas e hidráulicas</t>
  </si>
  <si>
    <t>Retraso o suspensión en el normal desarrollo de las actividades del MJD</t>
  </si>
  <si>
    <t>La coordinación del grupo de gestión administrativa  anualmente a fin de evitar suspensión del servicio o daños en los equipos, contratara y realizara supervisión del mantenimiento preventivo y correctivo de estos últimos (ascensores, eléctricos e hidráulicos). Si el contrato tarda más de lo estimado en concretarse, se acudira al personal de mantenimiento interno para el cumplimiento de las obligaciones relacionadas mientras se suscribe el mismo, granatizando así la prestación efectiva del servicio y evitar daños a los equipos. Evidencia: Contrato de Mantenimiento
Informes de Supervisión
Actas-informes o minutas de Visita</t>
  </si>
  <si>
    <t>Falta de coordinación con las ESP para los mantenimientos que impliquen suspensión del servicio.</t>
  </si>
  <si>
    <t>Daño en los equipos</t>
  </si>
  <si>
    <t>El coordinador del grupo de gestión administrativa  cada vez que sea informado de un mantenimiento por parte de las ESP que implique suspensión del servicio, a fin de evitar suspensión de las labores del MJD o daños en los equipos, coordinara con la ESP la posibilidad de realizar el mantenimiento en la fecha estipulada o por el contrario solicitar su aplazamiento, teniendo en cuenta las necesidades del servicio. Si luego de analizada la fecha por parte del MJD y en el caso de que la suspensión por parte de la ESP no se deba llevar a cabo el coordinador del grupo de gestión administrativa se comunicará con la ESP, de forma telefonica e inmediata para reprogramar este, de no recibir respuesta debera recurrir a los demas canales de atención hasta tener una respuesta positiva.  Evidencia: Oficio - comunicación verbal del mantenimiento de la ESP 
Pronunciamiento del MJD de forma verbal o escrita con la ESP para reprogramar la fecha</t>
  </si>
  <si>
    <t xml:space="preserve">Fallas en los sistemas de tanques de agua y planta electrica </t>
  </si>
  <si>
    <t>Incremento de costos de mano de obra y operativos</t>
  </si>
  <si>
    <t>El equipo de mantenimiento interno del MJD trimestralmente a fin de evitar daños en los equipos, realizara mantenimiento a los tanques de agua y la planta electrica, revisando cualquier situación que sea necesaria corregir y detectando posibles fallas Si al momento de realizar el mantenimiento detecta alguna falla en los equipos deberá subsnar la misma lo más pronto posible e informar esta al coordinador del grupo de gestión administrativa. Evidencia: Registro fotografico del mantenimiento
Informes de supervisión</t>
  </si>
  <si>
    <t>Indisponibilidad del servicio de transporte para temas de seguridad</t>
  </si>
  <si>
    <t>Fallas de los automotores por incumplimiento de las obligaciones del contratista</t>
  </si>
  <si>
    <t>Retrasos en el cumplimiento de agenda de la alta dirección (Ministro, Viceministros y Directivos)</t>
  </si>
  <si>
    <t>El supervisor del contrato mensualmente verificará el cumplimiento de las obligaciones del contratista realizando una confrontación de los requerimientos técnicos contra los entregables Cuando el supervirsor observe inconsistencias o incumplimientos informara inmediatamente al contratista para que este realice las correciones del caso, en la situación que no se pueda subsanar, se deberá hacer el reporte a gestión contractual. En el caso que los incumplimientos sean reiterativos se podra dar por terminado el contrato siempre y cuando se evidencie que se le notificaron los reportes y no hubo acción correctiva sobre estos.  Evidencia: Informe de supervisión
Requerimientos al contratista
Reporte a Gestión Contractual</t>
  </si>
  <si>
    <t>Fallas mecánicas y electrónicas de los automotores</t>
  </si>
  <si>
    <t>Siniestros con terceros</t>
  </si>
  <si>
    <t>Fallas en la seguridad para personas y documentos a transportar</t>
  </si>
  <si>
    <t>El grupo de almacen, inventarios y transporte cada que suceda un siniestro a fin de evitar indisponibilidad en la planta vehicular  realizara una asignacion de un segundo vehiculo para cubrir las obligaciones del vehiculo siniestrado Siempre que se reporte un accidente se deberá de forma inmediata trasladar las obligaciones del vehículo siniestrado a un segundo vehículo. Evidencia: Registro de accidente en el formato designado
Reporte del accidente
Asignación de obligaciones en una matriz de control</t>
  </si>
  <si>
    <t>Mal uso del vehiculo por parte de los conductores</t>
  </si>
  <si>
    <t xml:space="preserve">Incumplimiento en tiempos de los términos legales </t>
  </si>
  <si>
    <t>El grupo de almacen, inventarios y transporte, mensualmente, a fin de fortalecer el conocimiento sobre normas de tránsito, seguridad vial entre otros temas, realiza capacitaciones o jornadas de sensibilización a los conductores del Ministerio. Si al momento de realizar la jornada de capacitación o sensibilización se presenta la inasistencia de una tercera parte o más de los conductores citados, se deberá reprogramar esta para dar la mayor cobertura posible. Para algunos casos y dependiendo de la temática se podra dar caracter de obligatorio a la jornada. Evidencia: Asistencia a las jornadas de capacitación o sensibilización
Programación de las jornadas
Material utilizado en las jornadas</t>
  </si>
  <si>
    <t>Vencimiento de términos en la presentacion de memoriales propios de los procesos de extincion de dominio en los que interviene el Ministerio de Justicia y del Derecho</t>
  </si>
  <si>
    <t xml:space="preserve">Falta de seguimiento a los estados, y/o notificaciones en  los  procesos de extincion de dominio </t>
  </si>
  <si>
    <t xml:space="preserve">El coordinador del Grupo de Extinción de Dominio  semanalmente realiza un seguimiento a los términos de los memoriales de los procesos de extinción de dominio en los que interviene el Ministerio de Justicia y del Derecho, en los registros realizados por los apoderados en los formatos preestablecidos en la Guía de Extinción de Dominio. Si al momento de realizar el seguimiento, identifica memoriales de los procesos de extinción de dominio próximos a vencerse, prioriza  estos procesos para adelantar los trámites correspondientes según el estado del proceso, Evidencia: 
Formatos establecidos en la Guía 
Correos con alertas de vencimiento 
</t>
  </si>
  <si>
    <t xml:space="preserve">Falta de envío oportuno y con calidad de las piezas procesales por parte de la Fiscalia y Juzgados de extincion de dominio </t>
  </si>
  <si>
    <t xml:space="preserve">Los abogados Grupo de Extinción de Dominio  semanalmente  para identificar de los proceso de Extinción de Dominio en los que interviene el Ministerio de Justicia y del Derecho , cuales no contienen piezas procesales completas  realiza verificación de la documentación aportada en  las carpetas físicas y digitales de los procesos de extinción de dominio de los que son apoderados   Si al momento de la verificación en las carpetas, se identifica que existen piezas procesales faltantes,  deberá solicitar al juzgado o fiscalía titular las piezas faltantes al proceso judicial Evidencia: 
Carpetas físicas - Digitales 
Correos o memoriales </t>
  </si>
  <si>
    <t>Inadecuada investigación a las posibles faltas disciplinarias</t>
  </si>
  <si>
    <t>No realizar las actuaciones procesales en los términos legales</t>
  </si>
  <si>
    <t xml:space="preserve">
Pérdida de la competencia legal y de oportunidad para tomar decisiones en cada una de las etapas del proceso disciplinario</t>
  </si>
  <si>
    <t>El Coordinador del Grupo de Control Disciplinario Interno cada vez que suscribe las actuaciones revisa las decisiones tomadas sobre los trámites o procesos de competencia del Grupo, a partir del conocimiento del mismo, lo establecido en el régimen disciplinario vigente y la reunión con el abogado que lleva el proceso para conocer los detalles y detrminar la pertinencia de la actuación. En caso de errores formales se ajusta la redacción del documento y en caso de inconsistencias en lo sustancial, se procede a subsanar la falla y se labora la nueva decisión. Carpetas compartidas, expdientes fisicos, sistema de gestión disciplinaria Gecodi, SIM y correos electronicos.</t>
  </si>
  <si>
    <t>Falta de control sobre los términos procesales</t>
  </si>
  <si>
    <t>Investigaciones disciplinarias
Pérdida de imagen del Grupo de Control Disciplinario Interno</t>
  </si>
  <si>
    <t>El Coordinador del Grupo de Control Disciplinario Interno mensualmente hace seguimiento a los expedientes disciplinarios a partir de la realización de reuniones con cada abogado para revisar material y formalmente cada uno de los expedientes disciplinarios activos y dar pautas para la gestión durante el mes siguiente En caso de errores formales se ajusta la redacción del documento y en caso de inconsistencias en lo sustancial, se procede a subsanar la falla y se labora la nueva decisión. Carpetas compartidas, expdientes fisicos, sistema de gestión disciplinaria Gecodi, SIM y correos electronicos.</t>
  </si>
  <si>
    <t>Para una correcta descripción del Control Remitase a la Hoja CONTROLES</t>
  </si>
  <si>
    <t>Código: F-MC-G04-01
Versión: 6</t>
  </si>
  <si>
    <t>Herramienta de Riesgos de Corrupción</t>
  </si>
  <si>
    <t>ANÁLISIS DEL RIESGO</t>
  </si>
  <si>
    <t>PLAN DE TRATAMIENTO</t>
  </si>
  <si>
    <t>MONITOREO
(líder del proceso)</t>
  </si>
  <si>
    <t>SEGUIMIENTO
Oficina de Control Interno</t>
  </si>
  <si>
    <t>Análisis de Impacto Riesgos de Corrupción</t>
  </si>
  <si>
    <t>1. ¿Afecta al grupo de funcionarios del proceso?</t>
  </si>
  <si>
    <t>2. ¿Afecta el cumplimiento de metas y objetivos de la dependencia?</t>
  </si>
  <si>
    <t>3. ¿Afecta el cumplimiento de misión de la Entidad?</t>
  </si>
  <si>
    <t>4. ¿Afecta el cumplimiento de la misión del sector al que pertenece la Entidad?</t>
  </si>
  <si>
    <t>5. ¿Genera pérdida de confianza de la entidad, afectando la reputación?</t>
  </si>
  <si>
    <t>6. ¿Genera pérdida de Recursos Económicos?</t>
  </si>
  <si>
    <t>7. ¿Afecta la generación de los productos o la prestación de servicios?</t>
  </si>
  <si>
    <t>8. ¿Da lugar al detrimento de calidad de vida de la comunidad por la pérdida del bien, servicios o recursos públicos?</t>
  </si>
  <si>
    <t>9. ¿Genera pérdida de información de la Entidad?</t>
  </si>
  <si>
    <t>10. ¿Genera intervención de los órganos de control, de la Fiscalía u otro ente?</t>
  </si>
  <si>
    <t>11. ¿Da lugar a procesos sancionatorios?</t>
  </si>
  <si>
    <t>12. ¿Da lugar a procesos disciplinarios?</t>
  </si>
  <si>
    <t>13. ¿Da lugar a procesos fiscales?</t>
  </si>
  <si>
    <t>14. ¿Da lugar a procesos penales</t>
  </si>
  <si>
    <t>15. ¿Genera pérdida de credibilidad del sector?</t>
  </si>
  <si>
    <t>16. ¿Ocasiona lesiones físicas o pérdida de vidas humanas?</t>
  </si>
  <si>
    <t>17. ¿Afecta la imagen regional?</t>
  </si>
  <si>
    <t>18. ¿Afecta la imagen nacional?</t>
  </si>
  <si>
    <t>19. ¿Genera daño ambiental?</t>
  </si>
  <si>
    <t>CONTADOR DE IMPACTO</t>
  </si>
  <si>
    <t>ACCIONES</t>
  </si>
  <si>
    <t>PERIODICIDAD</t>
  </si>
  <si>
    <t>FECHA INICIO</t>
  </si>
  <si>
    <t>FECHA FINAL</t>
  </si>
  <si>
    <t>RESPONSABLE</t>
  </si>
  <si>
    <t>REGISTRO O EVIDENCIA</t>
  </si>
  <si>
    <t>MONITOREO DEPENDENCIAS PRIMER CUATRIMESTRE</t>
  </si>
  <si>
    <t>MONITOREO DEPENDENCIAS SEGUNDO CUATRIMESTRE</t>
  </si>
  <si>
    <t>MONITOREO DEPENDENCIAS TERCER CUATRIMESTRE</t>
  </si>
  <si>
    <t>SEGUIMIENTO OCI PRIMER CUATRIMESTRE</t>
  </si>
  <si>
    <t>SEGUIMIENTO OCI SEGUNDO CUATRIMESTRE</t>
  </si>
  <si>
    <t>SEGUIMIENTO OCI TERCER CUATRIMESTRE</t>
  </si>
  <si>
    <t xml:space="preserve">Pérdida de credibilidad institucional al conceder el beneficio jurídico de indulto, sin el cumplimliento de los requisitos, al recibir presiones para su otorgamiento, con el fin de recibir benificios propios y/o beneficiar al solicitante  </t>
  </si>
  <si>
    <t>Verificación errónea de la documentación que hace parte del tramité</t>
  </si>
  <si>
    <t>Obtención de libertad de una persona que no cumple con los requisitos establecidos en la norma y sin la verificación de la documentación soporte del expediente
Investigación disciplinaria.
Sanción
Investigación penal.</t>
  </si>
  <si>
    <t>no</t>
  </si>
  <si>
    <t>El coordinador del grupo de accciones legales y constitucionales,  el (la) Director(a) de Justicia Transicional, El Viceministro de Política Crimminal y el Director Jurídico, en el marco de sus competencias y cada vez que se vaya a expedir el proyecto de resolución a través del cual se decide la solicitud de indulto, a fin de detectar posibles inconsistencias en la documentación que se allega para el trámite, revisará la información del expediente y el proyecto de resolución emitido por el profesional que realizó la verificación inicial. Si en el momento de la revisión se encuentra alguna inconsistencia en la documentación se procederá a devolver y solicitar ajustes adicionales en el marco de la ley al profesional que realizó el proyecto del Acto Administrativo. 
Evidencia: Hoja de ruta del trámite con el visto bueno del profesional, coordinador y director
Notificación al profesional que proyecto el Acto Administrativo exponiendo las razones por las cuales es necesario una nueva revisión del caso.</t>
  </si>
  <si>
    <t xml:space="preserve">Realizar una revisión al procedimiento de Indulto con las partes interesadas, con el fin de analizar su consistencia. </t>
  </si>
  <si>
    <t>Anual</t>
  </si>
  <si>
    <t>Director de Justicia Transicional</t>
  </si>
  <si>
    <t>Acta de revisión del procedimiento.</t>
  </si>
  <si>
    <t>Presión por terceros</t>
  </si>
  <si>
    <t>Pérdida de recursos económicos por el uso indebido del efectivo de la caja menor al realizar pagos  sin los debidos soportes o para uso personal, beneficiando a un tercero o para un beneficio propio</t>
  </si>
  <si>
    <t>Desconocimiento de los requisitos para el tramité de pagos</t>
  </si>
  <si>
    <t xml:space="preserve">Investigaciones Disciplinarias
Requerimientos por parte de entes de control
</t>
  </si>
  <si>
    <t>Incluir dentro de la circular de cierre de vigencia, los lineamientos para la legalización de las Caja Menores.</t>
  </si>
  <si>
    <t>Líder de Contabilidad</t>
  </si>
  <si>
    <t>1. Circular de Cierre de Vigencia</t>
  </si>
  <si>
    <t>Excesiva confianza en la persona a cargo de la caja menor</t>
  </si>
  <si>
    <t>La persona designada por el Coordinador del GGFC,  al menos cuatro veces al año, a fin de detectar posibles movimientos de efectivo sin los debidos soportes, verificará los soportes que dieron lugar al pago utilizando efectivo o transferencias de las cajas menores, así como la revisión del efectivo que se encuentra en estas. Si al momento de la verificación se identifica faltante de efectivo o pagos sin los debidos soportes, se procederá a comunicar esta situación a la persona encargada del manejo de la caja menor y al líder del proceso donde se encuentre ubicada la caja menor, para establecer las razones de la situación detectada y el debido proceso a seguir dependiendo del monto. Si no se aplica este control, la excesiva confianza en la persona a cargo de la caja menor, puede conducir a la materialización del riesgo. 
Evidencias:
1. Soportes de la verificación de las cajas menores - Formato de arqueo F-GF-19-05
2. Comunicación al responsable del manejo de la caja menor y al líder del proceso cuando la situación lo amerite</t>
  </si>
  <si>
    <t>Aprovechamiento indebido, pérdida o mal uso de la información reservada de la entidad para obtener beneficios en provecho de sí mismo o de un tercero a raíz de la utilización fraudulenta de información privilegiada o reservada, por la falta de controles para su acceso</t>
  </si>
  <si>
    <t>Pérdida de imagen institucional
Investigaciones disciplinarias,
Sanciones</t>
  </si>
  <si>
    <t>Aplicación de controles de acceso a los repositorios de información</t>
  </si>
  <si>
    <t>Subdirector de Tecnologías y Sistemas de Información</t>
  </si>
  <si>
    <t>Acta de verificación de accesos</t>
  </si>
  <si>
    <t>Revisión de los accesos a la información en los archivos de gestión y archivo central</t>
  </si>
  <si>
    <t>semestral</t>
  </si>
  <si>
    <t>Coordinador del grupo de Gestión documental</t>
  </si>
  <si>
    <t>Reporte de Prestamos</t>
  </si>
  <si>
    <t>El riesgo a la fecha no se ha materializado, todos los controles se siguen realizando por la intranet,en la cual se recibe la solicitud en tiempo real por el formulario Forms y se valida la información pertinente y así determinar si el documento se puede prestar. Se realizaron trescientos veinte nueve (329) préstamos para el primer cuatrimestre del año 2024, sin novedad.</t>
  </si>
  <si>
    <t xml:space="preserve"> </t>
  </si>
  <si>
    <t xml:space="preserve">Posibilidad de emitir resultados de auditoria no objetivos aprovechando la posición como auditor para beneficiar o afectar al auditado o a terceros favoreciendo intereses particulares. </t>
  </si>
  <si>
    <t>Solicitudes de terceros o partes interesadas</t>
  </si>
  <si>
    <t xml:space="preserve">1.Incumplimiento del principio de confidencialidad en el ejercicio de la actividad de auditoria. 
2.Pérdida de imagen institucional
3.Pérdida de confianza y credibilidad en el proceso.
4. Investigaciones Disciplinarias
Sanciones legales </t>
  </si>
  <si>
    <t>El Jefe o el auditor de la OCI  cada vez que se desarrolla una auditoria y antes de ser remitido a las partes interesadas, a fin de evitar imprecisiones en el contenido del mismo revisa el informe preliminar y sus papeles de trabajo. En caso de observar inconsistencias solicita las justificaciones o correcciones al auditor para realizar los respectivos ajustes al informe. 
Evidencia: Informe con sus respectivas modificaciones; Solicitudes de modificación a los informes; Comunicaciones de las modificaciones;
Informe final remitido a las partes interesadas</t>
  </si>
  <si>
    <t>Realizar reunión para dar lineamientos y directrices para abordar las auditorías bajo enfoque en riesgos y determinando la mejora institucional</t>
  </si>
  <si>
    <t>Mensualmente</t>
  </si>
  <si>
    <t>Jefe Oficina de Control Interno y equipo de trabajo</t>
  </si>
  <si>
    <t>Acta de reunión grupo primario y seguimiento de la planeación mensual</t>
  </si>
  <si>
    <t>En el primer cuatrimestre 2024,  se actualiza la descripción del riesgo.  Se implementaron a cabalidad los controles definidos y el plan de tratamiento para aportar a la ejecución de los controles. Se ejecutó el plan anual de auditorias 2024 teniendo en cuenta los linemiamientos para cada auditoria y las recomendaciones del jefe de la OCI. Los informes de auditoria se enviaron a cada líder del proceso auditado, de acuerdo con el procedimiento establecido y publicado en la página web de la entidad. Las evidencias se encuentran en el One Drive y publicadas en la pág web de la entidad. Se envían los soportes que evidencian la ejecución de la actividad del plan de tratamiento, adelantando las reuniones de grupo primario de la OCI donde se trabajó con todo el equipo los temas relacionados con la gestión del área y el seguimiento y control de la implementación del Plan Anual de Auditoria Interna 2024. Con respecto al último control, no se han detectado presión para la elaboración de los informes y, por tanto no se cuenta con denuncias al respecto.  
https://minjusticiagovco-my.sharepoint.com/:f:/r/personal/mauricio_ordonez_minjusticia_gov_co/Documents/Evidencias%20riesgos/OCI/2024/Primer%20cuatrimestre/Riesgos%20de%20corrupci%C3%B3n?csf=1&amp;web=1&amp;e=aDZaxy</t>
  </si>
  <si>
    <t>Presión de superiores para la modificación</t>
  </si>
  <si>
    <t>El Jefe o cualquier miembro de la OCI  cada vez que al revisar un informe se vea presionado por una parte interesada o un superior para la modificación del mismo, a fin de evitar presentar un informe que no sea fiel a la realidad, que omita información o que  vaya en contravía de la ley, realizará la denuncia respectiva siguiendo el conducto regular estipulado para ello. 
Evidencia: Denuncia, Informe con las modificaciones</t>
  </si>
  <si>
    <t>Falencias en la revisión de informes</t>
  </si>
  <si>
    <t>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t>
  </si>
  <si>
    <t xml:space="preserve">Afectación económica y deterioro de la imagen institucional del Ministerio de Justicia y del Derecho al otorgar las licencias de cannabis mediante la manipulación, dilatación o entorpecimiento del proceso de licenciamiento por parte de los profesionales que evalúan las solicitudes de licencias y/o cupos a fin de obtener un beneficio propio o beneficiar  un tercero </t>
  </si>
  <si>
    <t>Prebendas a los ingenieros agrónomos o al personal jurídico en el marco de las visitas técnicas</t>
  </si>
  <si>
    <t>Otorgamiento de licencias sin cumplir con los requisitos
Investigaciones Disciplinarias
Sanciones 
Afectación de la imagen institucional</t>
  </si>
  <si>
    <t>El programador al momento de asignar los procesos a los diferentes evaluadores deberá verificar las visitas asignadas a cada ingeniero agrónomo, de modo que quien realice la visita sea un profesional diferente a quien revise la solicitud</t>
  </si>
  <si>
    <t>Permanente</t>
  </si>
  <si>
    <t>Subdirección de Control y Fiscalización de Sustancias Químicas y Estupefacientes</t>
  </si>
  <si>
    <t>Asignación de visitas - OneDrive
Traza en el MICC</t>
  </si>
  <si>
    <t>Durante el primer cuatrimestre, el riesgo no se ha materializado y el control ha sido efectivo. 
Control:
Para este período se desarrollaron 26 visitas previas,  la información de las actas de visita se carga en el repositorio de la Subdirección, dichas actas son verificadas por una persona del área técnica quien recepciona el acta, por la líder del grupo cuando se requiera y por el técnico que realiza el trámite. 
Acción del Plan de Tratamiento: 
La selección de las visitas a realizar son las que reporta el MICC y que hayan pasado por visto bueno por el área de licenciamiento, una vez se da el aval, la persona encargada de asignar las visitas, identifica la disponibilidad de los profesionales, en la trazabilidad de MICC en usuarios de consulta es posible verificar qué ingeniero revisó el expediente, y se asigna la visita a otro profesional, adicionalmente, se busca que se haga uso eficiente de los recursos en la programación.</t>
  </si>
  <si>
    <t>Manipulación indebida de la información,</t>
  </si>
  <si>
    <t>Manipulación indebida de la información</t>
  </si>
  <si>
    <t xml:space="preserve">Durante el primer cuatrimestre de la vigencia 2024, debido a la ejecución de los controles identifcados se reporta que no se ha materializado el riesgo.
Control: El líder jurídico del Grupo de Cannabis envió mediante correo electrónico (16) solicitudes de activación de usuarios a la plataforma MICC. De las cuales 15 solicitudes fueron de profesionales que durante la vigencia 2023 habían estado vinculados en la SCFSQE, por cuanto solo se realizó solamente la reactivación. Se recibió una (1) solicitud de activación de un contratista nuevo en la SCFSQE, quien adicionalmente diligenció el acuerdo de confidencialidad frente al manejo de la información.
Acción del Plan de Tratamiento: Durante el primer cuatrimestre, se realiza la validación de los usuarios activos e inactivos en el sistema de información MICC. Lo anterior, con el objetivo de verificar que solamente esten activos los profesiones (contratistas y/o de planta) que estén laborando para la SCFSQE durante el primer período del año. De esta validación se identificó un movimiento inusual de un contratista que no se encontraba </t>
  </si>
  <si>
    <t>Prebenda al personal del grupo de control cannabis, área financiera  y personal que intervenga en el proceso de otorgamiento de las licencias  y que pueda ocasionar falsedad en documentos</t>
  </si>
  <si>
    <t>Durante el primer cuatrimestre del 2024, el riesgo no se materializó y control fue efectivo, dado que se realizaron las siguientes acciones: 
Control: se lleva a cabo la revisión por parte de los abogados pares para la detección de posibles inconsistencias, en donde se realizaron las respectivas devoluciones para corrección por parte del abogado que proyectó. 
Acción del plan de tratamiento: se realiza por parte del Líder Juridico la verificación a cada unos de los trámites evidenciandose esta actividad en el aplicativo MICC, adicionalmente mediante el seguimiento realizado a traves de excel se evidencia el estado del trámite y los conceptos dados por el técnico y jurídico. 
Con lo anterior se logró vigilar que las solicitudes cargadas al MICC, fueran tramitadas conforme los parámetros normativos y que los actos administrativos fueran expedidos conforme a la normatividad vigente.</t>
  </si>
  <si>
    <t xml:space="preserve">Afectación económica y perdida reputacional al Ministerio de Justicia y del Derecho al otorgar el Certificado de Carencia de Informes por Tráfico de Estupefacientesin el cumplimiento de los requisitos mediante la manipulación del trámite de expedición por parte de los profesionales que evalúan las solicitudes a fin de obtener un beneficio propio </t>
  </si>
  <si>
    <t>Expedir el certificado de carencia a una persona con informes por tráfico de estupefacientes
Permitir el desvío de sustancias químicas controladas para la producción ilícita de drogas
libre circulación de la cadena de producción de estupefacientes con sujeción a un certificado de carencia de informes por tráfico de estupefacientes indebidamente expedido</t>
  </si>
  <si>
    <t xml:space="preserve">Durante el primer cuatrimestre de la vigencia 2024, el riesgo no se ha materializado, lo anterior teniendo en cuenta que se han ejecutado los controles dispuestos para mitigar el riesgo. 
Control: Durante el inicio de la vigencia 2024, se realizó la activación de los usuarios en SICOQ para los profesionales que se reincorporaron al grupo de Sustancias Químicas de la Subdirección conforme a la solicitud realizada por los mismos una vez celebrado cada contrato, lo anterior, teniendo en cuenta que al finalizar la vigencia del 2023, se realizó la desactivación de todos los usuarios de la plataforma SICOQ. 
Acción del plan de tratamiento: para mitigar el riesgo, durante el primer cuatrimestre, se realiza la validación de los usuarios activos e inactivos en el sistema de información SICOQ. Lo anterior, con el objetivo de verificar que solamente esten activos los profesiones (contratistas y/o de planta) que estén laborando para la SCFSQE durante el primer período del año. </t>
  </si>
  <si>
    <t xml:space="preserve">Prebendas a los ingenieros químicos, personal juridico y personal técnico. </t>
  </si>
  <si>
    <t xml:space="preserve">Prebendas a los ingenieros químicos,  personal juridico y/o técnico. </t>
  </si>
  <si>
    <t xml:space="preserve">Solicitudes externas e internas por los canales autorizados - SGDEA - correo de certificadosdecarencia@minjusticia.gov.co - línea de atención al cliente. 
</t>
  </si>
  <si>
    <t xml:space="preserve">Durante la vigencia del I Cuatrimestre de 2024, el riesgo no se ha materializado y el control ha sido efectivo. Se realizaron las siguientes actividades, con la finalidad de mitigar el riesgo.
Control: Los profesionales de la Subdirección de Control y Fiscalización de Sustancias Químicas y Estupefacientes- Grupo Control de Sustancias Químicas,  realizaron la validación juridica y tecnica de la solicitud, conforme al marco normativo vigente, se realizaron requerimientos por medio de SICOQ, a los solicitantes que no cumplieron con los requerimientos iniciales de la solicitud.
Luego de realizar el estudio integral de los tramites asignados para la expedición de Certificado de Carencia de Informes por Trafico de Estupefacientes - CCITE; al evidenciar que exiten errores dentro de la revisión inicial del trámite, se procede a devolver el mismo para que sea asignado al abogado encargado para que subsane mediante mesa de trabajo lo que haga falta y poder dar impulso a la solicitud, esto en virtud de actividades de mejoramiento de los procedimientos administrativos. 
Acción del plan de tratamiento: con el objetivo de mitigar la materialización del riesgo, se establece un único canal de atención institucional a fin de evitar posibles prebendas a los ingenieros químicos, personal juridico y técnico. </t>
  </si>
  <si>
    <t>Desconocimiento del procedimiento y/o de la normatividad asociada.</t>
  </si>
  <si>
    <t>Por demanda</t>
  </si>
  <si>
    <t>Director(a) de MASC con el apoyo del coordinador(a) del grupo CEDAAC</t>
  </si>
  <si>
    <t>El riesgo no se ha materializado, el control ha sido efectivo
El 13 de marzo de 2024 se realizó capacitación para fortalecer los conocimientos de los integrantes del grupo de conciliación extrajudicial en derecho, arbitraje y amigable composición (CEDAAC), con el fin de garantizar la correcta aplicación del procedimiento vigente de visitas de inspección, control y vigilancia y de esta forma evitar la materialización de riesgos asociados al ejercicio de las funciones de inspección, control y vigilancia. Como resultado de la capacitación se compartió el acta, la presentación y un instructivo para fortalecer la aplicación de los instrumentos en las visitas de inspección.
Adicionalmente, el 20 de marzo de 2024 se realizó capacitación a los integrantes del grupo CEDAAC sobre las generalidades del aplicativo SICAAC y las funcionalidades relacionadas con las funciones de inspección, control y vigilancia, con el fin de reforzar la consulta y uso del sistema de información en el ejercicio de estas funciones. Se compartió el acta de la capacitación.
Evidencias suministradas: Soporte de las  capacitaciones realizadas e instructivo para diligenciar los instrumentos de visitas de inspección, control y vigilancia
Link de evidencias: https://minjusticiagovco-my.sharepoint.com/:f:/g/personal/mauricio_ordonez_minjusticia_gov_co/EkjfqgcdlqpBjESJ97DOuw0BK5E6svTFp60USWuCFaUQGw?e=GN7BZH</t>
  </si>
  <si>
    <t>Incorrecta interpretación de la normativa establecida</t>
  </si>
  <si>
    <t>El riesgo no se ha materializado, el control ha sido efectivo
En el mes de abril de 2024, se implementó una estrategia consistente en la realización de reuniones independientes con el grupo de conciliación extrajudicial en derecho, arbitraje y amigable composición (CEDAAC) con el fin de identificar situaciones de mejora en el instrumento de verificación que se aplica en las visitas de inspección, control y vigilancia que se llevan a cabo sobre los centros de conciliación, arbitraje y amigable composición, de la siguiente forma: 
Durante los días 9, 16 y 17 de abril de 2024 se realizaron diez (10) sesiones de trabajo con cada uno de los integrantes del grupo CEDAAC que realizan visitas de inspección a los centros de conciliación, arbitraje y amigable composición, donde se recopilaron las principales debilidades y sugerencias de mejora que se han evidenciado sobre el formato de verificación de obligaciones legales y reglamentarias de requisitos generales de prestación del servicio,  en cada una de las categorías, preguntas y puntajes establecidos. Asimismo, se recibieron propuestas de incorporación de nuevas elementos en el instumento.
Con estos insumos, se fortalecerá el formato de verificación y  los lineamientos del Programa Nacional de Conciliación Extrajudicial en Derecho, Arbitraje y Amigable considerando la experiencia que cada profesional ha tenido en el ejercicio de las funciones de inspección, control y vigilancia y acorde con la normativa vigente.
Evidencias: Acta de las reuniones, soporte de envío del instrumento de verificación  con las observaciones generadas por cada profesional del grupo CEDAAC
Link de evidencias: https://minjusticiagovco-my.sharepoint.com/:f:/g/personal/mauricio_ordonez_minjusticia_gov_co/EpytUB3aJbZBuUt3EojZ290B7qUH35IX_DVR_dEs92xzQA?e=sWRukd</t>
  </si>
  <si>
    <t>Deficiencias en el proceso de revisión de la decisión de la sanción,</t>
  </si>
  <si>
    <t xml:space="preserve">El riesgo no se ha materializado y el control ha sido efectivo
En el próximo reporte de la matriz de riesgos, se consolidarán los actos administrativos revisados y aprobados por la DMASC derivados de quejas y procesos administrativos de carácter sancionatorio, en ejercicio de las funciones de inspección, control y vigilancia que se ejerce sobre los centros de conciliación, arbitraje y amigable composición.
</t>
  </si>
  <si>
    <t>Pérdida de recursos por el uso de los vehículos asignados al Ministerio en actividades no permitidas por la normativa vigente por una actuación irregular del servidor público para beneficiar a un tercero o a sí mismos</t>
  </si>
  <si>
    <t>Inexistencia o fallas del control sobre los recorridos del vehículo</t>
  </si>
  <si>
    <t>No se ha materializado el riesgo, los controles en referencia a combustible se ajusto a la operación del parque automotor, a partir de que la revisión de las planillas de recorridos, la información del chequeo pre-operacional y la copia del suministro de combustible coinciden en las necesidades y autorizaciones de movimientos de la entidad.
En referencia a los mantenimientos se continua con en el registro de las matrices en el cual se evidencia el estado de cada servicio y ha permitido contar con la trazabilidad y evidenciar que no se duplican intervenciones, que cumplen de acuerdo a los trayectos autorizados y que a su vez se encuentren en los rangos acordados de facturación y ejecución.
Por otra parte se precisa que la presente matriz fue actualizada en los siguientes campos: 1.Descripción del control  2. Causa que ataca 3. Acciones 4. Fecha inicial  5. Fecha final 6. Registro o evidencia. Estas actualizaciones hacen referencia a mejorar los controles y a mejorar la descripción de las acciones, los ajustes se encuentran en atención a las recomendaciones de la OCI.</t>
  </si>
  <si>
    <t>Cuando aplique</t>
  </si>
  <si>
    <t>Profesionales del  GGC</t>
  </si>
  <si>
    <t xml:space="preserve"> Correos electrónicos remitidos a la dependencias con las observaciones y el apoyo solicitado.</t>
  </si>
  <si>
    <t>No se han materializado los riesgos. 
1. Se realiza por parte el GGC apoyo a las dependencias en la construcción de las fichas técnicas y analisis del sector de los procesos de contratación del MJD. Evidencias correos de los procesos en que se ha prestado apoyo y base de seguimiento a revisión de procesos.
2. Se realiza en debida forma las justificaciones de la causal de contratacion directa en aplicacion de la normatividad vigente. Evidencia Link de los procesos en el Secop II.
3. Se públicó el 26/01/2024 en el SIG la GUÍA G-GC-02 PARA EL USO MODULO PLAN DE PAGOS PLATAFORMA SECOP II. Evidencia  GUIA y correo socialización
3. Se realizaron recomendaciones generales a los supervisores, sobre la adecuada labor de la supervisión. Se adjunta correo del 11 de abril de 2024 Recomendaciones para la adecuada supervisión de contratos y convenios,  MJD-MEM24-0002152  Linemaientos liberacón de recursos, MJD-MEM24-0001882 Lineamientos cierre de contratos de prestación de servicios profesionales y/o de apoyo a la gestión en SECOP II.</t>
  </si>
  <si>
    <t>Funcionario o contratista del GGC</t>
  </si>
  <si>
    <t xml:space="preserve"> Link de los procesos en el Secop II  como evidencia de los estudios Previos Justificados</t>
  </si>
  <si>
    <t>trimestral</t>
  </si>
  <si>
    <t>Coordinador GGC</t>
  </si>
  <si>
    <t xml:space="preserve"> Correo electrónico</t>
  </si>
  <si>
    <t>_Investigaciones disciplinarias, fiscales 
- Pérdida de Credibilidad</t>
  </si>
  <si>
    <t>La OCI encuentra que el proceso demuestra que ha atendido con las recomendaciones presentadas en informes anteriores en relación con la estructura de la definición del riesgo. Se revisan los controles y la acción definida en el plan de tratamiento del riesgo, validando con respecto a las evidencias entregadas por parte del líder del proceso la ejecución y efectividad de sus controles, los cuales son detectivos determinando muestras aleatorias con respecto a los controles establecidos. Considerando este ejercicio un ejemplo para los demás procesos para que lleven a cabo la verificación del control.</t>
  </si>
  <si>
    <t>Revisión posterior por parte del coordinador del grupo a los documentos asociados  a los requisitos de las iniciativas</t>
  </si>
  <si>
    <t xml:space="preserve">Coordinador del Grupo </t>
  </si>
  <si>
    <t>Iniciativa revisada</t>
  </si>
  <si>
    <t>Posibles demandas o acciones judiciales</t>
  </si>
  <si>
    <t>El coordinador del Grupo de Fortalecimiento a la Justicia étnica después de la reunión con el equipo de validación de requisitos mínimos y antes de la publicación de la matriz de las propuestas, a fin de complementar el trabajo desarrollado por el equipo, realizará la revisión y validación aleatoria del 6% de las iniciativas adicionales a las ya revisadas, contrastando los requisitos vs la información diligenciada. Si en el momento de la revisión, se encuentra alguna inconsistencia en el diligenciamiento de la matriz se procede a realizar el ajuste y la decisión de mantener o no la iniciativa en el proceso. Evidencia: Campo diligenciado de la revisión por parte de la coordinación de aquellas iniciativas seleccionadas con la respectiva decisión</t>
  </si>
  <si>
    <t>El Grupo de Fortalecimiento a la Justicia étnica cada vez que se reciba una solicitud de aclaración, información, queja, reclamo o sugerencia de la matriz de iniciativas publicada, a fin de determinar la validez o no de la solicitud y dar respuesta a la misma, realizará la revisión de la solicitud contrastando los requisitos vs la información diligenciada. Si en el momento de la revisión, se encuentra alguna inconsistencia en el diligenciamiento de la matriz se procede a realizar el ajuste y la decisión de mantener o no la iniciativa en el proceso, allegando copia de la misma al solicitante. Evidencia: Solicitud recibida
Respuesta a la solicitud</t>
  </si>
  <si>
    <t>Falta de control en la instancia de verificación de perfiles y requisitos</t>
  </si>
  <si>
    <t>Pérdida de credibilidad institucional.
Investigaciones disciplinarias, penales y fiscales.</t>
  </si>
  <si>
    <t>Modificación de los requisitos para favorecer a un tercero</t>
  </si>
  <si>
    <t>Cada vez que ingresa un funcionario</t>
  </si>
  <si>
    <t>Coordinadora del Grupo de Gestión Humana</t>
  </si>
  <si>
    <t>Favorecimiento o preferencias en la asignación de PAC</t>
  </si>
  <si>
    <t>Investigaciones disciplinarias, ficales, penales, 
Detrimento patrimonial
Mala imagen institucional</t>
  </si>
  <si>
    <t>No reflejar la realidad económica en los estados financieros de la entidad, subestimando los registros contables al  manipular los valores reales de los hechos económicos  para beneficio de los funcionarios que intervienen en el proceso o licenciatarios  al momento de registrar las cuentas por cobrar de licencias de cannabis otorgadas en la modalidad de cuotas.</t>
  </si>
  <si>
    <t xml:space="preserve">Suministrar  o registrar información errada </t>
  </si>
  <si>
    <t>SI</t>
  </si>
  <si>
    <t>NO</t>
  </si>
  <si>
    <t xml:space="preserve">El encargado del grupo financiero asignado por la Subdirección, mensualmente envia al GGFC el informe de cuentas por cobrar de los licenciatarios a los cuales se les ha otorgado licencias de cannabis por la modalidad de cuotas con el objetivo de validar que se registre la totalidad de los hechos económicos, en el evento de que se generen diferencias en la conciliación se registrará la situación en campo de observaciones y se hará seguimiento en la siguiente conciliación para solucionar la observación presentada. El GGFC, envia a la SCFSQyE la conciliación de cuentas por cobrar donde se verifica que todo lo reportado se encuentra registrado en SIIF Nación. 
Como evidencia queda:  
Informes y conciliaciones  mensuales de cuentas por cobrar. </t>
  </si>
  <si>
    <t xml:space="preserve">Suministrar o registrar información errada </t>
  </si>
  <si>
    <t xml:space="preserve">El líder del grupo financiero de la Subdirección, elabora trimestralmente un informe de seguimiento con la gestión adelantada respecto a los movimientos de cartera relacionados con las licencias de cannabis. </t>
  </si>
  <si>
    <t>La no liquidación de los intereses moratorios con la tasa correcta</t>
  </si>
  <si>
    <t xml:space="preserve">En los casos en que aplique y como resultado del análisis realizado por el grupo financiero de la SCFSQyE, se comunicará al grupo de Sistemas sobre las inconsistencias identificadas y que estén relacionadas con el módulo de novedades de la plataforma MICC para que se realicen las correcciones necesarias. </t>
  </si>
  <si>
    <t>En proceso</t>
  </si>
  <si>
    <t xml:space="preserve">Correos o trazabilidad en el MICC. </t>
  </si>
  <si>
    <t xml:space="preserve">No adelantar las actuaciones administrativas necesarias para recuperar las cuentas por cobrar identificadas de las licencias de cannabis. </t>
  </si>
  <si>
    <t xml:space="preserve">El grupo financiero de la Subdirección, debe verificar la información registrada en el MICC, cuando se evidencie que los licenciatarios no han cumplido con lo pactado respecto a los pagos determinados en el acto administrativo, se proyecta un oficio mediante SGDEA requiriendo el pago de las cuotas o  allegando los comprobantes de pago realizados. En caso de presentar inconsistencias relacionados con la información que reposa dentro del oficio, se devuelve al funcionarios que lo proyectó para su modificación y ajuste. Como evidencia se cuenta con la trazabilidad en el SGDEA. Teniendo en cuenta lo estipulado en la normatividad vigente, los pagos correspondientes a las cuotas deben realizarse en Enero de cada anualidad, por lo anterior, los oficios de requerimiento se emitirán como mínimo (2) veces en el año. 
</t>
  </si>
  <si>
    <t>No adelantar las actuaciones administrativas necesarias para recuperar las cuentas por cobrar identificadas de las licencias de cannabis.</t>
  </si>
  <si>
    <t>Conforme a lo establecido en el procedimiento P-CR-18 "Seguimiento pagos y cuentas por cobrar - Licencias de Cannabis", el grupo financiero conformará el expediente para dar traslado al equipo jurídico del grupo cannabis para liquidación de deuda e iniciar del proceso sancionatorio. (Para los casos en que no se logre el recaudo por medio de las comunicaciones preventivas)</t>
  </si>
  <si>
    <t>Correo electrónico de traslado emitido por el Grupo Financiero al grupo jurídico de la Subdirección con el expediente digital conformado para iniciar la liquidación de deuda.</t>
  </si>
  <si>
    <t>pobreza en colombia</t>
  </si>
  <si>
    <t>hora pico</t>
  </si>
  <si>
    <t>afan</t>
  </si>
  <si>
    <t>Lleves joyas</t>
  </si>
  <si>
    <t>hable por el celular</t>
  </si>
  <si>
    <t>atraco en trasmilenio</t>
  </si>
  <si>
    <t>perdida $$</t>
  </si>
  <si>
    <t>susto</t>
  </si>
  <si>
    <t>perdida de contactos</t>
  </si>
  <si>
    <t>hacer daño fisio, psiclógico</t>
  </si>
  <si>
    <t>incomunidada</t>
  </si>
  <si>
    <t>perder la vida</t>
  </si>
  <si>
    <t>Herramienta de Riesgos de Seguridad Digital</t>
  </si>
  <si>
    <t>ACTIVO</t>
  </si>
  <si>
    <t>PRINCIPIO DE SEGURIDAD DEL ACTIVO</t>
  </si>
  <si>
    <t>PRINCIPIO DE SEGURIDAD PARA EL RIESGO</t>
  </si>
  <si>
    <t>RIESGO</t>
  </si>
  <si>
    <t>AMENAZA</t>
  </si>
  <si>
    <t>PRINCIPIO DE SEGURIDAD DE LA VULNERABILIDAD</t>
  </si>
  <si>
    <t>VULNERABILIDAD / CAUSA</t>
  </si>
  <si>
    <t>CLASIFICACIÓN DE LA VULNERABILIDAD</t>
  </si>
  <si>
    <t>DOMINIO DEL CONTROL</t>
  </si>
  <si>
    <t>Vulnerabilidad a reducir</t>
  </si>
  <si>
    <t>¿Cuál es la naturaleza del control?</t>
  </si>
  <si>
    <t xml:space="preserve"> ¿Qué nivel de oficialidad tiene el control?</t>
  </si>
  <si>
    <t>¿El control es medible?</t>
  </si>
  <si>
    <t>¿Al momento de realizar las pruebas de recorrido el control ha demostrado ser?</t>
  </si>
  <si>
    <t>Total Ejecución de Control</t>
  </si>
  <si>
    <t>Meta</t>
  </si>
  <si>
    <t>Inicio</t>
  </si>
  <si>
    <t>Duración</t>
  </si>
  <si>
    <t>Acción si se materializa</t>
  </si>
  <si>
    <t>INCOMPLETA</t>
  </si>
  <si>
    <t>Principios de Seguridad</t>
  </si>
  <si>
    <t>AMENAZAS</t>
  </si>
  <si>
    <t>Confidencialidad</t>
  </si>
  <si>
    <t>Confidencialidad y disponibilidad</t>
  </si>
  <si>
    <t>Confidencialidad e integridad</t>
  </si>
  <si>
    <t>Confidencialidad, Integridad y Disponibilidad</t>
  </si>
  <si>
    <t>Disponibilidad</t>
  </si>
  <si>
    <t>Integridad y Disponibilidad</t>
  </si>
  <si>
    <t>Integridad</t>
  </si>
  <si>
    <t>Divulgación no autorizada</t>
  </si>
  <si>
    <t>Ataque malicioso (explosivos, químicos, vandalismo, hurto, radiación electromagnética, entre otros).</t>
  </si>
  <si>
    <t>Uso no autorizado de recursos (equipos de comunicación, medios de almacenamiento, sistemas de información, computadores)</t>
  </si>
  <si>
    <t xml:space="preserve">Acceso no autorizado (a oficinas, edificio, sala, centro de cómputo, sistema de información, documentación, información, entre otros). </t>
  </si>
  <si>
    <t>Cierre de operación de un proveedor o contratista crítico para la Entidad</t>
  </si>
  <si>
    <t>Ataques contra  el sistema (negación del servicio, manipulación de software, manipulación  de equipo informático entre otros)</t>
  </si>
  <si>
    <t>Daño físico (Daño por agua, polvo o corrosión)</t>
  </si>
  <si>
    <t>Falla o corrupción del software.</t>
  </si>
  <si>
    <t>Abuso de derechos (de usuario, administrador)</t>
  </si>
  <si>
    <t>Código malicioso (troyanos, gusanos, bomba lógica, entre otros)</t>
  </si>
  <si>
    <t xml:space="preserve">Contaminación, Pandemias, virus </t>
  </si>
  <si>
    <t>Destrucción de equipos o medios</t>
  </si>
  <si>
    <t>Falla técnica (Mal funcionamiento del equipo, Mal funcionamiento del software )</t>
  </si>
  <si>
    <t>Confidencialidad_integridad</t>
  </si>
  <si>
    <t>Hurto o robo (información, documentos, medios o equipos)</t>
  </si>
  <si>
    <t>Actos fraudulentos (suplantación, fraude,  venta de información, soborno, extorsión, falsificación de derechos, entre otros)</t>
  </si>
  <si>
    <t>Funcionarios (Acciones involuntarias y/o deliberadas)</t>
  </si>
  <si>
    <t>Daño físico (fuego, agua, humedad, contaminación química, construcción, entre otros)</t>
  </si>
  <si>
    <t>Deterioro del sistema o medio de almacenaje</t>
  </si>
  <si>
    <t>Acciones no autorizadas (Uso no autorizado del equipo, Corrupción de los datos, Abuso de derechos, Falsificación de derechos)</t>
  </si>
  <si>
    <t>Confidencialidad_disponibilidad</t>
  </si>
  <si>
    <t>Incumplimiento  de leyes o regulaciones (propiedad intelectual, entre otros)</t>
  </si>
  <si>
    <t>Espionaje (interceptación, ingeniería social)</t>
  </si>
  <si>
    <t>Déficit de personal</t>
  </si>
  <si>
    <t>Error en el uso (de equipos, medios, información, sistemas o servicios de información)</t>
  </si>
  <si>
    <t>Error en el uso</t>
  </si>
  <si>
    <t>Integridad_Disponibilidad</t>
  </si>
  <si>
    <t>Piratería</t>
  </si>
  <si>
    <t>Incumplimiento de políticas o procedimientos internos.</t>
  </si>
  <si>
    <t>Desastre natural (temblor, terremoto,  inundación, incendio, rayos, contaminación química entre otros)</t>
  </si>
  <si>
    <t>Errores de transmisión o almacenamiento</t>
  </si>
  <si>
    <t>Confidencialidad_Integridad_Disponibilidad</t>
  </si>
  <si>
    <t>Recuperación de medios reciclados o desechados</t>
  </si>
  <si>
    <t>Intrusión o acceso forzado (instalaciones, sistemas de información, información)</t>
  </si>
  <si>
    <t>Falla de la red interna</t>
  </si>
  <si>
    <t>Falla / degradación o mal funcionamiento del software o hardware</t>
  </si>
  <si>
    <t>Uso de software no licenciado o no autorizado</t>
  </si>
  <si>
    <t>Intruso externo (Ejemplo: Exempleados, delincuente informático,  competidores)</t>
  </si>
  <si>
    <t>Falla de suministro de servicios esenciales (agua, gas, aire acondicionado)</t>
  </si>
  <si>
    <t>Proveedor o contratista</t>
  </si>
  <si>
    <t>Falla en el suministro de energía  (pérdida suministro de energia,planta eléctrica, UPS, banco de baterías)</t>
  </si>
  <si>
    <t>Falla para respaldar la información.</t>
  </si>
  <si>
    <t>RIESGOS</t>
  </si>
  <si>
    <t>Falla sistema de comunicaciones (Internet, canales, Radio, entre otros).</t>
  </si>
  <si>
    <t>CONFIDENCIALIDAD_</t>
  </si>
  <si>
    <t>INTEGRIDAD_</t>
  </si>
  <si>
    <t>DISPONIBILIDAD_</t>
  </si>
  <si>
    <t>CONFIDENCIALIDAD_INTEGRIDAD_</t>
  </si>
  <si>
    <t>CONFIDENCIALIDAD_DISPONIBILIDAD_</t>
  </si>
  <si>
    <t>INTEGRIDAD_DISPONIBILIDAD_</t>
  </si>
  <si>
    <t>CONFIDENCIALIDAD_INTEGRIDAD_DISPONIBILIDAD_</t>
  </si>
  <si>
    <t>Fuego, agua, humedad, variaciones de temperatura/voltaje, radioactividad, polvo, gases, oxidación, campos electromagnéticos, entre otros.</t>
  </si>
  <si>
    <t>Fuga, revelación o divulgación de información sensible y/o confidencial</t>
  </si>
  <si>
    <t>Alteración, daño total o parcial de la información procesada y/o almacenada en… Información inexacta e incompleta.</t>
  </si>
  <si>
    <t>Interrupción total o parcial de los procesos del negocio por falla/daño/degradación de los equipos informáticos, equipos de comunicaciones (dispositivos de red, planta telefónica, servidores, UPS, entre otros), debido a cualquier evento o incidente</t>
  </si>
  <si>
    <t>Pérdida, alteración, acceso no autorizado, divulgación no autorizada y/o fuga de información  confidencial/sensible procesada y/o almacenada en…</t>
  </si>
  <si>
    <t>Destrucción, pérdida, extravío, robo, daño o alteración de información en medio físico o lógico.</t>
  </si>
  <si>
    <t>Pérdida de información debido a errores en la ejecución del procedimiento de backup, fallas en el software de backup.</t>
  </si>
  <si>
    <t>Incumplimiento contractual y/o sanciones.</t>
  </si>
  <si>
    <t xml:space="preserve">Incumplimiento en el mantenimiento </t>
  </si>
  <si>
    <t>Divulgación no autorizada o fuga de información por la pérdida/robo de equipos de cómputo o medios removibles en los que se almacena información confidencial/sensible en texto claro.</t>
  </si>
  <si>
    <t>Problemas, fallas o no disponibilidad de los servicios esenciales (internet, teléfonos, aire acondicionado, energía, agua, etc.)</t>
  </si>
  <si>
    <t>Actos vandálicos y/o terrorismo</t>
  </si>
  <si>
    <t>Incumplimiento en el servicio de mantenimiento</t>
  </si>
  <si>
    <t>Pérdida, robo, daño, alteración, divulgación no autorizada y/o fuga de información como consecuencia del acceso físico a las oficinas.</t>
  </si>
  <si>
    <t>Degradación del rendimiento de las aplicaciones o la red,  Retraso o interrupción de los sistemas de información y/o la información</t>
  </si>
  <si>
    <t>Hurto, fraude  o sabotaje de equipos, medios, información o documentos.</t>
  </si>
  <si>
    <t>Incumplimiento en los SLA´s</t>
  </si>
  <si>
    <t>Acción Industrial / Espionaje (infiltración canales de comunicación, servicios de información, servicios informáticos)</t>
  </si>
  <si>
    <t>Pérdida de información (contenida en documentación física o digital)</t>
  </si>
  <si>
    <t>VULNERABILIDADES</t>
  </si>
  <si>
    <t>Saturación del sistema de información</t>
  </si>
  <si>
    <t>CONFIDENCIALIDAD.</t>
  </si>
  <si>
    <t>INTEGRIDAD.</t>
  </si>
  <si>
    <t>DISPONIBILIDAD.</t>
  </si>
  <si>
    <t>CONFIDENCIALIDAD_INTEGRIDAD.</t>
  </si>
  <si>
    <t>CONFIDENCIALIDAD_DISPONIBILIDAD.</t>
  </si>
  <si>
    <t>INTEGRIDAD_DISPONIBILIDAD.</t>
  </si>
  <si>
    <t>CONFIDENCIALIDAD_INTEGRIDAD_DISPONIBILIDAD.</t>
  </si>
  <si>
    <t>Ausencia de procedimiento formal para la autorización de la información disponible al público.</t>
  </si>
  <si>
    <t>Ausencia o insuficiencia de actualizaciones.</t>
  </si>
  <si>
    <t>Ausencia de esquemas de respaldo.</t>
  </si>
  <si>
    <t>Acceso no controlado a información sensible / confidencial.</t>
  </si>
  <si>
    <t>Hurto, fraude o sabotaje de equipos, medios, información o documentos.</t>
  </si>
  <si>
    <t>Ausencia de procedimiento de control de cambios.</t>
  </si>
  <si>
    <t>Almacenamiento de equipos sin protección.</t>
  </si>
  <si>
    <t>Ausencia o insuficiencia de cláusulas contractuales y/o acuerdos de confidencialidad.</t>
  </si>
  <si>
    <t>Documentación insuficiente o desactualizada.</t>
  </si>
  <si>
    <t>Ausencia de planes de continuidad.</t>
  </si>
  <si>
    <t>Acceso o uso no controlado del sistema de información (software, aplicativo).</t>
  </si>
  <si>
    <t>Ausencia o insuficiencia de control de cambios en la configuración.</t>
  </si>
  <si>
    <t>Almacenamiento de información sin protección</t>
  </si>
  <si>
    <t>Ausencia o insuficiencia de disposiciones (con respecto a la seguridad) en los contratos con los empleados y/o terceras partes.</t>
  </si>
  <si>
    <t>Especificaciones o requerimientos incompletos, inadecuados o no claros.</t>
  </si>
  <si>
    <t>Ausencia de responsables sobre la gestión en seguridad de la información y/o continuidad de negocio.</t>
  </si>
  <si>
    <t>Acceso o uso no controlado.</t>
  </si>
  <si>
    <t>Ausencia o insuficiencia de procedimientos de monitoreo de los recursos de procesamiento de información.</t>
  </si>
  <si>
    <t>Arquitectura insegura de la red.</t>
  </si>
  <si>
    <t>Relojes no sincronizados.</t>
  </si>
  <si>
    <t>Ausencia o insuficiencia de controles de monitoreo de las instalaciones (por ej. detección o extinción de incendios, líquidos inflamables, CCTV, entre otros).</t>
  </si>
  <si>
    <t>Ausencia de logs o registros de auditoría.</t>
  </si>
  <si>
    <t>Dependencia de personal clave, ausentismo y/o personal insuficiente.</t>
  </si>
  <si>
    <t>Ausencia de "terminación/bloqueo de la sesión" cuando se abandona la estación de trabajo.</t>
  </si>
  <si>
    <t>Ausencia o insuficiencia de procedimientos para el manejo información clasificada.</t>
  </si>
  <si>
    <t>Testeo inadecuado o insuficiente</t>
  </si>
  <si>
    <t>Ausencia o insuficiencia de copias de respaldo.</t>
  </si>
  <si>
    <t>Ausencia de mecanismos de monitoreo a la actividad de los empleados y/o terceros.</t>
  </si>
  <si>
    <t>Incumplimiento de las condiciones técnicas y/o ambientales provistas por el fabricante.</t>
  </si>
  <si>
    <t>Ausencia de control de los activos que se encuentran fuera de la instalaciones.</t>
  </si>
  <si>
    <t>Ausencia o insuficiencia de un procedimiento para el manejo de comunicaciones externas.</t>
  </si>
  <si>
    <t>Ausencia o insuficiencia de mantenimiento.</t>
  </si>
  <si>
    <t>Ausencia de segmentación de la red.</t>
  </si>
  <si>
    <t>Insuficiente entrenamiento, capacitación o sensibilización.</t>
  </si>
  <si>
    <t>Ausencia de controles y verificaciones en los procesos de selección y contratación de personal.</t>
  </si>
  <si>
    <t>Ausencia o insuficiencia de un proceso para clasificar y etiquetar la información.</t>
  </si>
  <si>
    <t>Ausencia o insuficiencia de mecanismos de monitoreo de Red, gestión de la capacidad y disponibilidad.</t>
  </si>
  <si>
    <t>Ausencia o insuficiencia de contratos, acuerdos de nivel de servicio y/o confidencialidad con empleados o terceros.</t>
  </si>
  <si>
    <t>Ausencia de sistemas y/o procedimientos de monitoreo de los recursos de procesamiento de información.</t>
  </si>
  <si>
    <t>Ausencia o insuficiencia en el control de los activos que se encuentran fuera de la instalaciones.</t>
  </si>
  <si>
    <t>Ausencia o insuficiencia de planes de emergencia y simulacros de evacuación.</t>
  </si>
  <si>
    <t>Ausencia o insuficiencia de contratos, acuerdos de niveles de servicio y/o confidencialidad.</t>
  </si>
  <si>
    <t>Ausencia o insuficiencia de controles de acceso a las instalaciones.</t>
  </si>
  <si>
    <t>Canales de comunicación sin encripción.</t>
  </si>
  <si>
    <t>Capacidad inadecuada.</t>
  </si>
  <si>
    <t>Ausencia o insuficiencia de mecanismos de identificación y autenticación.</t>
  </si>
  <si>
    <t>Ausencia o insuficiencia de documentación de uso y/o administración.</t>
  </si>
  <si>
    <t>Desconocimiento, malinterpretación o no cumplimiento de las disposiciones legales, contractuales y/o regulatorias aplicables.</t>
  </si>
  <si>
    <t>Conexión deficiente y/o desorganización del cableado estructurado / eléctrico.</t>
  </si>
  <si>
    <t>Ausencia o insuficiencia de perfiles de acceso o falta de gestión de privilegios de acceso.</t>
  </si>
  <si>
    <t>Ausencia o insuficiencia de políticas, procedimientos y directrices de seguridad.</t>
  </si>
  <si>
    <t>Disposición / Eliminación /reutilización de equipos sin borrado seguro.</t>
  </si>
  <si>
    <t>Falla en los servicios esenciales (internet, teléfonos, aire acondicionado, energía, agua, etc.).</t>
  </si>
  <si>
    <t>Ausencia o insuficiencia en la gestión de usuarios y contraseñas.</t>
  </si>
  <si>
    <t>Ausencia o insuficiencia de procesos disciplinarios definidos en el caso de incidente de seguridad de la información.</t>
  </si>
  <si>
    <t>Disposición/reutilización de medios de almacenamiento sin borrado seguro.</t>
  </si>
  <si>
    <t>Falla, daño o degradación de equipos.</t>
  </si>
  <si>
    <t>Configuración incorrecta de parámetros o configuraciones por defecto.</t>
  </si>
  <si>
    <t>Ausencia o insuficiencia de un proceso de análisis y tratamiento de riesgos.</t>
  </si>
  <si>
    <t>Transferencia y/o almacenamiento de información en texto claro.</t>
  </si>
  <si>
    <t>Proveedor o contratista único en el mercado.</t>
  </si>
  <si>
    <t>Falta de segregación de funciones o incorrecta aplicación de las mismas.</t>
  </si>
  <si>
    <t>Ausencia o insuficiencia de un proceso de gestión de incidentes de seguridad.</t>
  </si>
  <si>
    <t>Ubicación geográfica de las instalaciones en una zona de alto impacto por eventos externos (desastres naturales, orden público, entre otros).</t>
  </si>
  <si>
    <t>Ausencia o insuficiencia en la definición y formalización de roles, funciones y responsabilidades en la seguridad de la información.</t>
  </si>
  <si>
    <t>Dependencia de proveedores.</t>
  </si>
  <si>
    <t>Descarga y/o uso no controlado de software.</t>
  </si>
  <si>
    <t>Fallas conocidas o defectos del software.</t>
  </si>
  <si>
    <t>Falta de protección contra virus y/o código malicioso</t>
  </si>
  <si>
    <t>Personal inconforme o molesto.</t>
  </si>
  <si>
    <t>Puertos o servicios activos no requeridos.</t>
  </si>
  <si>
    <t>Uso de Software ilegal / No autorizado / Software Malicioso.</t>
  </si>
  <si>
    <t>_5._POLÍTICAS_DE_SEGURIDAD.</t>
  </si>
  <si>
    <t>_6._ASPECTOS_ORGANIZATIVOS_DE_LA_SEGURIDAD_DE_LA_INFORMAC.</t>
  </si>
  <si>
    <t>_7._SEGURIDAD_LIGADA_A_LOS_RECURSOS_HUMANOS.</t>
  </si>
  <si>
    <t>_8._GESTIÓN_DE_ACTIVOS.</t>
  </si>
  <si>
    <t>_9._CONTROL_DE_ACCESOS.</t>
  </si>
  <si>
    <t>_10._CIFRADO.</t>
  </si>
  <si>
    <t>_11._SEGURIDAD_FÍSICA_Y_AMBIENTAL.</t>
  </si>
  <si>
    <t>_12._SEGURIDAD_EN_LA_OPERATIVA.</t>
  </si>
  <si>
    <t>_13._SEGURIDAD_EN_LAS_TELECOMUNICACIONES.</t>
  </si>
  <si>
    <t>_14._ADQUISICIÓN__DESARROLLO_Y_MANTENIMIENTO_DE_LOS_SISTEMAS_DE_INFORMACIÓN.</t>
  </si>
  <si>
    <t>_15._RELACIONES_CON_SUMINISTRADORES.</t>
  </si>
  <si>
    <t>_16._GESTIÓN_DE_INCIDENTES_EN_LA_SEGURIDAD_DE_LA_INFORMACIÓN.</t>
  </si>
  <si>
    <t>_17._ASPECTOS_DE_SEGURIDAD_DE_LA_INFORMACION_EN_LA_GESTIÓN_DE_LA_CONTINUIDAD_DEL_NEGOCIO.</t>
  </si>
  <si>
    <t>_18._CUMPLIMIENTO.</t>
  </si>
  <si>
    <t xml:space="preserve">5.1.1 Conjunto de políticas para la seguridad de la información. </t>
  </si>
  <si>
    <t xml:space="preserve">6.1.1 Asignación de responsabilidades para la segur. de la información. </t>
  </si>
  <si>
    <t xml:space="preserve">7.1.1 Investigación de antecedentes. </t>
  </si>
  <si>
    <t xml:space="preserve">8.1.1 Inventario de activos. </t>
  </si>
  <si>
    <t xml:space="preserve">9.1.1 Política de control de accesos. </t>
  </si>
  <si>
    <t xml:space="preserve">10.1.1 Política de uso de los controles criptográficos. </t>
  </si>
  <si>
    <t xml:space="preserve">11.1.1 Perímetro de seguridad física. </t>
  </si>
  <si>
    <t xml:space="preserve">12.1.1 Documentación de procedimientos de operación. </t>
  </si>
  <si>
    <t xml:space="preserve">13.1.1 Controles de red. </t>
  </si>
  <si>
    <t xml:space="preserve">14.1.1 Análisis y especificación de los requisitos de seguridad. </t>
  </si>
  <si>
    <t xml:space="preserve">15.1.1 Política de seguridad de la información para suministradores. </t>
  </si>
  <si>
    <t xml:space="preserve">16.1.1 Responsabilidades y procedimientos. </t>
  </si>
  <si>
    <t xml:space="preserve">17.1.1 Planificación de la continuidad de la seguridad de la información. </t>
  </si>
  <si>
    <t xml:space="preserve">18.1.1 Identificación de la legislación aplicable. </t>
  </si>
  <si>
    <t xml:space="preserve">5.1.2 Revisión de las políticas para la seguridad de la información. </t>
  </si>
  <si>
    <t xml:space="preserve">6.1.2 Segregación de tareas. </t>
  </si>
  <si>
    <t xml:space="preserve">7.1.2 Términos y condiciones de contratación. </t>
  </si>
  <si>
    <t xml:space="preserve">8.1.2 Propiedad de los activos. </t>
  </si>
  <si>
    <t xml:space="preserve">9.1.2 Control de acceso a las redes y servicios asociados. </t>
  </si>
  <si>
    <t xml:space="preserve">10.1.2 Gestión de claves. </t>
  </si>
  <si>
    <t xml:space="preserve">11.1.2 Controles físicos de entrada. </t>
  </si>
  <si>
    <t xml:space="preserve">12.1.2 Gestión de cambios. </t>
  </si>
  <si>
    <t xml:space="preserve">13.1.2 Mecanismos de seguridad asociados a servicios en red. </t>
  </si>
  <si>
    <t xml:space="preserve">14.1.2 Seguridad de las comunicaciones en servicios accesibles por redes públicas. </t>
  </si>
  <si>
    <t xml:space="preserve">15.1.2 Tratamiento del riesgo dentro de acuerdos de suministradores. </t>
  </si>
  <si>
    <t xml:space="preserve">16.1.2 Notificación de los eventos de seguridad de la información. </t>
  </si>
  <si>
    <t xml:space="preserve">17.1.2 Implantación de la continuidad de la seguridad de la información. </t>
  </si>
  <si>
    <t xml:space="preserve">18.1.2 Derechos de propiedad intelectual (DPI). </t>
  </si>
  <si>
    <t xml:space="preserve">6.1.3 Contacto con las autoridades. </t>
  </si>
  <si>
    <t xml:space="preserve">7.2.1 Responsabilidades de gestión. </t>
  </si>
  <si>
    <t xml:space="preserve">8.1.3 Uso aceptable de los activos. </t>
  </si>
  <si>
    <t>9.2.1 Gestión de altas/bajas en el registro de usuarios.</t>
  </si>
  <si>
    <t xml:space="preserve">11.1.3 Seguridad de oficinas, despachos y recursos. </t>
  </si>
  <si>
    <t xml:space="preserve">12.1.3 Gestión de capacidades. </t>
  </si>
  <si>
    <t xml:space="preserve">13.1.3 Segregación de redes. </t>
  </si>
  <si>
    <t xml:space="preserve">14.1.3 Protección de las transacciones por redes telemáticas. </t>
  </si>
  <si>
    <t xml:space="preserve">15.1.3 Cadena de suministro en tecnologías de la información y comunicaciones. </t>
  </si>
  <si>
    <t xml:space="preserve">16.1.3 Notificación de puntos débiles de la seguridad. </t>
  </si>
  <si>
    <t>17.1.3 Verificación, revisión y evaluación de la continuidad de la seguridad de la información.</t>
  </si>
  <si>
    <t xml:space="preserve">18.1.3 Protección de los registros de la organización. </t>
  </si>
  <si>
    <t xml:space="preserve">6.1.4 Contacto con grupos de interés especial. </t>
  </si>
  <si>
    <t xml:space="preserve">7.2.2 Concienciación, educación y capacitación en segur. de la informac. </t>
  </si>
  <si>
    <t xml:space="preserve">8.2.1 Directrices de clasificación. </t>
  </si>
  <si>
    <t xml:space="preserve"> 9.2.2 Gestión de los derechos de acceso asignados a usuarios. </t>
  </si>
  <si>
    <t xml:space="preserve">11.1.4 Protección contra las amenazas externas y ambientales. </t>
  </si>
  <si>
    <t xml:space="preserve">12.1.4 Separación de entornos de desarrollo, prueba y producción. </t>
  </si>
  <si>
    <t xml:space="preserve">13.2.1 Políticas y procedimientos de intercambio de información. </t>
  </si>
  <si>
    <t xml:space="preserve">14.2.1 Política de desarrollo seguro de software. </t>
  </si>
  <si>
    <t xml:space="preserve">15.2.1 Supervisión y revisión de los servicios prestados por terceros. </t>
  </si>
  <si>
    <t xml:space="preserve">16.1.4 Valoración de eventos de seguridad de la información y toma de decisiones. </t>
  </si>
  <si>
    <t xml:space="preserve">17.2.1 Disponibilidad de instalaciones para el procesamiento de la información. </t>
  </si>
  <si>
    <t xml:space="preserve">18.1.4 Protección de datos y privacidad de la información personal. </t>
  </si>
  <si>
    <t xml:space="preserve">6.1.5 Seguridad de la información en la gestión de proyectos. </t>
  </si>
  <si>
    <t xml:space="preserve">7.2.3 Proceso disciplinario. </t>
  </si>
  <si>
    <t xml:space="preserve">8.2.2 Etiquetado y manipulado de la información. </t>
  </si>
  <si>
    <t xml:space="preserve">9.2.3 Gestión de los derechos de acceso con privilegios especiales. </t>
  </si>
  <si>
    <t xml:space="preserve">11.1.5 El trabajo en áreas seguras. </t>
  </si>
  <si>
    <t xml:space="preserve">12.2.1 Controles contra el código malicioso. </t>
  </si>
  <si>
    <t xml:space="preserve">13.2.2 Acuerdos de intercambio. </t>
  </si>
  <si>
    <t xml:space="preserve">14.2.2 Procedimientos de control de cambios en los sistemas. </t>
  </si>
  <si>
    <t xml:space="preserve">15.2.2 Gestión de cambios en los servicios prestados por terceros. </t>
  </si>
  <si>
    <t xml:space="preserve">16.1.5 Respuesta a los incidentes de seguridad. </t>
  </si>
  <si>
    <t xml:space="preserve">18.1.5 Regulación de los controles criptográficos. </t>
  </si>
  <si>
    <t xml:space="preserve">6.2.1 Política de uso de dispositivos para movilidad. </t>
  </si>
  <si>
    <t xml:space="preserve">7.3.1 Cese o cambio de puesto de trabajo. </t>
  </si>
  <si>
    <t xml:space="preserve">8.2.3 Manipulación de activos. </t>
  </si>
  <si>
    <t xml:space="preserve">9.2.4 Gestión de información confidencial de autenticación de usuarios.   </t>
  </si>
  <si>
    <t xml:space="preserve">11.1.6 Áreas de acceso público, carga y descarga. </t>
  </si>
  <si>
    <t xml:space="preserve">12.3.1 Copias de seguridad de la información. </t>
  </si>
  <si>
    <t xml:space="preserve">13.2.3 Mensajería electrónica. </t>
  </si>
  <si>
    <t xml:space="preserve">14.2.3 Revisión técnica de las aplicaciones tras efectuar cambios en el sistema operativo. </t>
  </si>
  <si>
    <t xml:space="preserve">16.1.6 Aprendizaje de los incidentes de seguridad de la información. </t>
  </si>
  <si>
    <t xml:space="preserve">18.2.1 Revisión independiente de la seguridad de la información. </t>
  </si>
  <si>
    <t xml:space="preserve">6.2.2 Teletrabajo. </t>
  </si>
  <si>
    <t xml:space="preserve">8.3.1 Gestión de soportes extraíbles. </t>
  </si>
  <si>
    <t xml:space="preserve">9.2.5 Revisión de los derechos de acceso de los usuarios. </t>
  </si>
  <si>
    <t xml:space="preserve">11.2.1 Emplazamiento y protección de equipos. </t>
  </si>
  <si>
    <t xml:space="preserve">12.4.1 Registro y gestión de eventos de actividad. </t>
  </si>
  <si>
    <t xml:space="preserve">13.2.4 Acuerdos de confidencialidad y secreto. </t>
  </si>
  <si>
    <t xml:space="preserve">14.2.4 Restricciones a los cambios en los paquetes de software. </t>
  </si>
  <si>
    <t xml:space="preserve">16.1.7 Recopilación de evidencias. </t>
  </si>
  <si>
    <t xml:space="preserve">18.2.2 Cumplimiento de las políticas y normas de seguridad. </t>
  </si>
  <si>
    <t xml:space="preserve">8.3.2 Eliminación de soportes. </t>
  </si>
  <si>
    <t xml:space="preserve">9.2.6 Retirada o adaptación de los derechos de acceso </t>
  </si>
  <si>
    <t xml:space="preserve">11.2.2 Instalaciones de suministro. </t>
  </si>
  <si>
    <t xml:space="preserve">12.4.2 Protección de los registros de información. </t>
  </si>
  <si>
    <t xml:space="preserve">14.2.5 Uso de principios de ingeniería en protección de sistemas. </t>
  </si>
  <si>
    <t>18.2.3 Comprobación del cumplimiento.</t>
  </si>
  <si>
    <t xml:space="preserve">8.3.3 Soportes físicos en tránsito. </t>
  </si>
  <si>
    <t xml:space="preserve">9.3.1 Uso de información confidencial para la autenticación. </t>
  </si>
  <si>
    <t xml:space="preserve">11.2.3 Seguridad del cableado. </t>
  </si>
  <si>
    <t xml:space="preserve">12.4.3 Registros de actividad del administrador y operador del sistema. </t>
  </si>
  <si>
    <t xml:space="preserve">14.2.6 Seguridad en entornos de desarrollo. </t>
  </si>
  <si>
    <t xml:space="preserve">9.4.1 Restricción del acceso a la información. </t>
  </si>
  <si>
    <t xml:space="preserve">11.2.4 Mantenimiento de los equipos. </t>
  </si>
  <si>
    <t xml:space="preserve">12.4.4 Sincronización de relojes. </t>
  </si>
  <si>
    <t xml:space="preserve">14.2.7 Externalización del desarrollo de software. </t>
  </si>
  <si>
    <t xml:space="preserve">9.4.2 Procedimientos seguros de inicio de sesión. </t>
  </si>
  <si>
    <t xml:space="preserve">11.2.5 Salida de activos fuera de las dependencias de la empresa. </t>
  </si>
  <si>
    <t xml:space="preserve">12.5.1 Instalación del software en sistemas en producción. </t>
  </si>
  <si>
    <t xml:space="preserve">14.2.8 Pruebas de funcionalidad durante el desarrollo de los sistemas. </t>
  </si>
  <si>
    <t xml:space="preserve">9.4.3 Gestión de contraseñas de usuario. </t>
  </si>
  <si>
    <t xml:space="preserve">11.2.6 Seguridad de los equipos y activos fuera de las instalaciones. </t>
  </si>
  <si>
    <t xml:space="preserve">12.6.1 Gestión de las vulnerabilidades técnicas. </t>
  </si>
  <si>
    <t>14.2.9 Pruebas de aceptación.</t>
  </si>
  <si>
    <t xml:space="preserve">9.4.4 Uso de herramientas de administración de sistemas.   </t>
  </si>
  <si>
    <t xml:space="preserve">11.2.7 Reutilización o retirada segura de dispositivos de almacenamiento. </t>
  </si>
  <si>
    <t xml:space="preserve">12.6.2 Restricciones en la instalación de software. </t>
  </si>
  <si>
    <t xml:space="preserve">14.3.1 Protección de los datos utilizados en pruebas. </t>
  </si>
  <si>
    <t xml:space="preserve">9.4.5 Control de acceso al código fuente de los programas. </t>
  </si>
  <si>
    <t xml:space="preserve">11.2.8 Equipo informático de usuario desatendido. </t>
  </si>
  <si>
    <t xml:space="preserve">12.7.1 Controles de auditoría de los sistemas de información. </t>
  </si>
  <si>
    <t xml:space="preserve">11.2.9 Política de puesto de trabajo despejado y bloqueo de pantalla. </t>
  </si>
  <si>
    <t>Naturaleza del control</t>
  </si>
  <si>
    <t>Oficialidad</t>
  </si>
  <si>
    <t>Medible</t>
  </si>
  <si>
    <t>Pruebas de recorrido</t>
  </si>
  <si>
    <t>Automático</t>
  </si>
  <si>
    <t>Aprobado y divulgado</t>
  </si>
  <si>
    <t>Si y las métricas se tienen en cuenta en los indicadores</t>
  </si>
  <si>
    <t>Altamente efectivo</t>
  </si>
  <si>
    <t>Semiautomático</t>
  </si>
  <si>
    <t>Aprobado no divulgado</t>
  </si>
  <si>
    <t>Se mide periódicamente o por demanda y se lleva un registro</t>
  </si>
  <si>
    <t>Medianamente efectivo</t>
  </si>
  <si>
    <t>Manual</t>
  </si>
  <si>
    <t>Documentado</t>
  </si>
  <si>
    <t>Se mide periódicamente o por demandapero no se lleva un registro</t>
  </si>
  <si>
    <t>Poco efectivo</t>
  </si>
  <si>
    <t>No documentado</t>
  </si>
  <si>
    <t>No se mide</t>
  </si>
  <si>
    <t>No se realizaron pruebas</t>
  </si>
  <si>
    <t>No Aplica</t>
  </si>
  <si>
    <t>NA</t>
  </si>
  <si>
    <t>Criterios para calificar la probabilidad</t>
  </si>
  <si>
    <t>Nivel</t>
  </si>
  <si>
    <t>Descripción</t>
  </si>
  <si>
    <t>Frecuencia</t>
  </si>
  <si>
    <t>El evento se presenta en la mayoria de circunstancias</t>
  </si>
  <si>
    <t>Se ha presentado al menos una vez en el último mes</t>
  </si>
  <si>
    <t>Se presentan eventos de manera frecuente</t>
  </si>
  <si>
    <t>Se ha presentado al menos una vez  en los últimos dos meses</t>
  </si>
  <si>
    <t>Se presentan eventos ocasionalmente</t>
  </si>
  <si>
    <t>Se ha presentado al menos dos veces en el último año</t>
  </si>
  <si>
    <t>El evento no es probable que ocurra</t>
  </si>
  <si>
    <t>Se ha presentado al menos una vez  una vez en el último año</t>
  </si>
  <si>
    <t>Rara vez</t>
  </si>
  <si>
    <t>El evento solo puede ocurrir en circunstancias excepcionales</t>
  </si>
  <si>
    <t>No se ha presentado en el ultimo año</t>
  </si>
  <si>
    <t>Recuerde que el Riesgo de CORRUPCIÓN debe contar con los cuatro elementos descritos a continuación, para cada riesgo que ud describa, identifique claramente si esta presente cada elemento colocando una X</t>
  </si>
  <si>
    <t>Acción u omisión</t>
  </si>
  <si>
    <t>Uso del poder</t>
  </si>
  <si>
    <t>Desviar la gestión de lo público</t>
  </si>
  <si>
    <t>Beneficio privado</t>
  </si>
  <si>
    <t>Seleccionar una inciativa que no cumpla con los requisitos</t>
  </si>
  <si>
    <t xml:space="preserve">aprovechando la concentración de la información </t>
  </si>
  <si>
    <t>a fin de que esta sea favorecida con recursos públicos</t>
  </si>
  <si>
    <t>y recibiendo un beneficio o beneficiando a un tercero</t>
  </si>
  <si>
    <t>Seleccionar una inciativa que no cumpla con los requisitos aprovechando la concentración de la información a fin de que esta sea favorecida con recursos públicos permitiendo la recepción de un beneficio o beneficiando a un tercero</t>
  </si>
  <si>
    <t>Registro</t>
  </si>
  <si>
    <t>Articulación Interinstitucional</t>
  </si>
  <si>
    <t>Riesgo de Corrupción</t>
  </si>
  <si>
    <t>Baja</t>
  </si>
  <si>
    <t>Estapa Judicial (Gestión de Restitución Ley 1448)</t>
  </si>
  <si>
    <t>Articulación para el Cumplimiento de las Órdenes</t>
  </si>
  <si>
    <t>Medidas de Prevención</t>
  </si>
  <si>
    <t>Atención al Ciudadano</t>
  </si>
  <si>
    <t>Caracterizaciones y Registro</t>
  </si>
  <si>
    <t>Estapa Judicial (Gestión de Restitución de Derechos Étnicos Territoriales)</t>
  </si>
  <si>
    <t>Cumplimiento Órdenes URT</t>
  </si>
  <si>
    <t>Planeación Estratégica</t>
  </si>
  <si>
    <t>Evaluación Sistema de Control Interno</t>
  </si>
  <si>
    <t>Gestión de Comunicaciones</t>
  </si>
  <si>
    <t>Prevención y Gestión de Seguridad</t>
  </si>
  <si>
    <t>Gestión del Conocimiento e Información</t>
  </si>
  <si>
    <t>Mejoramiento Continuo</t>
  </si>
  <si>
    <t>Gestión Logística y de Rec. Físicos</t>
  </si>
  <si>
    <t>Gestión Talento Humano</t>
  </si>
  <si>
    <t>Gestión TIC</t>
  </si>
  <si>
    <t>PASOS</t>
  </si>
  <si>
    <t>Componente</t>
  </si>
  <si>
    <t>Ejemplo</t>
  </si>
  <si>
    <t>Paso 1</t>
  </si>
  <si>
    <t>Responsable de llevar a cabo el Control</t>
  </si>
  <si>
    <t>El tesorero, el secretario general y/o el cordinador del grupo de gestión financiera,</t>
  </si>
  <si>
    <t>Paso 2</t>
  </si>
  <si>
    <t>Periodicidad definida para su
ejecución.</t>
  </si>
  <si>
    <t>cada vez que se requiera realizar un movimiento bancario y</t>
  </si>
  <si>
    <t>Paso 3</t>
  </si>
  <si>
    <t>Indicar cuál es el propósito del control</t>
  </si>
  <si>
    <t>con el fin de prevenir que los movimientos que se den por ventanilla sean suplantados,</t>
  </si>
  <si>
    <t>Suplantación de representante legal para retiro de dinero de cuentas Bancarias de Minjusticia</t>
  </si>
  <si>
    <t>Paso 4</t>
  </si>
  <si>
    <t>Establecer el cómo se realiza la actividad de control.</t>
  </si>
  <si>
    <t>todas las solicitudes de débitos o traslados se realizarán mediante oficio con dos firmas de aprobación que se encuentren autorizadas ante la entidad bancaria.</t>
  </si>
  <si>
    <t>Paso 5</t>
  </si>
  <si>
    <t>Indicar qué pasa con las observaciones o desviaciones resultantes de ejecutar el control</t>
  </si>
  <si>
    <t>Si no se cuenta con las dos firmas de aprobación, no se podrá realizar el débito o traslado bancario.</t>
  </si>
  <si>
    <t>Paso 6</t>
  </si>
  <si>
    <t>Evidencia de la ejecución del control</t>
  </si>
  <si>
    <t>Como evidencia queda el oficio radicado ante entidad bancaria con las dos firmas.</t>
  </si>
  <si>
    <t>Paso 7</t>
  </si>
  <si>
    <t>Está en el procedimiento</t>
  </si>
  <si>
    <t>Paso 8</t>
  </si>
  <si>
    <t>Si su respuesta es afirmativa, ¿en cuál procedimiento?</t>
  </si>
  <si>
    <t>Manejo de Bienes y Servicios</t>
  </si>
  <si>
    <t>Paso 9</t>
  </si>
  <si>
    <t>Si su respuesta es negativa, ¿en dónde esta documentado el control? Política - Manual - Guía</t>
  </si>
  <si>
    <t>-</t>
  </si>
  <si>
    <t>Control completo</t>
  </si>
  <si>
    <t>El equipo seleccionado del Grupo de Fortalecimiento a la Justicia étnica una vez el grupo culmina la revisión de los requisitos mínimos y  a fin de establecer si este ánalisis es correcto, realizará la revisión y validación aleatoria del 10% de las iniciativas, contrastando los requisitos vs la información diligenciada en una reunión grupal donde participan un numero impar de integrantes con voz y voto. Si en el momento de la revisión, se encuentra alguna inconsistencia en el diligenciamiento de la matriz se procede a realizar el ajuste y la decisión de mantener o no la iniciativa en el proceso. Evidencia: Grabación de la reunión si se realiza de forma virtual
Acta de reunión si esta se realiza de forma presencial. En ambas se concluirá sobre las iniciativas revisadas y validadas.</t>
  </si>
  <si>
    <t>El coordinador del Grupo de Fortalecimiento a la Justicia étnica después de la reunión con el equipo de validación de requisitos mínimos y antes de la publicación de la matriz de las propuestas, a fin de complementar el trabajo desarrollado por el equipo, realizará la revisión y validación aleatoria del 6% de las iniciativas adicionales a las ya reviasadas, contrastando los requisitos vs la información diligenciada. Si en el momento de la revisión, se encuentra alguna inconsistencia en el diligenciamiento de la matriz se procede a realizar el ajuste y la decisión de mantener o no la iniciativa en el proceso. Evidencia: Campo diligenciado de la revisión por parte de la coordinación de aquellas iniciativas seleccionadas con la respectiva decisión</t>
  </si>
  <si>
    <t>El tesorero, el secretario general y/o el cordinador del grupo de gestión financiera, cada vez que se requiera realizar un movimiento bancario y con el fin de prevenir que los movimientos que se den por ventanilla sean suplantados, todas las solicitudes de débitos o traslados se realizarán mediante oficio con dos firmas de aprobación que se encuentren autorizadas ante la entidad bancaria. Si no se cuenta con las dos firmas de aprobación, no se podrá realizar el débito o traslado bancario. Como evidencia queda el oficio radicado ante entidad bancaria con las dos firmas.</t>
  </si>
  <si>
    <t>PROBABILIDAD DE OCURRENCIA</t>
  </si>
  <si>
    <t>CASI SEGURO
(5)</t>
  </si>
  <si>
    <t>PROBABLE
(4)</t>
  </si>
  <si>
    <t>POSIBLE
(3)</t>
  </si>
  <si>
    <t>IMPROBABLE
(2)</t>
  </si>
  <si>
    <t>RARO VEZ
(1)</t>
  </si>
  <si>
    <t>INSIGNIFICANTE (1)</t>
  </si>
  <si>
    <t>MENOR
(2)</t>
  </si>
  <si>
    <t>MODERADO 
(3)</t>
  </si>
  <si>
    <t>MAYOR 
(4)</t>
  </si>
  <si>
    <t>CATASTRÓFICO
(5)</t>
  </si>
  <si>
    <t>Extrema</t>
  </si>
  <si>
    <t>E</t>
  </si>
  <si>
    <t>EXTREMA</t>
  </si>
  <si>
    <t>A</t>
  </si>
  <si>
    <t>ALTA</t>
  </si>
  <si>
    <t>M</t>
  </si>
  <si>
    <t>MODERADA</t>
  </si>
  <si>
    <t>B</t>
  </si>
  <si>
    <t>BAJA</t>
  </si>
  <si>
    <t>B: Zona de riesgo Baja: Asumir el riesgo   -   M: Zona de riesgo Moderada: Asumir el riesgo, Reducir el riesgo
A: Zona de riesgo Alta: Reducir el riesgo, Evitar, Compartir o Transferir    -     E: Zona de riesgo Extrema: Reducir el riesgo, Evitar, Compartir o Transferir</t>
  </si>
  <si>
    <t xml:space="preserve">Tomado de la “Guía para la administración del riesgo y el diseño de controles en entidades públicas” Versión 04 de Oct de 2018 </t>
  </si>
  <si>
    <t>Se Presenta Politica actualizada al mes de Diciembre de 2023. La politica se encuentra en producción y siendo aplicable, para el periodo reportado no se ha presentado la necesidad de una nueva actualización.</t>
  </si>
  <si>
    <r>
      <t xml:space="preserve">
</t>
    </r>
    <r>
      <rPr>
        <sz val="10"/>
        <rFont val="Arial"/>
        <family val="2"/>
      </rPr>
      <t xml:space="preserve">Cuando el soporte es recibido por SGDEA: El grupo financiero cuando recibe los soportes de pago correspondientes al trámite a través del SGDEA por parte de los licenciatarios, deben validar que el monto se refleje en la cuenta bancaría del Ministerio, se realiza el análisis financiero pertinente observando que el valor abonado corresponda a lo estipulado en el acto administrativo y a los intereses moratorios generados (según aplique). Una vez realizado el análisis, seguidamente se cargará y actualizará la información al MICC y se procede a proyectar el oficio que contempla el estado de cuenta donde se informa si está al día o adeuda algún monto, este oficio pasará a revisión del encargado para corroborar si la información es correcta, en caso de presentar inconsistencias devolverá el oficio al profesional que proyectó para su corrección y ajuste. 
Cuando el soporte es recibido por el MICC: Se inicia la etapa de registro de la novedad financiera a cargo profesional asignado se deberá validar que el monto se refleje en la cuenta bancaría del Ministerio y realizará el análisis financiero para aplicar el pago a la novedad que corresponda. A partir de ese momento, pasará a etapa de revisión por parte del profesional encargado quien deberá corroborar que la información este correcta, en caso de no encontrar inconsistencias, procederá a etapa de aprobación. En caso contrario, se devuelve al profesional que generó la novedad para corrección. 
Teniendo en cuenta lo estipulado en la normatividad vigente, los pagos correspondientes a las cuotas deben realizarse en Enero de cada anualidad.
</t>
    </r>
  </si>
  <si>
    <t xml:space="preserve">
Posterior a la revisión por pares, se generará un filtro de revisión final por parte del líder jurídico quien realiza la validación de fondo del expediente y forma del acto administrativo.</t>
  </si>
  <si>
    <t xml:space="preserve">Durante el primer cuatrimestre de 2024 no se ha materializado el riesgo, lo anterior, considerando que para el periodo evaluado la Dirección de Justicia Formal  se encuentra adelantando el proceso precontractual necesario para ejecutar el Banco de Iniciativas y Proyectos, así como la etapa de aprestamiento para la campaña de expectativa de esta actividad. De igual manera, no se han implementado los controles, teniendo en cuenta que están diseñados para ejecutarse en las etapas de evaluación y selección de iniciativas priorizadas, las cuales están previstas para surtirse durante el segundo cuatrimestre de la actual vigencia. </t>
  </si>
  <si>
    <t xml:space="preserve">En virtud de las observaciones realizadas por la OCI, para el último seguimiento de 2023, se hizo la revisión de los controles y su relación con la medición del riesgo en los siguientes términos: La Dirección de Justicia transicional se reunió en mesa técnica con la Oficina de Control Interno, para atender a  los ajustes solicitados, así:
1. Se ajusta la descripción del riesgo conforme la guía del DAFP.
2. Se hace la revisión de los controles y se determina que estos esten ajustados a la metodología de riesgos, concluyendo en la formulación presentada.
Por otra parte, para el primer cuatrimestre de 2024, no se han presentado solicitudes de indulto nuevas para tramitar en la DJT. Sin embargo, se ha seguido adelantando un plan de tratamiento por parte de la primera línea de defensa desde la DJT, compuesto por las siguientes acciones:
1. El día 15 de febrero se realiza una capacitación a los involucrados en el procedimiento de indulto de la DJT y el GALC, con el fin de garantizar el conocimiento de los requisitos y el paso a paso del procedimiento actual.
2. Se crea una matriz de seguimiento que da cuenta de todo el procedimiento, desde el ingreso de la petición, su asignacion al profesional de la DJT, anotaciones y el respectivo seguimiento. En este sentido, se evidencian peticiones de indulto, pero que por falta de requisitos no inician el trámite. Sin embargo, se les hace seguimiento y registro. 
Frente al procedimiento actual, de acuerdo con las acciones de tratamiento descritas, se han logrado identificar gestiones y acciones valiosas, que pueden llegar a nutrir el procedimiento vigente. Por lo cual, se plantea una mesa técnica para evaluar el procedimiento y darle revisión a lo registrado. Dicha mesa de trabajo se llevará a cabo en el mes de mayo.
Adicionalmente, se mantienen los controles manejados previamente, como lo es el formato F-CR-16-01 “Hoja de Ruta del expediente”.
</t>
  </si>
  <si>
    <t>No se materializa el riesgo, toda vez que se cumple con, la revisión  de requisitos establecidos en el manual de funciones con los soportes entregados por los aspirantes en el formato F-THAD-01-09 denominado Calculo Tiempo de Experiencia Laboral. Si el aspirante cumple requisitos se expide con firma del Secretario General el certificado de cumplimiento de requisitos en el formato F-THAD-01-05 versión 1.
De igual forma se valida los siguientes documentos: Certificados de antecedentes fiscales, disciplinarios y judiciales y si es el caso el certificado de antecedente de la profesión.  Si se presenta alguna duda frente a los soportes o títulos entregados, se remite correo electrónico a la entidad respectiva para validar su autenticidad. Se verifica continuamente las normas que rigen en la materia por si existen actualizaciones que se deben tener en cuenta al momento de validar el cumplimiento de requisitos.
De igual forma se valida los siguientes documentos: Certificados de antecedentes fiscales, disciplinarios y judiciales y si es el caso el certificado de antecedente de la profesión.  Si se presenta alguna duda frente a los soportes o títulos entregados, se remite correo electrónico a la entidad respectiva para validar su autenticidad. Se verifica continuamente las normas que rigen en la materia por si existen actualizaciones que se deben tener en cuenta al momento de validar el cumplimiento de requisitos.
EVIDENCIAS ADJUNTAS: Formato F-THAD-01-05 version1 certificado de cumplimiento de requisitos para cada vinculación, Formato F-THAD-01-09 -Calculo Tiempo de Experiencia Laboral, Hoja de vida SIGEP firmadas por la Coordinadora de Gestión tramitados durante el enero, febrero, marzo y abril de 2024. </t>
  </si>
  <si>
    <t>No se materializa el riesgo, El GGH realiza un diagnóstico anual de necesidades de la población vinculada a planta para generar la planeación de sus actividades de los planes Binestar y capacitación, se realizan campañaas de difusión de las actividades,  procesos de preinscripción e inscripción a las mismas.
Solo cuando se tiene un número necesario de participantes se avlan y sacan adelante las actividades.
EVIDENCIAS:
CORREO ELECTRÓNICO INSTITUCIONAL
PLAN DE CAPÁCITACIÓN Y PLAN DE BIENESTAR
PLAN  ESTRATÉGICO  DE TALENTO HUMANO</t>
  </si>
  <si>
    <t>Jefe  y Abogados de la Oficina de Control  Disciplinario Interno</t>
  </si>
  <si>
    <t xml:space="preserve">
Desde la Oficina de Control Disciplinario Interno, se realizaron en el primer período, sesiones de retroalimentación acerca de las acciones disciplinarias a seguir en las quejas recepcionadas y/o procedimientos activos. Esta retroalimentación se registró mediante correos electrónicos. Además, se llevó a cabo una reunión presencial para evaluar y establecer las acciones disciplinarias a seguir en varios procedimientos.</t>
  </si>
  <si>
    <t xml:space="preserve">Para 2024, el Ministerio dio apertura a la VII fase del Banco de Iniciativas y Proyectos (BIP), el cual tiene como objetivo para esta versión apoyar proyectos formulados por los pueblos indígenas y/o sus Organizaciones representativas destinados a, primero, mejorar la administración de la justicia propia, segundo, consolidar la coordinación entre la Jurisdicción Especial Indígena (JEI) y la justicia ordinaria, y tercero, proteger los derechos de la mujer, la juventud, la niñez y los mayores dentro de los sistemas de justicia propia indígena. 
En este sentido, el Ministerio dio inicio al cronograma de ejecución del BIP en el mes de mayo (etapa de expectativa) y cerró la etapa de recepción de iniciativas el 10 de julio con la presentación de 275 postulaciones. Así mismo, en total respeto a la normativa y lineamientos establecidos para esta versión del BIP, en julio se adelantaron los procesos de evaluación y priorización  iniciativas y el 09 de agosto se comunicaron los proyectos que recibirán apoyo financiero y técnico para su ejecución. 
Durante el proceso, se desarrollaron los controles así:
1. Se conformó un comité para la revisión plena de las iniciativas priorizadas y el establecimiento de lineamientos generales para la etapa de revisión de requisitos mínimos, habilitantes y de evaluación de iniciativas. Así mismo, se conformaron, en concordancia de lo establecido en la "G-AJ-03 Guía banco de iniciativas pueblos indígenas", dos subcomités donde participaron miembros evaluadores del GFJÉ, veedores de la Dirección de Justicia Formal y profesionales de la Universidad Nacional como aliado implementador para 2024. Para ello, se revisó el 100 % de la matriz y se publicaron los resultados.
2. La Coordinación realizó revisión adicional de la etapa de valoración de las iniciativas, prestando especial atención en aquellas que no cumplieron, inicialmente, con los requisitos mínimos y habilitantes establecidos en los términos de referencia para 2024.
3.  La Coordinación del GFJÉ ha asignado a una integrante del Grupo Interno de Trabajo para realizar el análisis y estudio de cada solicitud recibida por los proponentes no seleccionados, realizando una respuesta oportuna y de fondo a cada una de ellas. Así mismo, la Coordinación realiza la revisión de cada respuesta, garantizando que se realice acorde con los resultados de la evaluación.
4. Para 2024, la contratación de los proponentes seleccionados en el marco del BIP se realizará por parte del aliado implementador, el cual de acuerdo con el contrato 694 de 2024 es la Universidad Nacional de Colombia. Siendo así, se trasladó dicho riesgo a un tercero. Ahora bien, en función de la supervisión del contrato, el GFJÉ realiza una reunión semanal de monitoreo desde donde se han establecido controles que permitan la verificación de la identidad de las autoridades, esto, incluye el contacto directo y la valoración de la documentación aportada. </t>
  </si>
  <si>
    <t>No se han materializado los riesgos. 
1. Se realiza por parte el GGC apoyo a las dependencias en la construcción de las fichas técnicas y analisis del sector de los procesos de contratación del MJD. Evidencias correos de los procesos en que se ha prestado apoyo y base de seguimiento a revisión de procesos 2024.
2. Se realiza en debida forma las justificaciones de la causal de contratacion directa en aplicacion de la normatividad vigente. Evidencia Link de los procesos en el Secop II.
3. Se realizaron recomendaciones generales a los supervisores, sobre la adecuada labor de la supervisión. Se adjunta: 
1. correo del 21 de mayo de 2024 - Recomendaciones para los supervisores de contratos. 
2.  MJD- MEM24-0003206-GGC-40200 Recomendaciones para los supervisores de contratos en el cumplimiento de la obligación de publicación de documentos en el Secop ii, Tienda Virtual y Sicfr. 
3. Correo socializacion memorando MJD-MEM24-0004536 
4. MJD-MEM24-0004536 Lieneamientos para el Cumplimiento solicitud y cierre de contratos de prestación de servicios profesionales y/o de apoyo a la gestión en Secop II.</t>
  </si>
  <si>
    <t>Para el año 2024 no se han iniciado nuevos trámites de beneficio jurídico de indulto. En particular, para el mes de Mayo se recibió petición mediante MJD-EXT24-0028478, en la cual se solicita amnistía e indulto en general, por su condición de Gestor de Paz. Se le responde oficio explicando los requisitos para acceder al beneficio jurídico de indulto, y se le solicita completar su petición en términos del CPACA. A su vez, se traslada a la JEP para lo de su competencia mediante MJD-OFI24-0022575. Sin embargo, no se recibe respuesta y se configura desistimiento tácito.
Adicionalmente, el día 15 de mayo se realiza reunión interna del Grupo de Acciones Legales y Constitucionales, con los enlaces de calidad, con el fin de revisar el procedimiento y socializar propuestas para la mejora de los indicadores frente al reporte de los trámites de indulto ejecutados desde la DJT. Sigue vigente el formato F-CR-16-01 Ruta de seguimiento al expediente.
En complemento, el día 21 de mayo se realiza otra reunión para determinar acciones concretas para mejorar el procedimiento, de lo cual se establecen diversos compromisos de GALC y los enlaces de calidad:
1. Agregar la definición de Desistimiento Tácito.
2. Ajustar nueva actividad en la cual se describen las condiciones para que se configure el desistimiento tácito.
3. Formato de solicitud indulto. Se determina la elaboración de un formato de solicitud de indulto, el cual permitirá guiar al solicitante previo a la radicación ante el Ministerio, y permitirle entregar la información completa al momento de su radicación conforme a los requisitos de ley.
4. Crear un "Abc" del indulto para previa consulta de los interesados.
5. Reunión con el Grupo de Servicio al ciudadano: Una vez se tengan estos elementos listos (Abc del indulto y formato del indulto) se solicitará reunión para revisar la publicación del trámite de Indulto en la pag web del Ministerio, así como en los puntos de atención y se incorporen estos elementos en dichos lugares. Así mismo Se propone que se incluya este ABC en el micrositio del OJTC.  
Finalmente, se concluye que no se han materializado riesgos para este periodo.</t>
  </si>
  <si>
    <t xml:space="preserve">El riesgo no se ha materializado y el control ha sido efectivo durante lo corrido del segundo cuatrimestre. 
Control: El líder del equipo financiero de la Subdirección de Control y Fiscalización de Sustancias Químicas y Estupefacientes, los primeros diez (10) días de cada mes, realiza el informe de cuentas por cobrar del mes inmediatamente anterior, los cuales se remiten al Grupo de Gestión Financiera y Contable de la SCFSQyE para la elaboración de los cierres contables.
Por otro lado, en cumplimiento de la acción del plan de tratamiento el líder del grupo financiero de la Subdirección, elabora los informes de seguimiento con la gestión adelantada respecto a los movimientos de cartera relacionados con las licencias de cannabis. 
Para el período objeto del reporte, se remitieron los informes correspondientes a los meses mayo, junio y julio. </t>
  </si>
  <si>
    <t xml:space="preserve">Durantel el período objeto del reporte, el riesgo no se ha materializado y el control ha sido efectivo, toda vez que se sigue dando cumpliento al control y la acción establecidos para la mitigación del riesgo. 
Control: Para el período objeto del reporte, se desarrollaron 7 visitas previas, de las cuales se generó el acta de visita para posteriormente ser cargadas en el repositorio de la Subdirección previo a la revisión del líder del área técnica. 
Acción plan de tratamiento: Se cuenta con tres puntos de control al momento de realizar la asignación de las visitas previas para el otorgamiento de una licencia:
Primer control: Es llevado a cabo por el profesional encargado de la centralización de las visitas, recibe las visitas por asignar desde dos fuentes de información: i. a través del MICC y ii. lo reportado por el grupo de licenciamiento. 
Segundo control: Se envia la programación al líder del grupo técnico quien es el encargado de validar la información en relación a la revisión técnica. Una vez revisado por el líder, es enviado el plan de visitas al coordinador. 
Tercer control: Revisión y aprobación por parte del coordinador del grupo. 
Se entrega como evidencia una muestra de las visitas realizadas y la trazabilidad en el sistema MICC que refleja que el técnico que realiza la visita es diferente al que realiza la validación técnica del trámite. </t>
  </si>
  <si>
    <t xml:space="preserve">
Trazabilidad dentro de la plataforma MICC </t>
  </si>
  <si>
    <t xml:space="preserve">Para el período objeto del reporte, el control ha sido efectivo y el riesgo no se ha materializado. 
Control:  El 02 de agosto, se realizó la implementación en el Sistema de Integrado de Gestión del MJD de los formatos F-CR-11-10 denominado "Acuerdo de confidencialidad para contratistas del MJD para el uso del MICC" y F-CR-11-11 denominado "Acuerdo de confidencialidad para acceso al Mecanismo De Información Para El Control Del Cannabis – MICC otras entidades" asociados al procedimiento P-CR-11. Estos formatos tienen por objetivo salvaguardar la información que reposa en el MICC y como requisito deberán ser diligenciados cada vez que se va a otorgar acceso al MICC a un usuario nuevo. 
Lo anterior, nos permite reforzar los controles, disminuyendo las probabilidades de materialización del riesgo. 
Para el período objeto del reporte, se activaron los siguientes usuarios: 
*Usuarios internos (contratistas del MJD): se otorgaron 8 accesos al MICC previo la realización de la solicitud vía correo electrónico adjuntando la copía del contrato. 
*Usuarios externos: Se activaron 25 usuarios pertenecientes a funcionarios del FNE y 3 del INVIMA.
Acción del plan de tratamiento: 
Durante el segundo cuatrimestre, se realiza la validación de los usuarios activos e inactivos en el MICC. Lo anterior, con el proposito de confirmar que solo las personas autorizadas o que cuentan con un contrato de prestación de servicios se encuentren activos y con los roles de acuerdo al perfil profesional. </t>
  </si>
  <si>
    <t xml:space="preserve">
Correos electrónicos del revisor solicitando las correcciones a realizar antes de la expedición del CCITE</t>
  </si>
  <si>
    <t>Durante el segundo cuatrimestre de la vigencia 2024, el riesgo no se ha materializado y su control fue efectivo.
Control: Se realizó la activación de dos (2) usuarios en SICOQ que se incorporaron al grupo de Sustancias Químicas de la Subdirección conforme a la solicitud realizada por los mismos una vez celebraron el contrato, lo anterior, con el objetivo que tengan acceso al aplicativo y poder gestionar cada uno de los tràmite que son asignado a cada profesional.
Acción del plan de tratamiento: Durante el segundo cuatrimestre, se lleva a cabo la validación de los usuarios activos e inactivos en el sistema de información SICOQ. El objetivo de este proceso es verificar que únicamente los profesionales (contratistas y/o de planta) que estén laborando para la SCFSQE durante la vigencia del periodo estén activos en el sistema. Esta medida busca mitigar el riesgo asociado a la gestión de usuarios en el sistema.</t>
  </si>
  <si>
    <t xml:space="preserve">Durante la vigencia del II Cuatrimestre de 2024, el riesgo no se ha materializado y el control ha sido efectivo mitigando el riesgo.
Control: 
Los profesionales de la Subdirección de Control y Fiscalización de Sustancias Químicas y Estupefacientes, del Grupo Control de Sustancias Químicas, llevaron a cabo la validación jurídica y técnica de la solicitud conforme al marco normativo vigente. Se realizaron requerimientos a través de SICOQ a los solicitantes que no cumplieron con los requisitos iniciales.
Tras un estudio integral de los trámites asignados para la expedición del Certificado de Carencia de Informes por Tráfico de Estupefacientes (CCITE), se identificaron errores en la revisión inicial del trámite. En consecuencia, se procedió a devolver el trámite para que sea asignado al abogado encargado. Este abogado deberá subsanar las deficiencias, con el fin de impulsar la solicitud y mejorar los procedimientos administrativos.
Acción del plan de tratamiento:
Con la finalidad de mitigar la materialización del riesgo, se establece un único canal de atención institucional. Esta medida busca evitar posibles prebendas hacia los ingenieros químicos, así como al personal jurídico y técnico, garantizando así la equidad y la transparencia en el proceso.
</t>
  </si>
  <si>
    <t>Informe mensual de movimientos financiero SCFSQyE</t>
  </si>
  <si>
    <t xml:space="preserve">Control: El riesgo no se ha materializado y el control ha sido efectivo. Actualmente, el módulo financiero se encuentra en fase de estabilización. Las actualizaciones de los soportes de pago, proporcionados por las sociedades licenciatarias a través del SGDEA o del aplicativo MICC, son verificadas y corroboradas con los movimientos bancarios reflejados en el extracto de la cuenta de cannabis. Posteriormente, la información actualizada se carga en el aplicativo MICC en el modulo de novedades financieras.
Acción del plan de tratamiento: Durante el periodo de reporte, el Grupo Financiero de la SCFSQyE envió al Grupo de Sistemas las inconsistencias detectadas en el módulo de novedades financieras del aplicativo MICC.
</t>
  </si>
  <si>
    <t>El riesgo no se ha materializado y el control ha sido efectivo. El Grupo Financiero, verificó el estado de cuenta de las sociedades licenciatarias pendientes del pago de sus obligaciones por concepto de las cuotas de seguimiento y control, así mismo, se realizaron los respectivos requerimientos de cobro preventivo, a través del aplicativo SGDEA.
Control: Para el segundo cuatrimestre, el Grupo Financiero realizó, verificó y envió 100 requerimientos de cobro a las sociedades licenciatarias pendientes por el pago de sus obligaciones y posteriormente ser firmados por la Subdirectora.
Se adjunta muestra aleatoria y excel con la relación de los radicados. 
Acción: Durante el período objeto del reporte, el grupo financiero realizó el traslado de 282 expedientes al equipo jurídico del grupo cannabis para dar inicio al proceso sancionatorio.</t>
  </si>
  <si>
    <t>1. La persona designada por el Coordinador del GGFC socializará al menos una vez al año o cuando cambie el responsable del manejo de alguna de las cajas menores, los requisitos que se deben tener en cuenta para el manejo de las cajas menores, lo que incluye el procedimiento P-GF-19. Si no se aplica este control, el desconocimiento de los requisitos para el trámite de pagos, puede conducir a errores en el manejo de las cajas menores.
Evidencia:
1. Soportes de la socialización.</t>
  </si>
  <si>
    <t>Realizar arqueo de caja menor, identificando los recursos con manejo indebido, realizando seguimiento a los informes de arqueo de caja menor, con el fin de adoptar correctivos en caso de identificarse inconsistencias por el inadecuado manejo y control de las cajas menores.
Evidencia informes de arqueo de cajas menores.</t>
  </si>
  <si>
    <t>Cuatrimestral</t>
  </si>
  <si>
    <t>Lider contabiilidad</t>
  </si>
  <si>
    <t>Informes de arqueo de caja menor</t>
  </si>
  <si>
    <t>*Desde el GGFC, se realizaron dos arqueos de Caja menor, en el mes de junio y agosto de 2024.
Por lo anterior, para el 2do. cuatrimestre 2024, no se evidencia la materialización de este riesgo. Se adjuntan las evidencias correspondientes.</t>
  </si>
  <si>
    <t>*Se realiza arqueo de Caja menor en el mes de marzo de 2024.</t>
  </si>
  <si>
    <t>Se continua con la respectiva aplicación de los controles establecidos para el proceso, a través de la revisión, registro, radicación y seguimiento de las cuentas de cobro (PN / PJ), en la planilla-control F-GF-24-01, evidenciando la trazabilidad de cada una de las cuentas radicadas ante el GGFC - Central de Cuentas, de igual forma, en los casos que aplica, se realizan las respectivas devoluciones a las dependencias, debido al incumplimento de los lineamientos establecidos.
Con respecto al procedimiento "P-GF-25 v1. Tramite de Cuentas y Facturas, y del Formato F-GF-25-02 v.1 Anexo 1. Requisitos y Documentos Soporte para el Trámite y Pago de Obligaciones", el pasado 16 de agosto de 2024, se remitió la versión final de los documentos, para la última revisión por parte de la Secretaría General. Una vez se cuente con el procedimiento aprobado, se procederá con el envío de la circular a todas las dependencias, reiterando el cumplimiento de los requisitos para el trámite y pago de cuentas.
De igual forma, se continua con la revisión de las cuentas por parte del área de Tesorería, así como la devolución a Central de Cuentas, de aquellas liquidaciones y/o obligaciones que presentaron inconsistencias y/o errores.
Por lo anterior, para el 2do. cuatrimestre 2024, no se evidencia la materialización de este riesgo. Se adjuntan las evidencias correspondientes.</t>
  </si>
  <si>
    <t>Para el 2do. cuatrimestre de 2024 no se materializó el riesgo, teniendo en cuenta que, se realizó el respectivo seguimiento y control al PAC solicitado por parte de las dependencias, efectuando la respectiva asignacion a las mismas. Se adjunta consolidado de PAC.</t>
  </si>
  <si>
    <t>Desde el GGFC - Central de Cuentas, se continua con la respectiva aplicación de los controles establecidos, realizando el adecuado registro y radicación de las cuentas de cobro en la planilla - control F-GF-24-01, en la cual se lleva la trazabilidad de las cuentas, en el orden de llegada; de igual forma se registran las devoluciones realizadas por incumplimento a los lineamientos establecidos (en el caso de no dar cumplimiento a los requisitos mínimos requeridos, producto de la revisión de las cuentas); por lo anterior, para el 2do. trimestre 2024, no se evidencia la materialización de este riesgo.
Se adjuntan las evidencias correspondientes.</t>
  </si>
  <si>
    <t xml:space="preserve">El Grupo de Gestión Humana se encuentra en proceso de ajuste de los riesgos, para lo cual, solicitará mesas técnicas con la OAP y la Secretaria General para revisión y posterior aprobación. El presente reporte se genera a partir de los riesgos formalizados a la fecha.
Los controles y actividades del trátamiento al riesgo son efectivos, por lo tanto no se ha materializado el riesgo. Durante el segundo cuatrimestre del año se continuo con la implementación del formato F-TH-01-08 en el cual se registra el cumplimiento de los requisitos mínimos de las personas que se van a vincular en la entidad. Dentro de los documentos validados se encuentra: Certificados de antecedentes fiscales, disciplinarios y judiciales y si es el caso el certificado de antecedente de la profesión. 
Por otra parte para las vinculaciones de LNR se diligencia el formato "Cálculo de tiempo de experiencia laboral"  y se genera certificación de cumplimiento de reqisitos por parte de la coordinación del Grupo de Gestión Humana. 
Evidencias: 
Se incluye diligenciamiento de formatos cumplimiento de requisitos y certificados de algunas personas vinculadas en el segundo cuatrimestre (escogencia aleatorea) </t>
  </si>
  <si>
    <t xml:space="preserve">El Grupo de Gestión Humana se encuentra en proceso de ajuste de los riesgos, para lo cual, solicitará mesas técnicas con la OAP y la Secretaria General para revisión y posterior aprobación. El presente reporte se genera a partir de los riesgos formalizados a la fecha.
Los controles y actividades del trátamiento al riesgo son efectivos, por lo tanto no se ha materializado el riesgo. Durante el segundo cuatrimestre del año se realizaron las siguientes actividades con el fin de evitar la materialización del riesgo:
1. Suscripción del contrato 718 de 2024, el cual inició 18 de julio y cuya fecha de terminación es el 30 de noviembre de 2024. Teniendo en cuenta el PIC 2024 y la encuesta necesidades de la entidad se dio inició a la realización de 1 curso y 5 diplomados el 23 de agosto de 2024, los cuales se desarrollaran por la Agencia Internacional consultora. Se generó correo de inscripción a los diplomados y curso, con el fin de cumplir con los cupos por curso o diplomado. 
2. Suscripción del contrato 627 de 2024 el cual inició el 29 de abril y cuya fecha de terminación es el 31 de diciembre de 2024. Teniendo en cuenta el Plan de Bienestar de Bienestar Social 2024 y la encuesta necesidades de la entidad  se están ejecutando las actividades previstas.
</t>
  </si>
  <si>
    <t>El riesgo no se ha materializado, y los controles relacionados con el combustible se han ajustado eficazmente a las operaciones del parque automotor. La revisión de las planillas de recorridos, la información del chequeo preoperacional de acuerdo a los campos diligenciados con su debido registro y las copias de los suministros de combustible coinciden con las necesidades y autorizaciones de los movimientos de la entidad.
En cuanto a los mantenimientos, se continúa registrando en las matrices correspondientes, lo que ha permitido mantener la trazabilidad y asegurar que no se dupliquen intervenciones. Los mantenimientos se realizan conforme a los trayectos autorizados y dentro de los rangos acordados de facturación y ejecución.</t>
  </si>
  <si>
    <t>Para el segundo cuatrimestre no se evidencia materialización del riesgo, por lo cual se presenta la politica en su versión actual, la cual sera proyectada su actualización para el periodo 2024. de igual forma se adjuntan las piezas informativas las cuales hacen un llamado a la aplicación de la politica de seguridad.</t>
  </si>
  <si>
    <t>En el segundo cuatrimestre de 2024,  se implementaron a cabalidad los controles definidos y el plan de tratamiento para aportar a la ejecución de los controles. Se ejecutó el plan anual de auditorías 2024 teniendo en cuenta los linemiamientos para cada auditoria y las recomendaciones del jefe de la OCI. Los informes de auditoría se enviaron a cada líder del proceso auditado, de acuerdo con el procedimiento establecido y publicado en la página web de la entidad. Las evidencias se encuentran en el One Drive y publicadas en la pág web de la entidad. Se envían los soportes que evidencian la ejecución de la actividad del plan de tratamiento, adelantando las reuniones de grupo primario de la OCI donde se trabajó con todo el equipo los temas relacionados con la gestión del área y el seguimiento y control de la implementación del Plan Anual de Auditoria Interna 2024. Con respecto al último control, no se ha detectado presión para la elaboración de los informes y, por tanto no se cuentan con denuncias al respecto.  
https://minjusticiagovco-my.sharepoint.com/:f:/r/personal/mauricio_ordonez_minjusticia_gov_co/Documents/Evidencias%20riesgos/OCI/2024/Segundo%20Cuatrimestre/Riesgos%20de%20corrupci%C3%B3n?csf=1&amp;web=1&amp;e=UGVQaS</t>
  </si>
  <si>
    <t>SEGUIMIENTO II CUATRIMESTRE DE 2024
El riesgo no se ha materializado, el control ha sido efectivo
En el primer cuatrimestre de 2024 se aplicó el control establecido para evitar o prevenir la materialización del riesgo. Así las cosas, se realizaron  dos (2) capacitaciones  o socializaciones donde se fortalecieron a los integrantes del grupo de conciliación extrajudicial en derecho, arbitraje y amigable composición (CEDAAC) en el procedimiento vigente de visitas de inspección, control y vigilancia y sobre las generalidades del aplicativo SICAAC y las funcionalidades relacionadas con las funciones de inspección, control y vigilancia, con el fin de reforzar la consulta y uso del sistema de información en el ejercicio de estas funciones. Con los asistentes, se compartieron las actas, la presentación y adicionalmente un instructivo para fortalecer la aplicación de los instrumentos en las visitas de inspección.
Evidencias suministradas: Soporte de las  capacitaciones realizadas e instructivo para diligenciar los instrumentos de visitas de inspección, control y vigilancia
Link de evidencias: https://minjusticiagovco-my.sharepoint.com/:f:/g/personal/mauricio_ordonez_minjusticia_gov_co/Et5HU01NzdZJsDhZqXRIQCQBAqfqYn6lTSQH9PCs2nq3PA?e=fiRAwr</t>
  </si>
  <si>
    <t>SEGUIMIENTO II CUATRIMESTRE DE 2024
El riesgo no se ha materializado, el control ha sido efectivo
En el primer cuatrimestre de 2024 se aplicó el control establecido para evitar o prevenir la materialización del riesgo. Así las cosas, se implementó una estrategia consistente en la realización de reuniones independientes con el grupo de conciliación extrajudicial en derecho, arbitraje y amigable composición (CEDAAC) con el fin de identificar situaciones de mejora en el instrumento de verificación que se aplica en las visitas de inspección, control y vigilancia que se llevan a cabo sobre los centros de conciliación, arbitraje y amigable composición. En total, se realizaron  diez (10) sesiones de trabajo con los integrantes del grupo CEDAAC que realizan visitas de inspección a los centros de conciliación, arbitraje y amigable composición, donde se recopilaron las principales debilidades y sugerencias de mejora que se han evidenciado sobre el formato de verificación de obligaciones legales y reglamentarias de requisitos generales de prestación del servicio,  en cada una de las categorías, preguntas y puntajes establecidos. Asimismo, se recibieron propuestas de incorporación de nuevas elementos en el instumento.
Con estos insumos, se fortalecerá el formato de verificación y  los lineamientos del Programa Nacional de Conciliación Extrajudicial en Derecho, Arbitraje y Amigable considerando la experiencia que cada profesional ha tenido en el ejercicio de las funciones de inspección, control y vigilancia y acorde con la normativa vigente.
Evidencias: Acta de las reuniones, soporte de envío del instrumento de verificación  con las observaciones generadas por cada profesional del grupo CEDAAC
Link de evidencias: https://minjusticiagovco-my.sharepoint.com/:f:/g/personal/mauricio_ordonez_minjusticia_gov_co/Ekjiugpv8RlCg6z4gwfnx4EByrbbV6aKugJXxrMpuVh1cg?e=vLbwI9</t>
  </si>
  <si>
    <t>Deficiencias en el proceso de revisión de la decisión de la sanción</t>
  </si>
  <si>
    <t>El riesgo a la fecha no se ha materializado, el control y acción de tratamiento se ejecutaron conforme a lo planificado:
Control: se recibieron las solicitudes de préstamo de documentos en tiempo real por el formulario Forms y se verificó su viabilidad. Se realizaron 274 préstamos para el segundo cuatrimestre del año 2024, sin novedad.
Acción de tratamiento: Se adjuntan las planillas de entrega de documentos físicos en los casos en los que se confirmó el acceso a la información.</t>
  </si>
  <si>
    <t>La dependencia posee una definición de riesgo clara y precisa, lo que facilita la elaboración e implementación de los controles correspondientes.
Sin embargo, persiste la deficiencia en la definición del plan de tratamiento, en línea con la opción de manejo establecida. Es importante recordar que el objetivo del plan de tratamiento es fortalecer los controles existentes para prevenir la materialización del riesgo.
Se ha registrado la solicitud de traslado del riesgo actual del GGFC al GGA, responsables de la gestión de la caja menor. Se espera que en el próximo seguimiento se complete el traslado del riesgo al GGA y se implementen los controles necesarios para mitigar su materialización.</t>
  </si>
  <si>
    <t>Se insiste en la necesidad de definir el impacto del riesgo, entendido como las consecuencias que la materialización del mismo podría acarrear para la organización. Además, se recomienda mejorar la redacción del riesgo. Es importante destacar que contar con una definición clara del riesgo permite establecer controles efectivos.
La OCI reitera la importancia de incluir un control "que esté orientado a la verificación de la actualización y manejo de la información clasificada o reservada, para detectar posibles amenazas para la entidad".
Para el próximo seguimiento, se insta a la dependencia a incluir evidencias de las acciones requeridas según los controles establecidos, ya que existen evidencias de la vigencia anterior.
Asimismo, se sugiere que la dependencia revise la pertinencia de este riesgo, puesto que no cumple con las especificaciones de los riesgos de corrupción. Además, no se evidencia en la descripción del riesgo ninguna desviación de recursos públicos de la entidad, lo cual es característico de un riesgo de corrupción.</t>
  </si>
  <si>
    <t>Se observa que la dependencia no ha seguido las recomendaciones de la OCI respecto a ampliar la descripción del avance. Sería conveniente incluir detalles sobre la cantidad de solicitudes recibidas y señalar si se han registrado novedades durante el período de seguimiento.
Por otra parte, se sugiere que la dependencia revise la pertinencia de este riesgo, puesto que no cumple con las especificaciones de los riesgos de corrupción. Además, no se evidencia en la descripción del riesgo ninguna desviación de recursos públicos de la entidad, lo cual es característico de un riesgo de corrupción.</t>
  </si>
  <si>
    <t>Se observa que la dependencia ha actualizado la definición del riesgo. Además, se nota que continúan implementando los controles y las acciones del plan de tratamiento.</t>
  </si>
  <si>
    <t>La dependencia ha desarrollado una definición y estructura de riesgo adecuadas. Se ha observado una actualización adecuada en la definición de las causas, lo que permite establecer controles efectivos para mitigar el riesgo.
Se sugiere revisar la tipología del control No. 3, ya que su descripción parece referirse a un control de tipo detectivo, dado que se lleva a cabo durante la ejecución de la actividad. Además, se recomienda validar el diligenciamiento de la columna AP.
En cuanto a las acciones del plan de tratamiento, se ha observado que la dependencia ha atendido las recomendaciones de la OCI, ya que estas acciones han sido reformuladas para cumplir con su objetivo de fortalecer los controles y ayudar a mitigar el riesgo.
Respecto a la acción de tratamiento No. 1, se sugiere incluir una columna en la matriz de visitas previas por programación para evidenciar qué ingeniero revisó el expediente. Esto permitirá verificar que se asigna una persona diferente para realizar la visita en cada ocasión.
La dependencia ha elaborado una descripción de monitoreo adecuada, donde se evidencia la ejecución de los controles y las acciones del plan de tratamiento de manera idónea.</t>
  </si>
  <si>
    <r>
      <rPr>
        <sz val="10"/>
        <rFont val="Arial"/>
        <family val="2"/>
      </rPr>
      <t xml:space="preserve">
Se realizará una revisión por parte del grupo de sistemas para validar la desactivación de permisos y roles de los funcionarios o contratistas que se desvinculen.</t>
    </r>
    <r>
      <rPr>
        <strike/>
        <sz val="10"/>
        <rFont val="Arial"/>
        <family val="2"/>
      </rPr>
      <t xml:space="preserve">
</t>
    </r>
  </si>
  <si>
    <t>La dependencia ha establecido una definición y estructura de riesgo adecuadas. Se ha actualizado de manera apropiada la definición de las causas, lo que facilita la implementación de controles efectivos para mitigar el riesgo.
Se sugiere revisar la tipología del control No. 2, ya que su descripción parece indicar que se trata de un control de tipo detectivo al realizarse durante la ejecución de la actividad. Además, se recomienda validar el diligenciamiento de la columna AP.
La dependencia ha seguido las recomendaciones de la OCI con respecto a las acciones del plan de tratamiento, las cuales han sido reformuladas para cumplir su objetivo de fortalecer los controles y contribuir a la mitigación del riesgo.
La OCI recomienda revisar el diligenciamiento de la columna BQ de la primera acción del plan de tratamiento.
El monitoreo realizado por la dependencia presenta una descripción adecuada y proporciona evidencia de la ejecución de los controles y acciones del plan de tratamiento de manera apropiada.</t>
  </si>
  <si>
    <r>
      <t xml:space="preserve">
</t>
    </r>
    <r>
      <rPr>
        <sz val="10"/>
        <rFont val="Arial"/>
        <family val="2"/>
      </rPr>
      <t xml:space="preserve">
Se realizará una revisión por parte del grupo de sistemas para validar la desactivación de permisos y roles de los funcionarios o contratistas que se desvinculen.</t>
    </r>
  </si>
  <si>
    <t>La dependencia ha mantenido una implementación y fortalecimiento apropiados de los controles y del plan de tratamiento. Asimismo, han desarrollado un monitoreo detallado que permite evidenciar la efectividad con la que se están llevando a cabo los controles.</t>
  </si>
  <si>
    <t>La gestión del riesgo por parte de la dependencia ha sido destacable, mostrando una implementación adecuada de los controles.
Se observa que la entidad responsable de la revisión de los registros ha estado actualizando los formatos para mejorar la efectividad de los controles.
La OCI recomienda que el GGA solicite a la OAP la reasignación de este riesgo al GAIT, ya que este último es responsable del mantenimiento, vigilancia y administración de los vehículos del Ministerio. Se espera que para el próximo seguimiento, el GGA pueda realizar esta gestión de reasignación del riesgo.</t>
  </si>
  <si>
    <t>La dependencia ha seguido las recomendaciones de la OCI; no obstante, se sugiere verificar el diligenciamiento de la columna AH, ya que las causas no están relacionadas con las indicadas en la columna E. Cada control debe estar asociado a una causa previamente identificada. Además, se recomienda revisar la posibilidad de racionalizar las causas.
Para el próximo seguimiento, se sugiere al GGC proporcionar evidencias de los controles, como listas de chequeo, correos de devolución, etc., para corroborar su implementación. Estas evidencias pueden ser una muestra de todos los procesos de contratación llevados a cabo durante el periodo.</t>
  </si>
  <si>
    <t>La dependencia ha gestionado su riesgo de manera apropiada.
La OCI sugiere que la dependencia revise el diligenciamiento de la columna E, ya que hay una duplicación de causas y, además, valide la relevancia de dichas causas. Asimismo, se recomienda verificar el diligenciamiento de la columna AH, pues no concuerda con lo que se debería registrar y tampoco coincide con lo indicado en la columna E.</t>
  </si>
  <si>
    <t>Se observa que el GGH continúa implementando los controles de manera efectiva para prevenir la materialización del riesgo.
No obstante, se destaca nuevamente la deficiencia en la formulación de las acciones de tratamiento, ya que estas consisten en actividades que forman parte de la implementación del control.</t>
  </si>
  <si>
    <t xml:space="preserve">Para la evaluación actual, la OCI reitera la necesidad de definir claramente el riesgo para tener una comprensión precisa de su impacto y establecer controles que contribuyan a mitigar su materialización, tal como se mencionó en el seguimiento anterior.
De igual manera, la OCI reitera las mismas observaciones del seguimiento anterior, ya que no se evidencian cambios ni mejoras en relación con las observaciones realizadas el cuatrimestre pasado.
Además, se recomienda a la dependencia mejorar la descripción del monitoreo para que se pueda evidenciar la implementación de los controles y cómo estos contribuyen a la efectividad y prevención de la materialización del riesgo.
</t>
  </si>
  <si>
    <t>Con base en las evidencias proporcionadas por la dependencia, se confirma que se ha llevado a cabo la implementación de los controles y el plan de tratamiento. Por lo tanto, se puede concluir que los controles han sido efectivos para prevenir la materialización del riesgo.</t>
  </si>
  <si>
    <t xml:space="preserve">En la evaluación del segundo cuatrimestre, se evidencia que la dependencia continúa cumpliendo con la implementación de los controles. Las evidencias aportadas confirman lo descrito en el monitoreo.
Se recomienda que la dependencia revise las observaciones realizadas por la OCI en el seguimiento anterior para corregirlas y garantizar que todo esté en orden en el próximo seguimiento.
</t>
  </si>
  <si>
    <r>
      <rPr>
        <sz val="10"/>
        <rFont val="Arial"/>
        <family val="2"/>
      </rPr>
      <t>Se puede evidenciar que la dependencia ha continuado implementando sus controles de manera adecuada para evitar la materialización del riesgo; además, se destaca la descripción del monitoreo y las evidencias aportadas, lo cual coincide con lo definido en el control.
Por otro lado, se sugiere a la dependencia que, en caso de necesitar la implementación del plan de tratamiento, proporcione las evidencias correspondientes para la verificación de su ejecución.
Por último, se recomienda que la dependencia valide la duplicidad de los controles, ya que en este seguimiento se encontró una duplicidad en el control correspondiente a la causa N°. 3.</t>
    </r>
    <r>
      <rPr>
        <sz val="10"/>
        <color rgb="FFFF0000"/>
        <rFont val="Arial"/>
        <family val="2"/>
      </rPr>
      <t xml:space="preserve">
</t>
    </r>
  </si>
  <si>
    <t xml:space="preserve">En el presente seguimiento, sigue destacándose la implementación de los controles que realiza la dependencia para mitigar la materialización del riesgo.
La OCI recomienda revisar el diligenciamiento de la matriz para el próximo seguimiento, ya que en la columna AG se identifican 3 causas, mientras que en la columna E solo se menciona 1. Ambas columnas deberían coincidir. Se sugiere revisar estas columnas y, en caso de que las causas identificadas sean 3, la dependencia deberá diseñar un control para cada una de ellas que contribuya a la mitigación del riesgo.
</t>
  </si>
  <si>
    <t xml:space="preserve">Para la OCI, es esencial que la dependencia proporcione las evidencias descritas en los controles para poder verificar su implementación. Se recomienda que estas evidencias incluyan una muestra de todas las actividades realizadas durante el cuatrimestre, con el fin de evaluar la efectividad de los controles y confirmar si realmente contribuyen a la mitigación del riesgo o no.
Asimismo, se reitera la recomendación del seguimiento anterior respecto al diligenciamiento de la matriz, para asegurar que los controles definidos aborden efectivamente las causas identificadas.
</t>
  </si>
  <si>
    <t xml:space="preserve">El presente seguimiento, se basa en las evidencias proporcionadas. Se espera que, para el próximo seguimiento, la dependencia actualice el riesgo y considere las mejoras sugeridas por la OCI en sus evaluaciones anteriores.
Por otra parte, se evidencia que la dependencia está implementando los controles; sin embargo, se sugiere que los documentos presentados como evidencia estén completamente diligenciados, ya que se encontraron algunos formatos (F-TH-01-08) incompletos, como el de la señora Lorena Barreto y el de la señora Elvia Daza, que no se encuentra totalmente diligenciados.
</t>
  </si>
  <si>
    <t>Se nota que el GGH no ha tomado en cuenta las recomendaciones de la OCI que se han estado dando desde la vigencia anterior con respecto a la definición del riesgo, la identificación de las causas y el plan de tratamiento. Esto resulta en una ineficiencia en el diseño e implementación de controles. La OCI sugiere que el GGH revise y valide la relevancia del riesgo para proceder a reestructurarlo, asegurando que cumpla con las características de un riesgo de corrupción.</t>
  </si>
  <si>
    <t>Se detecta una deficiencia en la definición y estructuración del riesgo, lo que resulta en controles poco efectivos. Además, no se ha identificado adecuadamente las causas que podrían llevar a la materialización del riesgo.
La OCI recomienda que el GGH solicite a la OAP la reasignación de este riesgo a la OCDI, ya que esta dependencia es responsable del control disciplinario y la aplicación de la normativa disciplinaria del personal del Ministerio. Se espera que en el próximo seguimiento el GGH pueda realizar esta gestión de reasignación.</t>
  </si>
  <si>
    <t>Se observa que la dependencia ha realizado una labor meticulosa en la implementación de controles para prevenir la materialización del riesgo.
Se sugiere que la dependencia revise la definición del riesgo, especialmente en lo que concierne al impacto, es decir, las posibles consecuencias que la materialización del riesgo podría acarrear para la organización.</t>
  </si>
  <si>
    <r>
      <t xml:space="preserve">Se continua con la respectiva aplicación de los controles establecidos para el proceso, a través de la revisión, registro, radicación y seguimiento de las cuentas de cobro (PN / PJ), en la planilla-control F-GF-24-01, evidenciando la trazabilidad de cada una de las cuentas radicadas ante el GGFC - Central de Cuentas; de igual forma, en los casos que aplica, se realizan las respectivas devoluciones a las dependencias, debido al incumplimento de los lineamientos establecidos.
</t>
    </r>
    <r>
      <rPr>
        <i/>
        <sz val="10"/>
        <rFont val="Arial"/>
        <family val="2"/>
      </rPr>
      <t xml:space="preserve">*Se realizó el levantamiento correspondiente al procedimiento "P-GF-25 v1. Tramite de Cuentas y Facturas, y del Formato F-GF-25-02 v.1 Anexo 1. Requisitos y Documentos Soporte para el Trámite y Pago de Obligaciones", los cuales se encuentran en proceso de revisión por parte de la Secretaría General. Una vez se cuente con el procedimiento aprobado, se procederá con el envío de la circular a todas las dependencias, reiterando el cumplimiento de los requisitos para el trámite y pago de cuentas. 
</t>
    </r>
    <r>
      <rPr>
        <sz val="10"/>
        <rFont val="Arial"/>
        <family val="2"/>
      </rPr>
      <t xml:space="preserve">Por lo anterior, para el 1er. cuatrimestre 2024, no se evidencia la materialización de este riesgo. Se adjuntan las evidencias correspondientes.
</t>
    </r>
    <r>
      <rPr>
        <i/>
        <sz val="10"/>
        <rFont val="Arial"/>
        <family val="2"/>
      </rPr>
      <t>*En el mes de septiembre de 2023, se realiza revisión y ajuste al mapa de riesgos, en mesa de trabajo conjunta con la OAP y los líderes de proceso del GGFC, en atención a las observaciones realizadas por parte de la OCI, de igual forma para este seguimiento se realiza revisión y ajuste.</t>
    </r>
  </si>
  <si>
    <r>
      <t xml:space="preserve">Se continua con la respectiva aplicación de los controles establecidos para el proceso, mediante la revisión de las cuentas por parte del área de Tesorería, antes de proceder con el pago, así como la devolución a Central de Cuentas, de aquellas liquidaciones y/o obligaciones que presentaron inconsistencias y/o errores, para el respectivo ajuste.
</t>
    </r>
    <r>
      <rPr>
        <i/>
        <sz val="10"/>
        <rFont val="Arial"/>
        <family val="2"/>
      </rPr>
      <t>*Una vez se cuente con el procedimiento "P-GF-25 v1. Trámite de Cuentas y Facturas, y el Formato F-GF-25-02 v.1 Anexo 1. Requisitos y Documentos Soporte para el Trámite y Pago de Obligaciones", debidamente aprobado, se procederá con el envío de la circular a todas las dependencias, reiterando el cumplimiento de los requisitos para el trámite y pago de cuentas.</t>
    </r>
    <r>
      <rPr>
        <sz val="10"/>
        <rFont val="Arial"/>
        <family val="2"/>
      </rPr>
      <t xml:space="preserve"> 
Por lo anterior, para el 1er. cuatrimestre 2024, no se evidencia la materialización de este riesgo. Se adjuntan las evidencias correspondientes.
</t>
    </r>
    <r>
      <rPr>
        <i/>
        <sz val="10"/>
        <rFont val="Arial"/>
        <family val="2"/>
      </rPr>
      <t>*En el mes de septiembre de 2023, se realiza revisión y ajuste al mapa de riesgos, en mesa de trabajo conjunta con la OAP y los líderes de proceso del GGFC, en atención a las observaciones realizadas por parte de la OCI, de igual forma para este seguimiento se realiza revisión y ajuste.</t>
    </r>
  </si>
  <si>
    <r>
      <t xml:space="preserve">Para el 1er. cuatrimestre de 2024 no se materializó el riesgo, teniendo en cuenta que, se realizó el respectivo seguimiento y control al PAC solicitado por parte de las dependencias, efectuando la respectiva asignacion a las mismas. Se adjunta consolidado de PAC.
</t>
    </r>
    <r>
      <rPr>
        <i/>
        <sz val="10"/>
        <rFont val="Arial"/>
        <family val="2"/>
      </rPr>
      <t>*En el mes de septiembre de 2023, se realiza revisión y ajuste al mapa de riesgos, en mesa de trabajo conjunta con la OAP y los líderes de proceso del GGFC, en atención a las observaciones realizadas por parte de la OCI, de igual forma para este seguimiento se realiza revisión y ajuste.</t>
    </r>
  </si>
  <si>
    <r>
      <t xml:space="preserve">Dede el GGFC - Central de Cuentas, se continua con la respectiva aplicación de los controles establecidos, realizando el adecuado registro y radicación de las cuentas de cobro en la planilla - control F-GF-24-01, en la cual se lleva la trazabilidad de las cuentas, en el orden de llegada; de igual forma se registran las devoluciones realizadas por incumplimento a los lineamientos establecidos (en el caso de no dar cumplimiento a los requisitos mínimos requeridos, producto de la revisión de las cuentas); por lo anterior, para el 1er. trimestre 2024, no se evidencia la materialización de este riesgo. Se adjuntan las evidencias correspondientes.
</t>
    </r>
    <r>
      <rPr>
        <i/>
        <sz val="10"/>
        <rFont val="Arial"/>
        <family val="2"/>
      </rPr>
      <t>*En el mes de septiembre de 2023, se realiza revisión y ajuste al mapa de riesgos, en mesa de trabajo conjunta con la OAP y los líderes de proceso del GGFC, en atención a las observaciones realizadas por parte de la OCI, de igual forma para este seguimiento se realiza revisión y ajuste.</t>
    </r>
  </si>
  <si>
    <t>La dependencia exhibe una sólida gestión del riesgo, respondiendo de manera efectiva a las recomendaciones de la OCI en los últimos períodos de evaluación. Se sugiere continuar desarrollando y evaluando de forma constante el entorno del proceso para identificar posibles nuevas causas de riesgo. Además, las acciones en el plan de tratamiento han sido tan efectivas que podrían convertirse en controles.
La OCI recomienda revisar la descripción del impacto en la definición del riesgo, considerando que el impacto se refiere a las consecuencias que la materialización del riesgo podría ocasionar a la organización.</t>
  </si>
  <si>
    <r>
      <t>El riesgo no se ha materializado y el control ha sido efectivo. Lo anterior, teniendo en cuenta que como</t>
    </r>
    <r>
      <rPr>
        <b/>
        <sz val="10"/>
        <color rgb="FF000000"/>
        <rFont val="Arial"/>
        <family val="2"/>
      </rPr>
      <t xml:space="preserve"> control</t>
    </r>
    <r>
      <rPr>
        <sz val="10"/>
        <color rgb="FF000000"/>
        <rFont val="Arial"/>
        <family val="2"/>
      </rPr>
      <t xml:space="preserve"> establecido, los primeros diez (10) días de cada mes, se realiza el informe de cuentas por cobrar y movimiento de los ingresos de la cartera de Cannabis del mes inmediatamente anterior, los cuales se remiten al Grupo de Gestión Financiera y Contable de la SCFSQyE para la elaboración de los cierres contables. Se adjunta informes de cuentas por cobrar y movimientos de la cartera de las licencias otorgadas por la Subdirección, teniendo como base, las actuaciones realizadas desde el año 2017 con corte al 31 de enero, 29 de febrero y 31 de marzo del 2024.
Adicionalmente, como parte de la </t>
    </r>
    <r>
      <rPr>
        <b/>
        <sz val="10"/>
        <color rgb="FF000000"/>
        <rFont val="Arial"/>
        <family val="2"/>
      </rPr>
      <t>acción del plan de tratamiento</t>
    </r>
    <r>
      <rPr>
        <sz val="10"/>
        <color rgb="FF000000"/>
        <rFont val="Arial"/>
        <family val="2"/>
      </rPr>
      <t xml:space="preserve">, se realizó el informe correspondiente al primer trimestre 2024 con el seguimiento con la gestión adelantada respecto a los movimientos de cartera relacionados con las licencias de cannabis. 
</t>
    </r>
  </si>
  <si>
    <r>
      <t xml:space="preserve">Durante el primer cuatrimestre de 2024, el riesgo no se ha materializado y el control ha sido efectivo.
</t>
    </r>
    <r>
      <rPr>
        <b/>
        <sz val="10"/>
        <color rgb="FF000000"/>
        <rFont val="Arial"/>
        <family val="2"/>
      </rPr>
      <t xml:space="preserve">Control: </t>
    </r>
    <r>
      <rPr>
        <sz val="10"/>
        <color rgb="FF000000"/>
        <rFont val="Arial"/>
        <family val="2"/>
      </rPr>
      <t xml:space="preserve">Posterior a la entrega del modulo de novedades financieras por parte del proveedor Pensemos SI en abril de la vigencia 2023 se realizó la puesta en producción del módulo financiero. Seguidamente, se dió inicio a la etapa de estabilización en la cual a la fecha nos encontramos. Así las cosas, hoy en día la actualización de los soportes de pago allegados por las sociedades licenciatarias a través del SGDEA o por el aplicativo MICC, una vez verificados y corroborados con los movimientos bancarios que refleja el extracto bancario de la cuenta de cannabis, se actualiza y carga la información en el aplicativo MICC, adicionalmente se cuenta con una base de datos de seguimiento: https://minjusticiagovco-my.sharepoint.com/:x:/r/personal/luisa_gomez_minjusticia_gov_co/Documents/SUBDIRECCION%20SCFSQyE/00.%20G%20CANNABIS/06.%20EQUIPO%20FINANCIERO/07.%20BASES%20DE%20DATOS/01.%20Seguimiento%20Cuentas%20por%20Cobrar.xlsx?d=w5fe0aae0d0fd437f83440222490e4101&amp;e=4%3a616d11dcd60c4aef833929be7cb69ddb&amp;sharingv2=true&amp;fromShare=true&amp;at=9&amp;CT=1714440319182&amp;OR=OWA-NT-Mail&amp;CID=980ce229-5c8e-7562-d228-07b1e08741e7
Como parte de la </t>
    </r>
    <r>
      <rPr>
        <b/>
        <sz val="10"/>
        <color rgb="FF000000"/>
        <rFont val="Arial"/>
        <family val="2"/>
      </rPr>
      <t>acción del plan de tratamiento,</t>
    </r>
    <r>
      <rPr>
        <sz val="10"/>
        <color rgb="FF000000"/>
        <rFont val="Arial"/>
        <family val="2"/>
      </rPr>
      <t xml:space="preserve"> en el primer cuatrimestre se envió al Grupo de Sistemas de las inconsistencias presentendas en el modulo de novedades financieras en el aplicativo MICC, los cuales fueron corregidos todos. </t>
    </r>
  </si>
  <si>
    <r>
      <t xml:space="preserve">Durante la vigencia del I Cuatrimestre 2024, el riesgo no se ha materializado y el control ha sido efectivo.
</t>
    </r>
    <r>
      <rPr>
        <b/>
        <sz val="10"/>
        <color rgb="FF000000"/>
        <rFont val="Arial"/>
        <family val="2"/>
      </rPr>
      <t>Control:</t>
    </r>
    <r>
      <rPr>
        <sz val="10"/>
        <color rgb="FF000000"/>
        <rFont val="Arial"/>
        <family val="2"/>
      </rPr>
      <t xml:space="preserve"> El Grupo Financiero, verificó el estado de cuenta de las sociedades licenciatarias pendientes del pago de sus obligaciones por concepto de las cuotas de seguimiento y control, así mismo, se realizaron los respectivos requerimientos de cobro preventivo,  incorporando en estas comunicaciones la liquidación de los intereses moratorios correspondientes  a través del aplicativo SGDEA. Se presenta una muestra aleatoria de 26 oficios con requerimientos a los licenciatarios.
Durante el periodo objeto de reporte, se realizaron cincuenta (50) requerimientos de cobro.
</t>
    </r>
    <r>
      <rPr>
        <b/>
        <sz val="10"/>
        <color rgb="FF000000"/>
        <rFont val="Arial"/>
        <family val="2"/>
      </rPr>
      <t>Acción:</t>
    </r>
    <r>
      <rPr>
        <sz val="10"/>
        <color rgb="FF000000"/>
        <rFont val="Arial"/>
        <family val="2"/>
      </rPr>
      <t xml:space="preserve"> el grupo financiero realizó el traslado de 4 expedientes al equipo jurídico del grupo cannabis para dar inicio al proceso sancionatorio.</t>
    </r>
  </si>
  <si>
    <t xml:space="preserve">Este seguimiento se fundamenta en las evidencias proporcionadas. Se espera que, en el próximo seguimiento, la dependencia actualice el riesgo y tenga en cuenta las mejoras sugeridas por la OCI en evaluaciones anteriores.
Además, la evidencia presentada confirma que la dependencia continúa implementando el PIC y el Plan de Bienestar de la entidad.
</t>
  </si>
  <si>
    <r>
      <rPr>
        <sz val="10"/>
        <rFont val="Arial"/>
        <family val="2"/>
      </rPr>
      <t>En el presente seguimiento, no se dispone de un monitoreo realizado por el responsable del proceso. No obstante, el auditor pudo verificar las evidencias de los controles en la carpeta compartida de evidencias de riesgos de la OCDI.
Adicionalmente, se observa que el responsable del proceso aún no ha realizado una correcta definición del riesgo ni una adecuada identificación de las causas. Por esta razón, la OCI insiste en que se consideren las recomendaciones de las evaluaciones anteriores para llevar a cabo una gestión adecuada del riesgo.
Asimismo, se espera que, para el próximo seguimiento, el riesgo sea transferido al responsable de gestionarlo.</t>
    </r>
    <r>
      <rPr>
        <sz val="10"/>
        <color rgb="FFFF0000"/>
        <rFont val="Arial"/>
        <family val="2"/>
      </rPr>
      <t xml:space="preserve">
</t>
    </r>
  </si>
  <si>
    <t xml:space="preserve">Durante el segundo cuatrimestre, la dependencia ha continuado implementando los controles de manera adecuada y se ha avanzado en la actualización de los procedimientos y guías del proceso, lo cual se espera que aporte mejoras significativas. Dado lo anterior, una vez se formalicen dichas actualizaciones, será importante validar y/o actualizar el riesgo y sus causas, ya que podría haber cambios en el entorno.
Por último, la OCI reitera la importancia de que la dependencia revise la definición del riesgo.
</t>
  </si>
  <si>
    <t>En el presente seguimiento, se evidencia que el proceso continúa implementando los controles y acciones de tratamiento según lo descrito en cada uno de ellos.
Asimismo, se sugiere a la dependencia que evalúe constantemente los cambios que pueda tener el entorno para determinar si es necesario actualizar las causas y/o controles definidos. Además, una vez que el módulo financiero esté completamente funcional, se deberán realizar las actualizaciones pertinentes al riesgo.
Además, la OCI reitera la recomendación hecha en el seguimiento anterior respecto a la descripción del impacto en la definición del riesgo.</t>
  </si>
  <si>
    <t>La dependencia ha atendido las recomendaciones de la OCI respecto a la definición del riesgo, aunque persisten deficiencias en su estructura. Se sugiere que se considere la siguiente definición para el riesgo: "Pérdida de credibilidad institucional debido al otorgamiento indebido de indultos influenciado por presiones externas o internas, con el fin de obtener beneficios personales o favorecer al solicitante".
En cuanto al plan de tratamiento, se recomienda extender la fecha final (columna BO) ya que, según el monitoreo de la dependencia, se llevará a cabo una mesa de trabajo en mayo para validar la actualización del procedimiento. También, se sugiere que, se incluya en la matriz de seguimiento de la implementación del procedimiento una descripción del control para fortalecer su efectividad.
Además, se insta a la dependencia a continuar fortaleciendo las capacidades de sus funcionarios en el procedimiento del beneficio jurídico de indulto, sugiriendo que estas capacitaciones se integren como acciones dentro del plan de tratamiento.</t>
  </si>
  <si>
    <t>En el seguimiento actual se observa que el riesgo aún no ha sido administrado por el GGA, quien es el responsable del proceso. Hasta que este cambio no se formalice, el GGFC deberá continuar reportando la implementación de los controles para prevenir la materialización del riesgo. Asimismo, se insta al GGFC a realizar las gestiones necesarias para que el riesgo y el procedimiento sean administrados por el responsable.
Además, se observa que la dependencia ha generado una nueva acción de tratamiento que podría contribuir al fortalecimiento del control; sin embargo, se sugiere revisar si existen otras acciones que puedan aportar más a la mitigación del riesgo, y que no formen parte de los controles ya establecidos.
Asimismo, se recuerda a la dependencia la importancia de reportar las evidencias correspondientes al plan de tratamiento, a fin de poder verificar su implementación. Finalmente, se debe mejorar la descripción del monitoreo.</t>
  </si>
  <si>
    <t xml:space="preserve">En el presente seguimiento, se recomienda que la dependencia revise las observaciones realizadas por la OCI en los seguimientos anteriores para lograr la efectividad en el cumplimiento del proceso. Además, se reitera la necesidad de revisar la pertinencia del riesgo, ya que no cumple con las especificaciones de los riesgos de corrupción, para lo cual sugerimos que se tenga en cuenta el análisis que ha realizado la OCI -en diferentes ocasiones- con destino a la OAP en el marco de la entrega de este informe de seguimiento. 
Por otra parte, se observó en las evidencias que el formato F-GD-06-02 no incluye la fecha de vigencia, lo cual es importante para los procesos de calidad de la entidad.
</t>
  </si>
  <si>
    <t xml:space="preserve">Para el presente seguimiento, se constató que la dependencia no adoptó la recomendación de la OCI sobre mejorar la definición del riesgo para facilitar su interpretación. No obstante, se observó que se realizó el ajuste en las acciones del plan de tratramiento del riesgo dando una fecha final de terminación a dichas acciones.
La dependencia presenta como evidencia las reuniones realizadas en el marco del cumplimiento del plan de tratamiento del riesgo. La OCI espera que en el próximo seguimiento el líder del proceso comience a implementar los cambios sugeridos para mejorar el procedimiento, que se dieron en el marco de las reuniones que sostuvieron con todos los colaboradores del Grupo de Acciones Legales y Constitucionales y los enlaces de calidad de la Dirección de Justicia Transicional, esto con el fin de avanzar en la mejora continua de los procesos y prevenir la materialización del riesgo.
Asimismo, la OCI insiste en que se incluya en las evidencias una muestra de la implementación de la matriz de seguimiento, con el objetivo de contribuir al fortalecimiento del control, su efectividad y; además, evidenciar el adecuado diligenciamiento cuando sea necesario.
</t>
  </si>
  <si>
    <r>
      <t xml:space="preserve">Según lo descrito por la dependencia en el monitoreo, el riesgo fue transferido al aliado implementador, que de acuerdo con el contrato 694 de 2024 es la Universidad Nacional de Colombia. Sin embargo, cuando una actuación misional es tercerizada por el responsable del proceso y se encuentra asociada a un riesgo de corrupción, este riesgo no se transfiere, sino que se comparte la probabilidad o el impacto de su materialización. En cuanto a la </t>
    </r>
    <r>
      <rPr>
        <b/>
        <sz val="10"/>
        <rFont val="Arial"/>
        <family val="2"/>
      </rPr>
      <t>responsabilidad</t>
    </r>
    <r>
      <rPr>
        <sz val="10"/>
        <rFont val="Arial"/>
        <family val="2"/>
      </rPr>
      <t xml:space="preserve"> de la administración, monitoreo e implementación de los controles de dicho riesgo, sigue siendo de la Dirección de Justicia Formal, ya que este riesgo constituye una actuación misional del MJD. La DJF, junto con el Grupo de Fortalecimiento a la Justicia Étnica, debe garantizar el papel del Estado y el cumplimiento de los propósitos institucionales.
Desde la perspectiva de la OCI, si bien es cierto que la Guía de Administración del Riesgo permite compartir un riesgo, es importante aclarar que en casos de riesgos de corrupción -como en este caso- no se puede transferir la responsabilidad. En este caso, el contratista actúa como un colaborador del Estado quien debe cumplir con sus propósitos institucionales y, mucho más aun, si se trata de un riesgo asociado a la “pérdida de recursos al seleccionar una iniciativa asociada a Justicia étnica que no cumpla con los requisitos aprovechando la concentración de la información a fin de que esta sea favorecida con recursos públicos permitiendo la recepción de un beneficio o beneficiando a un tercero”, que constituyen actuaciones propias del MJD que no pueden ser administradas por un tercero.
Por otra parte, es recomendable que la dependencia estudiara las causas y controles asociadas al riesgo, ya que el entorno ha cambiado y la responsabilidad del riesgo sigue siendo de la DJF. Cabe destacar que los riesgos asociados al contrato son distintos de los riesgos relacionados con el proceso y la DJF debe garantiza la supervisión del contrato.
Por otro lado, aunque la dependencia ha gestionado el riesgo de manera efectiva, es necesario que proporcione las evidencias que respalden lo descrito en el monitoreo para que la OCI pueda verificar la implementación de las acciones mencionadas. También, deberá aportar las evidencias de las reuniones que adelante con el aliado implementador para constatar la efectividad de los controles.
Por último, se recomienda validar el diligenciamiento de la matriz, ya que las columnas AX, AY y BB no están completadas, lo que impide realizar una evaluación adecuada del riesgo.</t>
    </r>
  </si>
  <si>
    <t>Clase de control</t>
  </si>
  <si>
    <t>detectivo</t>
  </si>
  <si>
    <t>Posibilidad de impacto económico y reputacional derivado de la pérdida de recursos al financiar una iniciativa asociada a Justicia étnica que no cumpla con los requisitos establecidos para el Banco de Iniciativas y Proyectos, beneficiando con ello a un tercero.</t>
  </si>
  <si>
    <t>Fallas en alguna de las etapas de revisión de requisitos y documentos en el marco del Banco de Iniciativas y Proyectos.</t>
  </si>
  <si>
    <t>Injerencia de terceros en el proceso de selección de iniciativas y proyectos en el marco del Banco de Iniciativas y Proyectos.</t>
  </si>
  <si>
    <t>Inexistencia de un control de acceso a la información privilegiada.</t>
  </si>
  <si>
    <t>Estudios Previos y/o Pliegos de condiciones direccionados a favorecer un proponente específico.</t>
  </si>
  <si>
    <t>Estudios Previos y/o Pliegos de condiciones direccionados a favorecer un proponente específico.
Indebida utilización de las causales de contratación directa
Exigencia de requisitos e insumos técnicos que restrinjan la pluralidad de oferentes</t>
  </si>
  <si>
    <t>Generar lineamientos, herramientas y acciones que propicien el acceso a la justicia a trav´pes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t>
  </si>
  <si>
    <t>El equipo seleccionado del Grupo de Fortalecimiento a la Justicia étnica una vez el grupo culmina la revisión de los requisitos mínimos y  a fin de establecer si este análisis es correcto, realizará la revisión y validación aleatoria del 10% de las iniciativas, contrastando los requisitos vs la información diligenciada en una reunión grupal donde participan un numero impar de integrantes con voz y voto. Si en el momento de la revisión, se encuentra alguna inconsistencia en el diligenciamiento de la matriz se procede a realizar el ajuste y la decisión de mantener o no la iniciativa en el proceso. Evidencia: Grabación de la reunión si se realiza de forma virtual o acta de reunión si esta se realiza de forma presencial. En ambas se concluirá sobre las iniciativas revisadas y validadas.</t>
  </si>
  <si>
    <t>El Grupo de Fortalecimiento a la Justicia étnica una vez se determinen las iniciativas priorizadas, verificará la validez de los requisitos y documentos que demuestren la relación de representación legal vigente, para efectos de contratar con la persona que esté legalmente habilitada para este efecto. En el caso de no poder realizar la verificación con el Ministerio del Interior, se verificarán otros documentos como la inscripción de autoridad en la Alcaldía correspondiente.
Como evidencia queda la respuesta de las entidades correspondientes y su respectiva solicitud por parte de Minjusticia</t>
  </si>
  <si>
    <t>Control disciplinario Interno</t>
  </si>
  <si>
    <t>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t>
  </si>
  <si>
    <t xml:space="preserve">En el tercer cuatrimestre de 2024,  se implementaron a cabalidad los controles definidos y el plan de tratamiento para aportar a la ejecución de los controles. Se ejecutó el plan anual de auditorías 2024 teniendo en cuenta los linemiamientos para cada auditoria y las recomendaciones del jefe de la OCI. Los informes de auditoría se enviaron a cada líder del proceso auditado, de acuerdo con el procedimiento establecido y publicado en la página web de la entidad. Las evidencias se encuentran en el One Drive y publicadas en la pág web de la entidad. Se envían los soportes que evidencian la ejecución de la actividad del plan de tratamiento, adelantando las reuniones de grupo primario de la OCI donde se trabajó con todo el equipo los temas relacionados con la gestión del área y el seguimiento y control de la implementación del Plan Anual de Auditoria Interna 2024. Con respecto al último control, no se ha detectado presión para la elaboración de los informes y, por tanto no se cuentan con denuncias al respecto.  </t>
  </si>
  <si>
    <t>Generar lineamientos, herramientas y acciones que propicien el acceso a la justicia a través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t>
  </si>
  <si>
    <t xml:space="preserve">Pérdida de credibilidad en la gestión del Programa Nacional de Conciliación Extrajudicial en Derecho, Arbitraje y Amigable Composición al autorizar las actuaciones propias de los centros de conciliación, arbitraje y amigable composición fuera de los preceptos normativos, no realizar los procesos sancionatorios pertinentes y aplicar los procesos en forma contraria a la normativa vigente, con el fin de obtener un beneficio, favorecer a un tercero o a un centro  </t>
  </si>
  <si>
    <t>Pérdida de la imagen institucional; afectación a los usuarios que acceden a los servicios de los centros de conciliación, arbitraj y amigable composición; investigaciones disciplinarias y sanciones</t>
  </si>
  <si>
    <t>El(la) coordinador(a) del grupo de conciliación extrajudicial en derecho, arbitraje y amigable composición, el servidor designado por éste, o el enlace de calidad de la DMASC, al menos una vez al año realiza una capacitación o socialización a los miembros del grupo, con el fin de evitar interpretaciones erróneas y fortalecer el conocimiento sobre los lineamientos establecidos en el procedimiento y la normatividad asociada al proceso de inspección, control y vigilancia. Si no asiste la mayoría de los integrantes se envía el material a través del correo electrónico. 
Evidencia: soporte de asistencia a la capacitación o socialización con el material respectivo, correo de envío del material. 
Este control aplica para el grupo de conciliación extrajudicial en derecho, arbitraje y amigable composición</t>
  </si>
  <si>
    <t xml:space="preserve">El(la) coordinador(a) del grupo de conciliación extrajudicial en derecho, arbitraje y amigable composición, el servidor designado por éste, o el enlace de calidad de la DMASC, al menos una vez al año, con el fin de identificar situaciones que se hayan presentado o elementos que se deban fortalecer en el ejercicio de las funciones de inspección, control y vigilancia o en aplicación de los instrumentos establecidos, implementará una estrategia (sondeo, cuestionario, reunión, etc) con los profesionales que atienden estos procesos. 
Evidencias: soporte de la estrategia aplicada.
Este control aplica para el grupo de conciliación extrajudicial en derecho, arbitraje y amigable composición
</t>
  </si>
  <si>
    <t>El(la) coordinador(a) del grupo de conciliación extrajudicial en derecho, arbitraje y amigable composición, cada vez que se produzca una investigación con sanción, a fin de evitar una decisión errónea o que favorezca a alguna parte interesada incluyendo a quien proyecta la resolución, revisará y/o aprobará el proyecto de resolución donde se encuentra consignada la decisión de la investigación con sanción. Si al momento de la revisión de la resolución, identifica alguna situación o información inconsistente que pueda suponer un favorecimiento, se procederá a la revisión haciendo una consulta exhaustiva del expediente. 
Evidencia: Resoluciones de sanción con el visto bueno por parte del(la) coordinador(a) y matriz de seguimiento a las resoluciones de investigación con sanción donde se incluya de elaboración, revisión y aprobación.
Este control aplica para el grupo de conciliación extrajudicial en derecho, arbitraje y amigable composición</t>
  </si>
  <si>
    <t>Desconocimiento de los lineamientos internos, procedimiento y/o de la normatividad asociada.</t>
  </si>
  <si>
    <t>Verificación de los procesos sancionatorios objeto de la materialización del riesgo, para corregir la situación identificada y acatar lo establecido en la normativa vigente</t>
  </si>
  <si>
    <t>Realizar los ajustes que se requieran para corregir las situaciones que se identificaron en los procesos sancionatorios objeto de la materialización del riesgo, acatando lo establecido en la normativa vigente y las demás consecuencias que de ello se deriven.</t>
  </si>
  <si>
    <t>Realizar los ajustes que se requieran en las decisiones de sanción objeto de la materialización del riesgo, acatando lo establecido en la normativa vigente.</t>
  </si>
  <si>
    <t xml:space="preserve">1. Soporte de la verificación efectuada a los procesos sancionatorios
2. Soporte de los ajustes realizados a las decisiones de sanción
</t>
  </si>
  <si>
    <t>SEGUIMIENTO III CUATRIMESTRE DE 2024
El riesgo no se ha materializado, el control ha sido efectivo. Por lo tanto, no ha sido necesario aplicar el tratamiento establecido.
El control se aplicó en el primer cuatrimestre de 2024 para evitar o prevenir la materialización del riesgo. Así las cosas, se realizaron  dos (2) capacitaciones  o socializaciones donde se fortalecieron a los integrantes del grupo de conciliación extrajudicial en derecho, arbitraje y amigable composición (CEDAAC) en el procedimiento vigente de visitas de inspección, control y vigilancia y sobre las generalidades del aplicativo SICAAC y las funcionalidades relacionadas con las funciones de inspección, control y vigilancia, con el fin de reforzar la consulta y uso del sistema de información en el ejercicio de estas funciones. Con los asistentes se compartieron las actas, la presentación y adicionalmente un instructivo para fortalecer la aplicación de los instrumentos en las visitas de inspección. Teniendo en cuenta el control aplicado, no se materializó el riesgo durante el año 2024.
Revisión y actualización del mapa de riesgos de corrupción. En octubre de 2024 se asistió a reunión con la OAP donde se recibieron indicaciones para realizar la revisión y ajuste de los mapas de riesgos, atendiendo cada una de las observaciones que realizó la Oficina de Control Interno en su último informe de seguimiento; y en noviembre de 2024 se enviaron a la OAP los mapas de riesgo actualizados por parte de la DMASC. Respecto del mapa de riesgos de corrupción se realizaron ajustes en los siguientes elementos: objetivo del proceso de acceso a la justicia, riesgo, causas, consecuencias y el establecimiento  de controles diferentes para cada una de las causas, atendiendo así las recomendaciones generadas por la OCI. Asimismo, es preciso indicar  que como el riesgo no se ha materializado con corte a la fecha, no ha sido necesario implementar el tratamiento establecido.
Evidencias suministradas: Soporte de las  capacitaciones realizadas e instructivo para diligenciar los instrumentos de visitas de inspección, control y vigilancia, soporte de asistencia de la reunión realizada con la OAP en octubre de 2024 y correo de radicación a la OAP de noviembre de 2024 con los mapas de riesgos actualizados.
Link de evidencias: https://minjusticiagovco-my.sharepoint.com/:f:/g/personal/mauricio_ordonez_minjusticia_gov_co/EsfC33BQrhNPhmwxZMHEYU8B0ZLMlG-6mQ47O0V7M_IRbA?e=EfZcj2</t>
  </si>
  <si>
    <t>SEGUIMIENTO III CUATRIMESTRE DE 2024
El riesgo no se ha materializado, el control ha sido efectivo. Por lo tanto, no ha sido necesario aplicar el tratamiento establecido.
El control se aplicó en el primer cuatrimestre de 2024 para evitar o prevenir la materialización del riesgo. Así las cosas, se implementó una estrategia consistente en la realización de reuniones independientes con el grupo de conciliación extrajudicial en derecho, arbitraje y amigable composición (CEDAAC) con el fin de identificar situaciones de mejora en el instrumento de verificación que se aplica en las visitas de inspección, control y vigilancia que se llevan a cabo sobre los centros de conciliación, arbitraje y amigable composición. En total, se realizaron  diez (10) sesiones de trabajo con los integrantes del grupo CEDAAC que realizan visitas de inspección a los centros de conciliación, arbitraje y amigable composición, donde se recopilaron las principales debilidades y sugerencias de mejora que se han evidenciado sobre el formato de verificación de obligaciones legales y reglamentarias de requisitos generales de prestación del servicio, en cada una de las categorías, preguntas y puntajes establecidos. Asimismo, se recibieron propuestas de incorporación de nuevas elementos en el instumento. Con estos insumos, en el año 2025 se fortalecerá el procedimiento de visitas de inspección, control y vigilancia y el formato de verificación de obligaciones acorde con la normativa vigente. Teniendo en cuenta el control aplicado, no se materializó el riesgo durante el año 2024.
Revisión y actualización del mapa de riesgos de corrupción. En octubre de 2024 se asistió a reunión con la OAP donde se recibieron indicaciones para realizar la revisión y ajuste de los mapas de riesgos, atendiendo cada una de las observaciones que realizó la Oficina de Control Interno en su último informe de seguimiento; y en noviembre de 2024 se enviaron a la OAP los mapas de riesgo actualizados por parte de la DMASC. Respecto del mapa de riesgos de corrupción se realizaron ajustes en los siguientes elementos: objetivo del proceso de acceso a la justicia, riesgo, causas, consecuencias y el establecimiento  de controles diferentes para cada una de las causas, atendiendo así las recomendaciones generadas por la OCI. Asimismo, es preciso indicar  que como el riesgo no se ha materializado con corte a la fecha, no ha sido necesario implementar el tratamiento establecido.
Evidencias: Acta de las reuniones, soporte de envío del instrumento de verificación  con las observaciones generadas por cada profesional del grupo CEDAAC. soporte de asistencia de la reunión realizada con la OAP en octubre de 2024 y correo de radicación a la OAP de noviembre de 2024 con los mapas de riesgos actualizados.
Link de evidencias: https://minjusticiagovco-my.sharepoint.com/:f:/g/personal/mauricio_ordonez_minjusticia_gov_co/EsfC33BQrhNPhmwxZMHEYU8B0ZLMlG-6mQ47O0V7M_IRbA?e=EfZcj2</t>
  </si>
  <si>
    <t>SEGUIMIENTO III CUATRIMESTRE DE 2024
El riesgo no se ha materializado, el control ha sido efectivo. Por lo tanto, no ha sido necesario aplicar el tratamiento establecido.
En el tercer cuatrimestre de 2024, no se emitieron por parte de la DMASC resoluciones de carácter sancionatorio en ejercicio de las funciones de inspección, control y vigilancia que se ejerce sobre los centros de conciliación, arbitraje y amigable composición. Con corte a la fecha el riesgo no se ha materializado. 
Evidencias: soporte de asistencia de la reunión realizada con la OAP en octubre de 2024 y correo de radicación a la OAP de noviembre de 2024 con los mapas de riesgos actualizados.
Link de evidencias: https://minjusticiagovco-my.sharepoint.com/:f:/g/personal/mauricio_ordonez_minjusticia_gov_co/EsfC33BQrhNPhmwxZMHEYU8B0ZLMlG-6mQ47O0V7M_IRbA?e=EfZcj2</t>
  </si>
  <si>
    <t>Para el tercer cuatrimestre de 2024, la Dirección de Justicia Transicional (DJT) no ha recibido solicitudes de indulto nuevas para su tramitación.
No obstante, la DJT mantiene una matriz de seguimiento integral, en la que se detallan los procedimientos, el registro de ingreso de peticiones, la asignación de profesionales, comentarios y anotaciones, así como el seguimiento respectivo.
En esta matriz, se identifican peticiones de indulto que, debido a la falta de requisitos necesarios, no han iniciado el trámite correspondiente.
Cabe destacar que la última solicitud registrada data del 24 de mayo de 2024. Por lo tanto, no se han producido novedades significativas en este tipo de solicitudes durante el período en cuestión.</t>
  </si>
  <si>
    <t>Desde el GGFC, se informa que ya fue proyectado el Acto Administrativo, mediante el cual se realiza la actualización en la estructura de los Grupos que forman parte de la Secretaria General, y en la cual se traslada el proceso correspondiente al manejo de las cajas menores al GGA. Este documento se encuentra en proceso de revisión y esta a cargo del GGH.</t>
  </si>
  <si>
    <t>Pérdida de recursos públicos al realizar pagos o movimientos sin el cumplimiento de requisitos, al no efectuar revisión de los documentos soporte, obteniendo beneficios propios o favoreciendo a terceros.</t>
  </si>
  <si>
    <t>Efectuar pagos sin el cumplimiento de los requisitos legales en los documentos soportes de las cuentas de cobro de proveedores y contratistas.</t>
  </si>
  <si>
    <t>No respetar el turno de llegada de las cuentas para generar la obligación presupuestal.</t>
  </si>
  <si>
    <t>Presiones indebidas - Externas o Internas.</t>
  </si>
  <si>
    <t>Realizar evaluaciones financieras inadecuadas con el fin de favorecer a un tercero.</t>
  </si>
  <si>
    <t xml:space="preserve">1. Detrimentro patrimonial
2. Investigaciones Disciplinarias
3. Requerimientos por parte de los Entes de Control
</t>
  </si>
  <si>
    <t>1.Los profesionales del área de Tesorería, cada vez que llega una solicitud de pago con la respectiva obligación presupuestal, y con el fin realizar el pago cumpliendo con los requisitos legales, revisan cada obligación con sus soportes, verificando que las deducciones estén conformes a lo solicitado por el proveedor o contratista. Si se encuentran inconsistencias se devuelve al Profesional de Central de Cuentas mediante correo electronico, solicitando los ajustes correspondientes.
Evidencia:
1.Correo electrónico de devolución.</t>
  </si>
  <si>
    <t xml:space="preserve">2. El Profesional del Central de Cuentas, responsable de la radicación de cuentas, cada vez que es radicada una cuenta ante el GGFC y con el fin de asignar las cuentas en el orden de llegada, registrará en el Formato de Radicación de Cuentas, las solicitudes de pago de acuerdo con la fecha de radicación. Si se presentan inconsistencias en la cuenta de cobro, se realiza devolución mediante correo electrónico al supervisor del contrato y/o enlace de la dependencia, solicitando los ajustes respectivos, por lo que la cuenta de cobro vuelve a iniciar el turno de radicación. 
Evidencia: Formato de Radicación de Cuentas diligenciado de acuerdo con el orden de llegada de las cuentas radicadas ante el correo de central de cuentas. </t>
  </si>
  <si>
    <t>3. El Profesional de Tesorería responsable de revisar las obligaciones, cada vez que se recibe una cuenta y con el propósito de no tramitar cuentas sin asignación de recursos, valida en la planilla "Consolidado de PAC" que la solicitud de pago tenga asignación de PAC en estado aprobado. En caso de no radicarse las cuentas dentro de los 15 primeros días hábiles, se reasignarán los recursos a aquellas cuentas que no tengan PAC aprobado.
Evidencia: 
1. Correo electrónico de solicitud de PAC
2. Planilla de asignación de PAC.</t>
  </si>
  <si>
    <t>4.El Profesional de Contabilidad designado por el Coordinador(a) del Grupo de Gestión Financiera, cada vez que se radica una solicitud de evaluación financiera ante el GGFC y con el fin de emitir concepto sobre el cumplimiento de los requisitos habilitantes en temas financieros, revisa que la evaluación financiera cumpla con los requisitos establecidos en el pliego de condiciones. En caso de no cumplir con los requisitos mínimos, se emite concepto desfavorable y en el caso de ser una observación subsanable, se solicita la documentación requerida a través de correo electrónico.
Evidencia: Correo electrónico enviado con el concepto favorable y/o con las observaciones o solicitudes adicionales.</t>
  </si>
  <si>
    <r>
      <t>Realizar el levantamiento correspondiente al Procedimiento de Central de Cuentas, con el fin de establecer y formalizar los requisitos para el trámite y pago de cuentas (PN/PJ), definiendo las fechas para la radicación de cuentas ante el GGFC.</t>
    </r>
    <r>
      <rPr>
        <b/>
        <sz val="10"/>
        <rFont val="Arial"/>
        <family val="2"/>
      </rPr>
      <t xml:space="preserve"> - Cumplido</t>
    </r>
  </si>
  <si>
    <r>
      <t>Enviar circular a las dependencias informando las fechas limites establecidas para realizar la solicitud de PAC, ante el GGFC. -</t>
    </r>
    <r>
      <rPr>
        <b/>
        <sz val="10"/>
        <rFont val="Arial"/>
        <family val="2"/>
      </rPr>
      <t xml:space="preserve"> Cumplido</t>
    </r>
  </si>
  <si>
    <r>
      <t>Realizar actualización y ajuste al formato</t>
    </r>
    <r>
      <rPr>
        <i/>
        <sz val="10"/>
        <rFont val="Arial"/>
        <family val="2"/>
      </rPr>
      <t xml:space="preserve"> "F-GF-G02-01 Evaluaciones Financieras - Proponentes Contratos y Convenios"</t>
    </r>
    <r>
      <rPr>
        <sz val="10"/>
        <rFont val="Arial"/>
        <family val="2"/>
      </rPr>
      <t xml:space="preserve">, con el fin de implementar nuevos controles acorde con las actividades ejecutadas actualmente.  </t>
    </r>
    <r>
      <rPr>
        <b/>
        <sz val="10"/>
        <rFont val="Arial"/>
        <family val="2"/>
      </rPr>
      <t>- Cumplido</t>
    </r>
  </si>
  <si>
    <t xml:space="preserve">Coordinador(a) GGFC 
/ 
Líder Central de Cuentas </t>
  </si>
  <si>
    <t>Coordinador(a) GGFC 
/ 
Líder Tesoreria</t>
  </si>
  <si>
    <t>1) Procedimiento correspondiente al Trámite de Cuentas y Facturas - socializado.</t>
  </si>
  <si>
    <t>1. Circular enviada a las dependencias</t>
  </si>
  <si>
    <t>1.  Formato "F-GF-G02-01 Evaluaciones Financieras - Proponentes Contratos y Convenios" - Actualizado.</t>
  </si>
  <si>
    <t>1. Se realizó el respectivo levantamiento del procedimiento "P-GF-25 Trámite de Cuentas y Facturas - Central de Cuentas" y su anexo "F-GF-25-02 Requisitos y Documentos Soporte para el Trámite y Pago de Obligaciones", el cual fue debidamente aprobado, socializado al todo el MJD y publicado en el SIG, el 25.09.2024.
2. Desde el GGFC, se emite circular No. MJD-CIR24-00002, en la cual se establecen las fechas límites para la radicacion de solicitudes de PAC. Adicionalmente se envía recordatorio a las dependencias el dia 26 de junio de 2024, con el fin de reiterar el cumplimiento a lo establecido en la circular MJD-CIR24-00002.
3. Desde el GGFC, se realiza actualización al formato "F-GF-G02-01 Evaluaciones Financieras - Proponentes Contratos y Convenios",ajustando las actividades realizadas actualmente, con el fin de establecer nuevos controles; adicionalmente se informa que la Guía G-GF-02 Evaluaciones Financieras, para procesos Contractuales, se en encuentra en proceso de actualización.
Por lo anterior, se observa que no se materializó el riesgo.
*De acuerdo con las observaciones realizadas por la OCI, se informa que las mismas fueron atendidas.</t>
  </si>
  <si>
    <t>Durante el trimestre, se realizaron diferentes espacios de acompañamiento técnico en la ejecución de las actividades de los 29 proyectos indígenas priorizados para 2024. En este sentido, tanto la Universidad Nacional, en su rol de aliado implementador, como el Ministerio de Justicia y del Derecho, mantuvieron contacto con las Comunidades y Organizaciones Indígenas durante el avance de las acciones programadas, realizando algunas visitas a territorio para garantizar el desarrollo de las actividades. 
De igual manera, como medida contemplada en el marco del contrato interadministrativo 694 de 2024, el Ministerio de Justicia y del Derecho, a través de la Dirección de Justicia Formal, y la Universidad Nacional han venido desarrollando reuniones periódicas de seguimiento al estado y cumplimiento de las obligaciones pactadas. Para ello, se han designado a 6 delegados permanentes, 3 de cada parte, para garantizar un adecuado monitoreo al estado de implementación de las iniciativas. Cada sesión del comité, cuenta con el acta respectiva e incluye las decisiones tomadas.
Estos espacios de seguimiento periódico buscan identificar oportunamente si se materializan riesgos, además, de garantizar la implementación de los controles establecidos, así como de las decisiones tomadas para el correcto desarrollo del objeto del Banco de Iniciativas y Proyectos para el fortalecimiento de la JEI de esta vigencia.</t>
  </si>
  <si>
    <t>No se presentó la materialización de riesgos.  Se realiza reporte con corte 30 de noviembre de 2024.
El GGC actualizó el riesgo, atendiendo las recomendaciones de la OAP y de la OCI.
Se cargan las evidencias tanto de los acciones como de los controles en la carpeta conpartida del OneDrive. 
1. Se realiza por parte el GGC apoyo a las dependencias en la construcción de las fichas técnicas y analisis del sector de los procesos de contratación del MJD. Evidencias correos de los procesos en que se ha prestado apoyo y base de seguimiento a revisión de procesos 2024.
2. Se realiza en debida forma las justificaciones de la causal de contratacion directa en aplicacion de la normatividad vigente. Evidencia: Base de datos con Link de los procesos en el Secop II.
3. Se realizaron recomendaciones generales a los supervisores, sobre la adecuada labor de la supervisión. 
3.1. MJD-MEM24-0005724-GGC-40200 del 10 de septiembre de 2024. RECOMENDACIONES PARA LOS SUPERVISORES DE 
CONTRATOS EN EL CUMPLIMIENTO DE LA OBLIGACIÓN DE 
PUBLICACIÓN DE DOCUMENTOS EN EL SECOP II, TIENDA 
VIRTUAL Y SICFR.
3.2. Correo de socialización del memorando del 10 de septiembre de 2024 y del 9 de diciembre de 2024.
3.3. Correo RECOMENDACIONES PARA LA ADECUADA SUPERVISION DE CONTRATOS Y CONVENIOS enviados el 26 de septiembre y 10 de diciembre de 2024.
4. Se realizaron las siguientes capacitaciones: 
4.1. El 23 de septiembre de 2024, se realizó capacitación a las dependencias, sobre la importancia de adelantar el trámite de liquidación de los contratos estatales, las consecuencias de omitir este deber por parte del supervisor, los efectos, terminos de Ley. Evidencia: Listado de asistencia, pantallazos y Link de Teams
4.2. El 13 de septiembre de 2024 se realizó capacitación al interior del Grupo de Gestión Contractual sobre el registro de la información en Secop II. Evidencia: Listado de asistencia, pantallazos y Link de Teams.
4.3. El 27 de septiembre del 2024 se realizó capacitación para la proyección de CPS -2025. Listado de asistencia y link de teams.
5. El GGC participa en los Comités de Contratación en los cuales se revisan y conceptúan la contratación directa y estudios previos de procesos de selección, dejando como evidencia las actas del comité. Evidencia: actas de comités de contratación.</t>
  </si>
  <si>
    <t>Determinar la posible responsabilidad y/o si los hechos son o no constitutivos de falta disciplinaria de los funcionarios o exfuncionarios públicos del Ministerio de Justicia y del Derecho y así preservar el correcto desarrollo de la función pública.</t>
  </si>
  <si>
    <t xml:space="preserve">El profesional o equipo de trabajo realiza la activación, modificación o desactivación de una credencial  en cumplimiento del procedimiento  (P-TI-02 Gestión de acceso a recursos informáticos), a través del cual  se aplica para los sistemas de información y herramientas tecnológicas, entregando los  accesos  solicitados a través mesa de ayuda segun el rol que corresponda.
Evidencia:
- Reporte  de mesa de ayuda con el listado  de solicitudes registradas,atendidas y cerradas por concepto de gestión de cuentas de usuario para acceso a sistemas de información y herramientas tecnológicas.
 </t>
  </si>
  <si>
    <t xml:space="preserve">Fallas en la aplicacion del procedimiento P-TI-02 gestion de accesos a recursos informaticos </t>
  </si>
  <si>
    <t>Como evidencia del trabajo realizado en pro de evitar la materializacion del riesgo se adjunta la matriz de reporte  de mesa de ayuda con el listado  de solicitudes registradas,atendidas y cerradas por concepto de gestión de cuentas de usuario para acceso a sistemas de información y herramientas tecnológicas.</t>
  </si>
  <si>
    <t>Posibilidad de manipular u omitir información como requisitos mínimos para la vinculación de personal o para su retiro sin el cumplimiento de la norma vigente.</t>
  </si>
  <si>
    <t>El profesional del GGH encargado de la validación de los documentos de cumplimiento de requisitos, cada vez que se realiza la incorporación de un funcionario, con el fin de verificar la idoneidad de la persona, revisa las certificaciones laborales contra la información de la hoja de vida, verificando el cumplimiento de requisitos y la legalidad de dichos documentos. En el caso de encontrar inconsistencias, solicita completar la información y realizar las aclaraciones necesarias, posteriormente se diligencia el formato de cálculo de experiencia.
Evidencia: Documento Cáculo de Experiencia Laboral</t>
  </si>
  <si>
    <t>El profesional del GGH encargado de la validación de los documentos de cumplimiento de requisitos, diligencia el formato de lista de documentos para ingreso, con el fin de verificar que cumpla con todos los requisitos establecidos normativamente, el cual debe ser firmado por el profesional del GGH y la persona a vincular. En caso de encontrarse incompleto el formato debe solicitarse los documentos restantes, para generar firma y entrega para la creación de la historia laboral. 
Evidencia: Diligenciamiento formato lista documentos para vinculación</t>
  </si>
  <si>
    <t xml:space="preserve">Realizar un muestreo aleatorio verificando con la entidad correspondiente la constatación de la veracidad del documento. </t>
  </si>
  <si>
    <t>comunicados solicitando información</t>
  </si>
  <si>
    <t xml:space="preserve">Atendiendo las recomendaciones de la Oficina de Control Interno se realizan los ajustes pertinentes a la matriz de riesgos, dentro de las cuales se encuentran:
- Racionalizar los riesgos para optimizar el proceso de monitoreo, evaluación y seguimiento.
-Definir la acción del plan de tratamiento, las acciones deben complementar o fortalecer al control, no puede ser igual al control establecido para eliminar la causa.
- Revisar la descripción de los controles establecidos para asegurarse de que sigan la estructura definida por la Guía de Riesgos de la DAFP. También, los controles deben estar más alineados con la causa que pretenden abordar, considerando también otros factores que puedan influir en su efectividad.
Seguimiento: Los controles y actividades del trátamiento al riesgo son efectivos, por lo tanto no se ha materializado el riesgo. Durante el tercer cuatrimestre del año se continuó realizando el diligencimiento de los formatos F-TH-01-08 " Lista entrega documentos para tomar posesión" y F-TH-01-09 "Cálculo tiempo de experiencia laboral" en el proceso de vinculación de funcionarios. Adicionalmente, se realiza aleatoriamente corroboración de la información con universidad y empresas, mediante comunicación oficial.
Evidencias:
-Formatos F-TH-01-08 " Lista entrega documentos para tomar posesión" y F-TH-01-09 "Cálculo tiempo de experiencia laboral" diligenciados
Comunicados de corroboración </t>
  </si>
  <si>
    <t>Posibilidad de alterar información relacionada con la nómina o direccionar un proceso contractual para la ejecución de planes, con el fin de favorecer a un tercero o a si mismo.</t>
  </si>
  <si>
    <t>Falta de controles para el registro de la información de nómina</t>
  </si>
  <si>
    <t>Falta de controles en el GGH de la etapa precontractual</t>
  </si>
  <si>
    <t>Investigaciones disciplinarias, penales y fiscales.</t>
  </si>
  <si>
    <r>
      <t xml:space="preserve">El profesional encargado de nómina del Grupo de Gestión Humana tiene un usuario y contraseña como control de las actividades realizadas en el aplicativo de nómina, una vez generado el registro en el sistema, es validado por los lideres de procesos y en caso de identificarse alguna desviación, se solicita su ajuste respectivo.
</t>
    </r>
    <r>
      <rPr>
        <b/>
        <sz val="10"/>
        <rFont val="Arial"/>
        <family val="2"/>
      </rPr>
      <t>Evidencia</t>
    </r>
    <r>
      <rPr>
        <sz val="10"/>
        <rFont val="Arial"/>
        <family val="2"/>
      </rPr>
      <t>: Captura de pantalla del aplicativo de nómina</t>
    </r>
  </si>
  <si>
    <r>
      <t xml:space="preserve">El profesional encargado como enlace de contractual del Grupo de Gestión Humana, verifica lo establecido en el Plan Anual de Adquisiciones, con el fin de establecer el objeto contractual, lo cual es revisado con el coordinador(a) de la dependencia, priorizando los contratos requeridos para el adecuado funcionamiento del GGH. Posteriormente se elaboran los estudios previos y análisis del sector presentados al Grupo de Gestión Contractual para su validación y aprobación respectiva, en caso de requerirse ajustes, se deben realiza con el fin de continuar con el trámite especifico. 
</t>
    </r>
    <r>
      <rPr>
        <b/>
        <sz val="10"/>
        <rFont val="Arial"/>
        <family val="2"/>
      </rPr>
      <t>Evidencia</t>
    </r>
    <r>
      <rPr>
        <sz val="10"/>
        <rFont val="Arial"/>
        <family val="2"/>
      </rPr>
      <t>: Memorando de remisión a GGC</t>
    </r>
  </si>
  <si>
    <t>Cada vez que se realiza una nómina</t>
  </si>
  <si>
    <t>Memorando nómina firmado</t>
  </si>
  <si>
    <t>Cada vez que se realiza un contrato</t>
  </si>
  <si>
    <t>Lideres de temas y coordinador del GGH</t>
  </si>
  <si>
    <t xml:space="preserve">Correos electrónicos </t>
  </si>
  <si>
    <t>Atendiendo las recomendaciones de la Oficina de Control Interno se realizan los ajustes pertinentes a la matriz de riesgos, dentro de las cuales se encuentran:
- Racionalizar los riesgos para optimizar el proceso de monitoreo, evaluación y seguimiento.
-Definir la acción del plan de tratamiento, las acciones deben complementar o fortalecer al control, no puede ser igual al control establecido para eliminar la causa.
- Revisar la descripción de los controles establecidos para asegurarse de que sigan la estructura definida por la Guía de Riesgos de la DAFP. También, los controles deben estar más alineados con la causa que pretenden abordar, considerando también otros factores que puedan influir en su efectividad.
Seguimiento: Los controles y actividades del trátamiento al riesgo son efectivos, por lo tanto no se ha materializado el riesgo. Durante el tercer cuatrimestre del año se continuó con la realización de la prenomina, permitiendo verificar posibles errores o desviaciones en los datos incluidos como novedades para su generación, así mismo se generó la nómina la cual se remite mediante memorando suscrito por el Secretario General. Es importante indicar que para el ingreso de datos al aplicativo Kactus cada movimiento se registra con un usuario especifico, que permite realizar la trazabilidad de quién incluye o elimina información. 
Por otra parte, con relación a la suscripción de contratos se realiza validación de los documentosen el GGH y se remiten mediante correo electrónico al Grupo de Gestón Contractual para su revisión y aprobación.
 Evidencias:
- Pre- Nómina y memorandos nómina
- Memorandos dirigidos a contratos</t>
  </si>
  <si>
    <t>Uso Indebido de los expedientes  por manipular, incluir o extraer documentos,  en el  acceso y consulta  en los archivos de gestión y el archivo central, con el fin de favorecer intereses privados o particulares</t>
  </si>
  <si>
    <t>Debilidades en los controles de acceso a los Archivos de Gestión y Archivo Central</t>
  </si>
  <si>
    <t>Ausencia ó Incumplimiento de los procedimientos para la adecuada operación del Grupo de Gestion Documental</t>
  </si>
  <si>
    <t>1. Sanciones de entes de Control 
2. Investigaciones disciplinarias, penales y fiscales
3. Perdida de la memoria institucional
4. Reconstrucción de los  expedientes perdidos o deteriorados</t>
  </si>
  <si>
    <r>
      <t xml:space="preserve">El Coordinador de gestion documental o  técnico designado, implementará el control de Préstamo y Consulta de Documentos y Expedientes conforme al Procedimiento P-GD-06. Para el acceso de personal tras cualquier cambio en los permisos de acceso a los archivos, el GGD enviará un correo electrónico al Grupo de Gestión Administrativa (GGA) y al supervisor del contrato de vigilancia, adjuntando la lista actualizada de personas autorizadas. Además, todos los accesos quedarán registrados en el Formato F-GD-06-03 - Control de Ingreso y Salida de Bodegas de Archivo, garantizando la evidencia de quienes ingresaron al archivo de gestión. En caso de detectarse el ingreso de personal no autorizado, se notificará inmediatamente al GGA, Secretaría General (SG) y la Oficina de Control Interno (OCI) para la adopción de las medidas correctivas pertinentes.
</t>
    </r>
    <r>
      <rPr>
        <b/>
        <sz val="11"/>
        <rFont val="Calibri"/>
        <family val="2"/>
        <scheme val="minor"/>
      </rPr>
      <t>Evidencia: 1. -</t>
    </r>
    <r>
      <rPr>
        <sz val="11"/>
        <rFont val="Calibri"/>
        <family val="2"/>
        <scheme val="minor"/>
      </rPr>
      <t xml:space="preserve">Reporte de Power BI con el registro solicitudes de prestamos en form de la intranet.
</t>
    </r>
    <r>
      <rPr>
        <b/>
        <sz val="11"/>
        <rFont val="Calibri"/>
        <family val="2"/>
        <scheme val="minor"/>
      </rPr>
      <t>Evidencia: 2</t>
    </r>
    <r>
      <rPr>
        <sz val="11"/>
        <rFont val="Calibri"/>
        <family val="2"/>
        <scheme val="minor"/>
      </rPr>
      <t xml:space="preserve">. -F-GD-06-02-Formato de prestamos  de expedientes y consulta de documentos.
</t>
    </r>
    <r>
      <rPr>
        <b/>
        <sz val="11"/>
        <rFont val="Calibri"/>
        <family val="2"/>
        <scheme val="minor"/>
      </rPr>
      <t>Evidencia: 3.</t>
    </r>
    <r>
      <rPr>
        <sz val="11"/>
        <rFont val="Calibri"/>
        <family val="2"/>
        <scheme val="minor"/>
      </rPr>
      <t xml:space="preserve"> -F-GD-06-03-Control de Ingreso y Salida de Bodegas de archivo
</t>
    </r>
    <r>
      <rPr>
        <b/>
        <sz val="11"/>
        <color theme="1"/>
        <rFont val="Calibri"/>
        <family val="2"/>
        <scheme val="minor"/>
      </rPr>
      <t/>
    </r>
  </si>
  <si>
    <t>El Coordinador de gestion documental o  profesional designado, cada vez que sea requerido solicitara a Todo el personal, contratistas y vinculado por outsourcing que requiera acceso a los archivos de gestión y archivo central del Ministerio firmar un Acuerdo de Confidencialidad de la Información.
Evidencia :  Firma F-GC-04-44- Compromiso de Confidencialidad</t>
  </si>
  <si>
    <t>Remitir listado de accesos autorizados a los archivos de gestión y archivo central al Grupo de Gestión Administrativa, actualizado de acuerdo con los cambios en roles, responsabilidades y contratos.</t>
  </si>
  <si>
    <t>Realizar capacitaciones de acuerdo con el Plan de Capacitación Institucional, enfocadas en la normatividad archivística y los procedimientos para la adecuada operación del Grupo de Gestión Documental.</t>
  </si>
  <si>
    <r>
      <t xml:space="preserve">El riesgo no se materializo en la vigencia 2024. En atención a las observaciones realizadas por la OCI, se realizó la reformulación del riesgo desde su identificación, causas, evaluación riesgo inherente, controles, valoración y acciones de tratamiento conforme a la GUIA G-MC-04 de Administración del Riesgo. 
Los controles y acciones de tratamiento se ejecutaron conforme a lo planificado, se presentan evidencias a corte 30 de noviembre de acuerdo con el requerimiento de reporte de información de la OAP:
</t>
    </r>
    <r>
      <rPr>
        <b/>
        <sz val="11"/>
        <color rgb="FF000000"/>
        <rFont val="Calibri"/>
        <family val="2"/>
        <scheme val="minor"/>
      </rPr>
      <t>Control 1 :</t>
    </r>
    <r>
      <rPr>
        <sz val="11"/>
        <color rgb="FF000000"/>
        <rFont val="Calibri"/>
        <family val="2"/>
        <scheme val="minor"/>
      </rPr>
      <t xml:space="preserve"> Se recibieron las solicitudes de préstamo de documentos en tiempo real por el formulario Forms y se verificó su viabilidad. Se realizaron 350 préstamos para el tercer cuatrimestre del año 2024, sin novedad.
-Se adjuntan las planillas de entrega de documentos físicos en los casos en los que se confirmó el acceso a la información.
</t>
    </r>
    <r>
      <rPr>
        <b/>
        <sz val="11"/>
        <color rgb="FF000000"/>
        <rFont val="Calibri"/>
        <family val="2"/>
        <scheme val="minor"/>
      </rPr>
      <t xml:space="preserve">Acción de tratamiento 1 : </t>
    </r>
    <r>
      <rPr>
        <sz val="11"/>
        <color rgb="FF000000"/>
        <rFont val="Calibri"/>
        <family val="2"/>
        <scheme val="minor"/>
      </rPr>
      <t>L</t>
    </r>
    <r>
      <rPr>
        <sz val="11"/>
        <color rgb="FF000000"/>
        <rFont val="Calibri"/>
        <family val="2"/>
        <scheme val="minor"/>
      </rPr>
      <t>a actividad se ha realizado con la solicitud de autorización de ingresos a los archivos MJD, al Grupo de Gestión Administrativa, por medio de correo electronico: se comparten 32 correos en el periodo.</t>
    </r>
  </si>
  <si>
    <r>
      <t xml:space="preserve">El riesgo no se materializo en la vigencia 2024. En atención a las observaciones realizadas por la OCI, se realizó la reformulación del riesgo desde su identificación, causas, evaluación riesgo inherente, controles, valoración y acciones de tratamiento conforme a la GUIA G-MC-04 de Administración del Riesgo. 
Los controles y acciones de tratamiento se ejecutaron conforme a lo planificado, se presentan evidencias a corte 30 de noviembre de acuerdo con el requerimiento de reporte de información de la OAP:
</t>
    </r>
    <r>
      <rPr>
        <b/>
        <sz val="11"/>
        <color rgb="FF000000"/>
        <rFont val="Calibri"/>
        <family val="2"/>
        <scheme val="minor"/>
      </rPr>
      <t xml:space="preserve">Control 2 fila 8: </t>
    </r>
    <r>
      <rPr>
        <sz val="11"/>
        <color rgb="FF000000"/>
        <rFont val="Calibri"/>
        <family val="2"/>
        <scheme val="minor"/>
      </rPr>
      <t xml:space="preserve">Se aportan formatos de compromisos de confidencialidad firmados durante el III Cuatrimestre de 2024, por </t>
    </r>
    <r>
      <rPr>
        <sz val="11"/>
        <color rgb="FF000000"/>
        <rFont val="Calibri"/>
        <family val="2"/>
        <scheme val="minor"/>
      </rPr>
      <t xml:space="preserve">el personal del contratista Lexco y de Servicios Postales 472.
</t>
    </r>
    <r>
      <rPr>
        <b/>
        <sz val="11"/>
        <color rgb="FF000000"/>
        <rFont val="Calibri"/>
        <family val="2"/>
        <scheme val="minor"/>
      </rPr>
      <t>Acción 2 fila 8</t>
    </r>
    <r>
      <rPr>
        <sz val="11"/>
        <color rgb="FF000000"/>
        <rFont val="Calibri"/>
        <family val="2"/>
        <scheme val="minor"/>
      </rPr>
      <t>:Se aporta evidencia de las 20 capacitaciones realizadas en el marco de implementación del PIC. Se aportan una muestra de las evaluaciones de impacto (Conocimiento)</t>
    </r>
  </si>
  <si>
    <r>
      <rPr>
        <sz val="11"/>
        <color rgb="FF000000"/>
        <rFont val="Calibri"/>
        <family val="2"/>
        <scheme val="minor"/>
      </rPr>
      <t xml:space="preserve">Durante el período objeto de reporte, el riesgo no se ha materializado y el control ha sido efectivo. Lo anterior, teniendo en cuenta que se desarrollaron 11 visitas previas, de las cuales se generó el acta de visita para posteriormente ser cargadas en el repositorio de la Subdirección previo a la revisión del líder del área técnica. 
</t>
    </r>
    <r>
      <rPr>
        <b/>
        <sz val="11"/>
        <color rgb="FF000000"/>
        <rFont val="Calibri"/>
        <family val="2"/>
        <scheme val="minor"/>
      </rPr>
      <t xml:space="preserve">Como evidencia se adjunta: 
</t>
    </r>
    <r>
      <rPr>
        <sz val="11"/>
        <color rgb="FF000000"/>
        <rFont val="Calibri"/>
        <family val="2"/>
        <scheme val="minor"/>
      </rPr>
      <t xml:space="preserve">Carpeta que contiene las actas de visitas previas realizadas desde septiembre al 11 de diciembre de 2024. 
Documento excel que contiene el reporte de visitas 2024
Por otro lado, dando cumplimiento a la acción del plan de tratamiento establecida, desde el equipo técnico se llevan a cabo tres puntos de control que se tienen en cuenta al momento de realizar a asignación de las visitas previas al otorgamiento de una licencia de cannabis: 
</t>
    </r>
    <r>
      <rPr>
        <u/>
        <sz val="11"/>
        <color rgb="FF000000"/>
        <rFont val="Calibri"/>
        <family val="2"/>
        <scheme val="minor"/>
      </rPr>
      <t xml:space="preserve">Primer control: </t>
    </r>
    <r>
      <rPr>
        <sz val="11"/>
        <color rgb="FF000000"/>
        <rFont val="Calibri"/>
        <family val="2"/>
        <scheme val="minor"/>
      </rPr>
      <t>Es llevado a cabo por el profesional encargado de la centralización de las visitas, recibe las visitas por asignar desde dos fuentes de información: i. a través del MICC y ii. lo reportado por el grupo de licenciamiento. 
S</t>
    </r>
    <r>
      <rPr>
        <u/>
        <sz val="11"/>
        <color rgb="FF000000"/>
        <rFont val="Calibri"/>
        <family val="2"/>
        <scheme val="minor"/>
      </rPr>
      <t xml:space="preserve">egundo control: </t>
    </r>
    <r>
      <rPr>
        <sz val="11"/>
        <color rgb="FF000000"/>
        <rFont val="Calibri"/>
        <family val="2"/>
        <scheme val="minor"/>
      </rPr>
      <t xml:space="preserve">Se envia la programación al líder del grupo técnico quien es el encargado de validar la información en relación a la revisión técnica. Una vez revisado por el líder, es enviado el plan de visitas al coordinador. 
</t>
    </r>
    <r>
      <rPr>
        <u/>
        <sz val="11"/>
        <color rgb="FF000000"/>
        <rFont val="Calibri"/>
        <family val="2"/>
        <scheme val="minor"/>
      </rPr>
      <t>Tercer control:</t>
    </r>
    <r>
      <rPr>
        <sz val="11"/>
        <color rgb="FF000000"/>
        <rFont val="Calibri"/>
        <family val="2"/>
        <scheme val="minor"/>
      </rPr>
      <t xml:space="preserve"> Revisión y aprobación por parte del coordinador del grupo. 
</t>
    </r>
    <r>
      <rPr>
        <b/>
        <sz val="11"/>
        <color rgb="FF000000"/>
        <rFont val="Calibri"/>
        <family val="2"/>
        <scheme val="minor"/>
      </rPr>
      <t>Se adjunta como evidencia</t>
    </r>
    <r>
      <rPr>
        <sz val="11"/>
        <color rgb="FF000000"/>
        <rFont val="Calibri"/>
        <family val="2"/>
        <scheme val="minor"/>
      </rPr>
      <t xml:space="preserve">: 
PDF con una muestra de las visitas realizadas y la trazabilidad en el sistema MICC </t>
    </r>
  </si>
  <si>
    <t xml:space="preserve">Durante el período objeto del reporte, el riesgo no se ha materializado y el control ha sido efectivo, lo anterior, teniendo en cuenta que se llevó a cabo la activación de los diferentes usuarios del MICC a los profesionales que intervienen en los diferentes trámites de licencias de cannabis con los permisos de acuerdo a la naturaleza del cargo y funciones a desempeñar. Así mismo, se solicita el diligenciamiento de los acuerdos de confidencialidad establecidos en el formato F-CR-11-10 y para otras entidades el formato F-CR-11-11. 
Adicionalmente, se solicita la consulta de los usuarios activos en el MICC a la subdirección de Tecnologías de la Información; dentro de dicho reporte se puede evidenciar que en la actualidad hay 4 administradores; quienen hacen parte del equipo de Desarrollo y soporte MICC. Adicionalmente, hay un administrador de Cannabis que corresponde a la coodinadora del grupo. 
Como evidencias se adjunta: 
Carpeta que contiene muestra de correos de solicitud de acceso al MICC. 
Excel con reporte de usuarios activos MICC. 
Por otro lado, dando cumplimiento a la acción del plan de tratamiento se llevó a cabo la revisión periodica de los usuarios vigentes Lo anterior, con el objetivo de verificar que solamente esten activos los profesiones (contratistas y/o de planta) que estén vinculados a traves de contrato o como funcionario público en la SCFSQyE. 
Como evidencia se adjunta: 
Excel que contiene los usuarios activos en el MICC. </t>
  </si>
  <si>
    <t xml:space="preserve">Durante el período objeto de reporte, el riesgo no se ha materializado y el control ha sido efectivo. Lo anterior, teniendo en cuenta se lleva a cabo la revisión por parte de los abogados pares para la detección de posibles inconsistencias, en donde se realizaron las respectivas devoluciones para corrección por parte del abogado que proyectó. 
Como evidencia queda: 
PDF muestra aleatoria de diferentes radicados del MICC donde se puede validar la trazabilidad de los trámites y la revisión que se lleva a cabo por cada abogado par. 
Por otro lado, dando cumplimiento a la acción del plan de tratamiento, una vez se lleva a cabo el filtro de la revisión y visto bueno del abogado par, el revisor final es el encargado de realizar la revisión final de fondo tanto del expediente como del acto administrativo proyectado conforme a lo establecido en la norma. 
Como evidencia queda: 
PDF muestra aleatoria de diferentes radicados del MICC en donde se puede validar la trazabilidad de los trámites y el concepto final que emite el abogado líder. 
</t>
  </si>
  <si>
    <r>
      <rPr>
        <sz val="10"/>
        <color rgb="FF000000"/>
        <rFont val="Arial"/>
        <family val="2"/>
      </rPr>
      <t>Durante el tercer cuatrimestre, el riesgo no se ha materializado y el control ha sido efectivo. Lo anterior, teniendo en cuenta que dentro de las actividades realizadas para administrar el riesgo, se encuentran las siguientes:
1. El 09 de diciembre de 2024, se llevó a cabo la publicación del nuevo instructivo I-CR-01 denominado "Cargue de soportes de pago al aplicativo MICC modulo "consulta de cuotas"" en el sistema integrado de gestión - SIG. Este instructivo tiene por objetivo establecer el paso a paso detallado de las actividades a realizar, bien sea por los servidores y/o contratistas del equipo financiero de la SCFSQyE al momento de ubicar y cargar los soportes de pago relacionados con el pago de los servicios de evaluación y seguimiento de las cuotas de las licencias de cultivo de plantas de cannabis (semillas, psicoactiva y no psiactiva), en el aplicativo MICC.
2</t>
    </r>
    <r>
      <rPr>
        <sz val="10"/>
        <color rgb="FFFF0000"/>
        <rFont val="Arial"/>
        <family val="2"/>
      </rPr>
      <t xml:space="preserve">. </t>
    </r>
    <r>
      <rPr>
        <sz val="10"/>
        <color rgb="FF000000"/>
        <rFont val="Arial"/>
        <family val="2"/>
      </rPr>
      <t xml:space="preserve">Durante el periodo evaluado se completó un plan de trabajo interno que tenía el grupo financiero de la subdirección que consistía en la ubicación y cargue de soportes los soportes de pago de 1.499 licencias otorgadas bajo la modalidad de cuotas; este trabajo, permitió mitigar la materialización del riesgo dado que se realizó la revisión de los soportes de pago allegados por las sociedades licenciatarias a través del SGDEA o por el aplicativo MICC, y se verificó contra los movimientos bancarios que refleja el extracto bancario de la cuenta de cannabis; posteriormente se actualizó y se cargó la información en la matriz de Excel "Seguimiento de Cuentas por Cobrar", como en el aplicativo MICC.
</t>
    </r>
    <r>
      <rPr>
        <i/>
        <sz val="10"/>
        <color rgb="FF000000"/>
        <rFont val="Arial"/>
        <family val="2"/>
      </rPr>
      <t xml:space="preserve">Como evidencias se adjunta: 
</t>
    </r>
    <r>
      <rPr>
        <sz val="10"/>
        <color rgb="FF000000"/>
        <rFont val="Arial"/>
        <family val="2"/>
      </rPr>
      <t xml:space="preserve">1. PDF con Instructivo I-CR-01 denominado "Cargue de soportes de pago al aplicativo MICC"
2. Matriz excel con el seguimiento a las cuentas por cobrar.
3. Informe de plan de trabajo con los avances.  
Así mismo, dando cumplimiento a la acción que comprende el plan de tratamiento, durante el tercer cuatrimestre se realizó el envío al equipo de sistemas y soporte de la subdirección las inconsistencias presentendas en el modulo de novedades financieras en el aplicativo MICC, a través del modulo de soporte canal creado para tal fin. 
Como evidencia se adjunta: 
01. Matriz de excel con las Novedades realizadas por el equipo financiero 3er cuatrimestre 2024
02. Matriz excel con el consolidado de los casos casos Soporte MICC - Financiero. </t>
    </r>
  </si>
  <si>
    <r>
      <rPr>
        <sz val="10"/>
        <color rgb="FF000000"/>
        <rFont val="Arial"/>
        <family val="2"/>
      </rPr>
      <t xml:space="preserve">Durante el período objeto del reporte, el riesgo no se materializó y el control fue efectivo teniendo en cuenta que el equipo finaciero con el objetivo de minimizar el riesgo, verifica el estado de cuenta de las sociedades licenciatarias pendientes del pago de sus obligaciones por concepto de las cuotas de servicio de seguimiento; para lo cual, en el periodo de septiembre a 30 de noviembre de 2024, se enviaron un total de 53 requerimientos de pago, a traves del gestor documental de la entidad. 
</t>
    </r>
    <r>
      <rPr>
        <i/>
        <sz val="10"/>
        <color rgb="FF000000"/>
        <rFont val="Arial"/>
        <family val="2"/>
      </rPr>
      <t xml:space="preserve">Como evidencia queda: 
</t>
    </r>
    <r>
      <rPr>
        <sz val="10"/>
        <color rgb="FF000000"/>
        <rFont val="Arial"/>
        <family val="2"/>
      </rPr>
      <t xml:space="preserve">
1. Relación en excel de los requerimientos enviados durante el periodo de septiembre a 30 de noviembre de 2024
Por otro lado, atendiendo la acción que hace parte del plan de tratamiento, durante el periodo de septiembre a 30 de noviembre de 2024, el Equipo Financiero conformó y remitió 55 expedientes al Grupo Jurídico de la Subdirección. Este proceso se realiza en cumplimiento de procedimiento P-CR-18 “Seguimiento de pagos y cuentas por cobrar licencias de cannabis”, el cual tiene como propósito iniciar el procedimiento sancionatorio en los casos que haya lugar y/o liquidación de la deuda para cobro coactivo.
</t>
    </r>
    <r>
      <rPr>
        <i/>
        <sz val="10"/>
        <color rgb="FF000000"/>
        <rFont val="Arial"/>
        <family val="2"/>
      </rPr>
      <t>Como evidencia queda: 
Matriz excel con requerimientos emitidos en septiembre
Matriz excel con Requerimientos emitidos en octubre
Matriz excel con Requerimientos emitidos en noviembre</t>
    </r>
  </si>
  <si>
    <t> Adelantar una actuación disciplinaria estando incurso en un conflicto de interés, inhabilidad, impedimento o incompatibilidad que afecte la imparcialidad en un proceso disciplinario, comprometiendo la objetividad y transparencia del proceso.</t>
  </si>
  <si>
    <t>Omisión al deber de declarar un conflicto de interés, inhabilidad, impedimento o incompatibilidad dentro de un proceso disciplinario.</t>
  </si>
  <si>
    <t xml:space="preserve">Pérdida de confianza: Al no declararse un conflicto de interés, inhabilidad, impedimento o incompatibilidad, ocasionaría la pérdida de credibilidad en los procesos disciplinarios que adelanta la Oficina de Control Disciplinario Interno.
Anulación del proceso disciplinario: Un proceso adelantado con un conflicto de interés, inhabilidad, impedimento o incompatibilidad podría llevar a la existencia de irregularidades sustanciales que afecten el debido proceso.
</t>
  </si>
  <si>
    <t>Para mitigar este riesgo, es crucial implementar controles internos rigurosos que aseguren la declaración oportuna y clara de cualquier conflicto de interés, inhabilidad, impedimento o incompatibilidad en las fases iniciales del proceso disciplinario. Esto incluiría la capacitación del personal en la identificación de estos factores y la correcta implementación de la “Guía para la identificación y la declaración del conflicto de interés” - G-TH-15.</t>
  </si>
  <si>
    <t>Incumplimiento al no declarar un conflicto de interés, inhabilidad, impedimento o incompatibilidad dentro de un proceso disciplinario</t>
  </si>
  <si>
    <t>Hacer seguimiento de control con cada uno de los abogados.</t>
  </si>
  <si>
    <t xml:space="preserve">Acta reunión </t>
  </si>
  <si>
    <t>Desde la Oficina de Control Disciplinario Interno, durante el segundo cuatrimestre se llevaron a cabo sesiones de retroalimentación sobre las acciones disciplinarias correspondientes a las quejas recibidas y los procedimientos en curso. Estas fueron documentadas a través de correos electrónicos. Adicionalmente, se realizó una reunión presencial para revisar y determinar las acciones disciplinarias a seguir en diversos procedimientos, en denuncias recibidas y el reporte de PQRDSF, este último plasmado en informe.</t>
  </si>
  <si>
    <t>Se verifica que en el segundo cuatrimestre se realizó el seguimiento por parte de la OCDI, el cual al momento de la unificación de los riesgos se traspuso con el de GGH, por lo anterior en el presente cuatrimestre se hace el correspondiente seguimiento al riesgo y sus controles.
En el presente cuatrimestre, se actualizó la matriz de riesgos de corrupción y sus derivados, y se reporta que el riesgo no se materializó. Además, se llevó a cabo una reunión con los abogados de la OCDI, donde se revisaron los procesos disciplinarios activos y por abrir, concluyendo que no existe ningún conflicto de interés, inhabilidad, impedimento o incompatibilidad que afecte la imparcialidad de los procesos. Se continuará monitoreando de manera constante este riesgo y sus controles.</t>
  </si>
  <si>
    <t>Inapropiado uso y administración de los bienes de la entidad</t>
  </si>
  <si>
    <t>Pérdida de valor de los activos de la entidad.
Retrasos en el cumplimiento de agenda de la alta dirección (Ministro (a), Viceministros y Directores).</t>
  </si>
  <si>
    <t>El Coordinador del GAIT o a quien delegue realizar el  seguimiento de los mantenimientos preventivos y correctivos del parque automotor de forma mensual , esto por medio de la  F-GA-02-09 Matriz De Seguimiento Plan De Mantenimientos Preventivos del Parque automotor siendo un documento que funciona como planificador de la operación y formato de verificación, de igual manera registrara en la matriz interna de seguimiento de mantenimientos preventivos y correctivosla totalidad de los mantenimientos los cuales deberan contener los historicos de servicios y facturación siendo el mecanismo que se utiliza para la comparación de generación de servicios y de valores obligados del presupuesto asignado y de anteriores.En caso de identificar alguna novedad referente a la prestación del servicio o sobrecosto en la facturación se comunicara al contratista por medio de correo electronico para que genere las acciones correspondientes y ajustes necesarios.
Evidencia
F-GA-02-09 Matriz de seguimiento plan de mantenimientos preventivos
Matriz interna de seguimiento de mantenimientos</t>
  </si>
  <si>
    <t xml:space="preserve">Inapropiado uso y administración de los bienes de la entidad
</t>
  </si>
  <si>
    <t xml:space="preserve">
Falta de control sobre los recorridos del vehículo</t>
  </si>
  <si>
    <t>El Coordinador del GAIT o a quien delegue revisara de forma quincenal los reportes diligenciados en  F-GA-02-02 Planilla Diaria Control Recorridos Vehículos junto con las copias de los suministros de combustible. Esta verificación permitirá constatar el estado inicial previo a las operaciones y los trayectos diarios registrados, utilizando como herramienta el tablero de control. Dicho mecanismo facilita la comparación entre los entregables y los servicios prestados.En caso de presentarse alguna novedad relacionada con los tiempos establecidos o inconsistencias en los registros suministrados, el conductor deberá justificar la situación enviando un correo electrónico al Coordinador del GAIT, explicando el incumplimiento o la novedad reportada.
Evidencia
F-GA-02-02 Planilla Diaria Control de Recorridos
Tiquetes de suministro de combustible
Consolidado del tablero de control(Registro pre-operacional)</t>
  </si>
  <si>
    <t>Elaboración de seguimientos mensuales de los contratos vigentes del parque automotor.</t>
  </si>
  <si>
    <t>Quincenalmente</t>
  </si>
  <si>
    <t>Coordinador GAIT</t>
  </si>
  <si>
    <t>F-GA-02-09 Matriz de seguimiento plan de mantenimientos preventivos
Matriz interna de seguimiento de mantenimientos</t>
  </si>
  <si>
    <r>
      <t xml:space="preserve">Durante el tercer cuatrimestre, el riesgo no se ha materializado y el control ha sido efectivo. 
En cuanto al control estipulado y como medida de control para administrar la probabilidad de ocurrencia del riesgo, desde la SCFSQyE se realiza el informe de cuentas por cobrar, y movimiento de los ingresos de la cartera de Cannabis del mes inmediatamente anterior, los cuales son remitidos al Grupo de Gestión Financiera y Contable para la elaboración de los cierres contables, dentro de los primeros diez (10) días de cada mes. 
</t>
    </r>
    <r>
      <rPr>
        <b/>
        <sz val="10"/>
        <color rgb="FF000000"/>
        <rFont val="Arial"/>
        <family val="2"/>
      </rPr>
      <t xml:space="preserve">Como evidencia se adjunta: 
</t>
    </r>
    <r>
      <rPr>
        <sz val="10"/>
        <color rgb="FF000000"/>
        <rFont val="Arial"/>
        <family val="2"/>
      </rPr>
      <t xml:space="preserve">
</t>
    </r>
    <r>
      <rPr>
        <b/>
        <sz val="10"/>
        <color rgb="FF000000"/>
        <rFont val="Arial"/>
        <family val="2"/>
      </rPr>
      <t xml:space="preserve">Carpetas agosto*, septiembre, octubre y noviembre, que contienen cada una:
</t>
    </r>
    <r>
      <rPr>
        <sz val="10"/>
        <color rgb="FF000000"/>
        <rFont val="Arial"/>
        <family val="2"/>
      </rPr>
      <t>1. Informe de cuentas por cobrar con corte a 31 de agosto de 2024, con corte a 30 de septiembre de 2024, con corte a 31 de octubre de 2024 y con corte a 30 de noviembre de 2024, el cual a la fecha se encuentra en revisión por parte del GGFC del MJD). 
2. Consolidado CXC licencias cannabis agosto, septiembre, octubre y noviembre de 2024. 
3. Movimientos julio a agosto; agosto a septiembre, septiembre a octubre y octubre a noviembre de 2024.
4. Correo de reporte cuentas por cobrar agosto, septiembre, octubre y noviembre de 2024
*</t>
    </r>
    <r>
      <rPr>
        <i/>
        <sz val="10"/>
        <color rgb="FF000000"/>
        <rFont val="Arial"/>
        <family val="2"/>
      </rPr>
      <t xml:space="preserve">Teniendo en cuenta la fecha del reporte del seguimiento anterior, se adjunta las evidencias corresponde al mes de agosto.
</t>
    </r>
    <r>
      <rPr>
        <sz val="10"/>
        <color rgb="FF000000"/>
        <rFont val="Arial"/>
        <family val="2"/>
      </rPr>
      <t>Por otro lado, dando cumplimiento a la acción que comprende el plan de tratamiento</t>
    </r>
    <r>
      <rPr>
        <i/>
        <sz val="10"/>
        <color rgb="FF000000"/>
        <rFont val="Arial"/>
        <family val="2"/>
      </rPr>
      <t xml:space="preserve"> d</t>
    </r>
    <r>
      <rPr>
        <sz val="10"/>
        <color rgb="FF000000"/>
        <rFont val="Arial"/>
        <family val="2"/>
      </rPr>
      <t xml:space="preserve">esde el Equipo Financiero de la Subdirección, se elabora mensualmente un informe de gestión, el cual tiene como objetivo presentar un análisis detallado del desempeño del proceso frente al trámite de las licencias de cultivo de plantas de cannabis, tanto al contado como a cuotas; así como, de la gestión de cartera asociada, durante el periodo evaluado. Ademas identificar avances, tendencias y áreas de mejora en la operación, garantizar la transparencia en la gestión y proporcionar información clave para la toma de decisiones estratégicas que optimicen la eficiencia del proceso y mejoren los resultados financieros.
Como evidencias se adjunta: 
1. Informe Cuentas por Cobrar Licencias de Cannabis - Corte Agosto 2024*
2. Informe Cuentas por Cobrar Licencias de Cannabis - Corte Septiembre 2024
3. Informe Cuentas por Cobrar Licencias de Cannabis - Corte Octubre 2024
4. Informe Cuentas por Cobrar Licencias de Cannabis - Corte Noviembre 2024
</t>
    </r>
    <r>
      <rPr>
        <i/>
        <sz val="10"/>
        <color rgb="FF000000"/>
        <rFont val="Arial"/>
        <family val="2"/>
      </rPr>
      <t>*Teniendo en cuenta la fecha del reporte del seguimiento anterior, se adjunta las evidencias corresponde al mes de agosto.</t>
    </r>
  </si>
  <si>
    <r>
      <rPr>
        <sz val="10"/>
        <color theme="1"/>
        <rFont val="Arial"/>
        <family val="2"/>
      </rPr>
      <t>Los ingenieros agronomos y/o abogados cada vez que realicen una visita técnica a un predio en el proceso de la solicitud del tramite de licenciamiento cargaran el acta en el drive dispuesto para este fin y es revisada por un profesional del equipo técnico quien valida e incluye en la base de datos la información relacionada y genera las observaciones a que haya lugar. Adicionalmente, las actas de visitas previas son un soporte que se carga en el MICC y el abogado al cual se le asigna el tramite tiene acceso al acta, cuando va a emitir el acto administrativo. En el caso de encontrar inconsistencias en la información de las visitas se informará al Subdirector(a).  
Como evidencias queda: 
Acta de Visita.
Base de datos de las visitas.</t>
    </r>
    <r>
      <rPr>
        <strike/>
        <sz val="10"/>
        <color theme="1"/>
        <rFont val="Arial"/>
        <family val="2"/>
      </rPr>
      <t xml:space="preserve">
</t>
    </r>
  </si>
  <si>
    <t xml:space="preserve">Las personas designadas por el Grupo de Control de Cannabis para llevar a cabo los trámites de Licencias de Cannabis, obtendrán el acceso al MICC a través de la asignación de un perfil acorde a las funciones a realizar y al rol establecido con el objetivo de controlar el acceso a la información de las solicitudes. En el caso que una o más personas soliciten acceso a información que no corresponde a las funciones asignadas, las personas encargadas al interior de la Subdirección informarán del hecho al coordinador del grupo Control de Cannabis.
Como evidencia quda: 
Trazabilidad en el MICC donde se evidencian los roles. 
Correo de solicitud al profesional de sistemas de Subdirección encargado de la asignación de roles. </t>
  </si>
  <si>
    <t xml:space="preserve">El abogado a cargo del trámite proyecta el acto administrativo y lo carga en la plataforma MICC, lo debe remitir al abogado par asignado quien será el encargado de verificar el cumplimiento de los requisitos generales y especificos del trámite contemplados en la normatividad vigente y a la vez, corrobora que la información que reposa en el acto administrativo este de manera correcta. En caso de que el revisor par observe alguna inconsistencia devuelve el expediente al abogado inicial junto con las observaciones pertinentes. Una vez, el abogado inicial realiza los ajustes señalados (si se requiere) se obtiene el visto bueno por parte del abogado par.
Como evidencia queda:
 Pantallazo de trazabilidad en MICC donde se realiza la validación por parte del abogado par y se otorga o se niega el visto bueno. </t>
  </si>
  <si>
    <r>
      <rPr>
        <sz val="10"/>
        <rFont val="Arial"/>
        <family val="2"/>
      </rPr>
      <t>Los funcionarios y/o contratistas asignados por la Subdirección de Control y Fiscalización de Sustancias Químicas y Estupefacientes- Grupo Control de Sustancias Químicas cada vez que llegue una solicitud para el trámite de expedición de CCITE realizaran validación juridica y tecnica conforme al marco normativo vigente, esta actividad se llevará a cabo por medio del SICOQ; en caso de no cumplir con los requisitos estipulados en el marco normativo, se deberá realizar el requerimiento al usuario solicitante. 
Posterior a la revisión inicial, el revisor final de la solicitud para el trámite de expedición de CCITE validara el cumplimiento de los requisitos juridicos, tecnicos, antecedentes por el delito de la ley 30 verificación y corroboración del pago generado. En caso de incumplir con alguno de los requisitos anteriormente mencionados, se deberá realizar la devolución al profesional que proyectó para su corrección antes de ser expedido el CCITE.</t>
    </r>
    <r>
      <rPr>
        <strike/>
        <sz val="10"/>
        <rFont val="Arial"/>
        <family val="2"/>
      </rPr>
      <t xml:space="preserve">
</t>
    </r>
  </si>
  <si>
    <t xml:space="preserve">Las personas designadas por el Grupo de Control de Sustancias Químicas para llevar a cabo los trámites de Certificado de Carencia de Informes por Tráfico de Estupefacientes, a fin de controlar el acceso a la información de las solicitudes, obtendrán el acceso al SICOQ a través de la asignación de un perfil acorde a las funciones a realizar y al rol establecido. En el caso que una o más personas soliciten acceso a información que no corresponde al proceso asignado, las personas encargadas al interior de la subdirección informarán del hecho al coordinador del grupo Control de Sustancias Químicas.
Como evidencia queda: 
Trazabilidad en el SICOQ donde se evidencian los roles. 
Correo de solicitud al profesional de sistemas de Subdirección encargado de la asignación de roles. </t>
  </si>
  <si>
    <t>En caso de que se reciba una solicitud de datos personales del profesional que este llevando a cabo un trámite interés del usuario, Los miembros del Grupo de Control de Sustancias Químicas informarán que los canales autorizados son el correo electronico hábilitado por la entidad para tramitar PQRS (gestion.documental@minjusticia.gov.co) y la página del Ministerio a través de la Ventanilla Virtual. También se indicará que puede remitirse al micrositio en donde se encuentra información relevante acerca del trámite como lo son capacitaciones, instructivos, normativa vigente entre otros. En el caso que el solicitante del trámite reitere el requerimiento, se pondrá en conocimiento del Subdirector(a).</t>
  </si>
  <si>
    <r>
      <t xml:space="preserve">Durante el tercer cuatrimestre de la vigencia 2024, el riesgo no se ha materializado y su control fue efectivo.
</t>
    </r>
    <r>
      <rPr>
        <b/>
        <sz val="10"/>
        <color rgb="FF000000"/>
        <rFont val="Arial"/>
        <family val="2"/>
      </rPr>
      <t>CONTROL:</t>
    </r>
    <r>
      <rPr>
        <sz val="10"/>
        <color rgb="FF000000"/>
        <rFont val="Arial"/>
        <family val="2"/>
      </rPr>
      <t xml:space="preserve">  Durante el período a reportar se realizó la creación de cinco (5) usuarios en el aplicativo SICOQ,correspondientes a roles tecnicos y juridicos los cuales se incorporaron al grupo de Sustancias Químicas de la Subdirección conforme a la solicitud realizada por los mismos una vez celebraron el contrato, lo anterior, con el objetivo que tengan acceso al aplicativo y poder gestionar cada uno de los tràmite que son asignado a cada profesional.
Como evidencia queda:
-Correos de solicitud de creación de usuarios.
-Documento con los Roles_SICOQ 
</t>
    </r>
    <r>
      <rPr>
        <b/>
        <sz val="10"/>
        <color rgb="FF000000"/>
        <rFont val="Arial"/>
        <family val="2"/>
      </rPr>
      <t>ACCIÓN DE PLAN DE TRATAMIENTO:</t>
    </r>
    <r>
      <rPr>
        <sz val="10"/>
        <color rgb="FF000000"/>
        <rFont val="Arial"/>
        <family val="2"/>
      </rPr>
      <t>Durante el tercer cuatrimestre, se lleva a cabo la validación de los usuarios activos e inactivos en el sistema de información SICOQ. El objetivo de este proceso es verificar que únicamente los profesionales (contratistas y/o de planta) que estén laborando para la SCFSQE durante la vigencia del periodo estén activos en el sistema. Esta medida busca mitigar el riesgo asociado a la gestión de usuarios en el sistema.</t>
    </r>
  </si>
  <si>
    <r>
      <t xml:space="preserve">Durante el tercer cuatrimestre de la vigencia 2024, el riesgo no se ha materializado y su control fue efectivo.
</t>
    </r>
    <r>
      <rPr>
        <b/>
        <sz val="10"/>
        <color rgb="FF000000"/>
        <rFont val="Arial"/>
        <family val="2"/>
      </rPr>
      <t xml:space="preserve">CONTROL: </t>
    </r>
    <r>
      <rPr>
        <sz val="10"/>
        <color rgb="FF000000"/>
        <rFont val="Arial"/>
        <family val="2"/>
      </rPr>
      <t xml:space="preserve">Los profesionales de la Subdirección de Control y Fiscalización de Sustancias Químicas y Estupefacientes- Grupo Control de Sustancias Químicas,  realizarón la validación jurídica y técnica de la solicitud, conforme al marco normativo vigente(Decreto 08585 de 2018), para algunos casos se realizaron requerimientos que son notificados automáticamente mediante el correo electrónico autorizado por los usuarios, mediante el  Sistema de Información para el Control de Sustancias y Productos Químicos -SICOQ, a los solicitantes que no cumplieron con los requerimientos iniciales de la solicitud. Luego del estudio integral de los trámites asignados para la expedición del Certificado de Carencia de Informes por Tráfico de Estupefacientes (CCITE), si se identificaron errores en la revisión inicial del trámite se procede a devolver el trámite para que sea asignado al abogado encargado. Este abogado deberá subsanar las deficiencias, con el fin de impulsar la solicitud y mejorar los procedimientos administrativos.
Como evidencia queda:
-Muestra aleatoria de los diferentes requerimientos que se le realizan a los usurios del CCITE.
-Muestra aleatoria de correos de devolución del trámite
</t>
    </r>
    <r>
      <rPr>
        <b/>
        <sz val="10"/>
        <color rgb="FF000000"/>
        <rFont val="Arial"/>
        <family val="2"/>
      </rPr>
      <t>Acción del plan de tratamiento:</t>
    </r>
    <r>
      <rPr>
        <sz val="10"/>
        <color rgb="FF000000"/>
        <rFont val="Arial"/>
        <family val="2"/>
      </rPr>
      <t>Con la finalidad de mitigar la materialización del riesgo, se establece un único canal de atención institucional. Esta medida busca evitar posibles prebendas hacia los ingenieros químicos, así como al personal jurídico y técnico, garantizando así la equidad y la transparencia en el proceso.
Como evidencia queda:
-Documento que muestra los canales de atención.</t>
    </r>
  </si>
  <si>
    <t xml:space="preserve">Al interior del Grupo de Gestión Humana, se cuenta con un enlace de contractual quién elabora los documentos de la etapa precontractual, sin embargo estos son presentados a los lideres de temas y coordinador del Grupo de Gestión Humana para su revisión y aprobación respecitva. </t>
  </si>
  <si>
    <t>Generación de nómina definitva presentada a la coordinador(a) del GGH y aprobado por el Secretario General.</t>
  </si>
  <si>
    <t>En el presente seguimiento, se observa que persisten las deficiencias en la estructura de la definición del riesgo, tal como la OCI ha señalado en seguimientos anteriores.
Adicionalmente, es crucial que la dependencia implemente las mejoras procedimentales identificadas en las reuniones con los colaboradores del Grupo de Acciones Legales y Constitucionales y los enlaces de calidad de la Dirección de Justicia Transicional, con el fin de avanzar en la acción del plan de tratamiento definido. Es fundamental aplicar tanto los controles como las acciones establecidas en el plan de tratamiento.
De igual manera, para el presente seguimiento se reitera que la DJT debe incluir dentro de las evidencias la matriz de seguimiento, junto con una muestra de la implementación de la matriz de seguimiento, con el objetivo de contribuir al fortalecimiento del control, su efectividad y; además, evidenciar el adecuado diligenciamiento cuando sea necesario.</t>
  </si>
  <si>
    <t>En el presente seguimiento, no ha sido posible corroborar la implementación de los controles ni de las acciones del plan de tratamiento, tal como se indicó en el seguimiento anterior. Aunque se están adelantando gestiones para el cambio del administrador del riesgo, es imprescindible que el GGFC presente las evidencias correspondientes a los controles para poder evaluar su ejecución y su contribución a la mitigación del riesgo.
Asimismo, la OCI no pudo verificar la proyección del acto administrativo mencionado en el monitoreo de la dependencia, por lo que no es posible emitir un comentario sobre la efectividad de las acciones realizadas.
Se espera que para los próximos seguimientos ya se haya asignado el administrador del riesgo al responsable correspondiente en el GGA.</t>
  </si>
  <si>
    <t>En el último seguimiento se evidencia que la dependencia no ha acatado ninguna de las recomendaciones realizadas por la OCI, por lo que se reitera cada una de las observaciones efectuadas en los seguimientos anteriores.
Se ha identificado que la dependencia ha ajustado las causas que podrían dar lugar a la materialización del riesgo, reduciéndolas a una sola. Sin embargo, resulta indispensable que se realice un análisis más exhaustivo de las causas. Para ello, se recomienda utilizar metodologías como los "5 porqués", el diagrama de Ishikawa (espina de pescado), entre otras.
Asimismo, es necesario adjuntar las evidencias que demuestren la implementación efectiva de los controles y de las acciones del plan de tratamiento.</t>
  </si>
  <si>
    <t>Se observa que la dependencia ha actualizado la definición del riesgo; sin embargo, esta carece de una estructura adecuada (Acción u Omisión + Uso del Poder + Desviación de la Gestión de lo Público + El Beneficio Privado) y de una correcta descripción del impacto, entendiendo que el impacto se refiere a las consecuencias que la materialización del riesgo podría ocasionar a la organización, siendo la consecuencia más grave que podría ocurrir si el riesgo se materializa.
Además, se recomienda que la dependencia revise la pertinencia de este riesgo, dado que no cumple con las especificaciones propias de los riesgos de corrupción. No se evidencia en la descripción del riesgo ninguna desviación de recursos públicos de la entidad, lo cual es una característica fundamental de un riesgo de corrupción.
Asimismo, se identifican debilidades en el análisis de las causas, así como en la formulación y definición de los controles y acciones del plan de tratamiento.</t>
  </si>
  <si>
    <t>En el presente seguimiento se confirma que se ha implementado tanto los controles como el plan de tratamiento. Se sugiere que, para la vigencia 2025, se realice un análisis para determinar si existen nuevas causas que puedan propiciar la materialización del riesgo.</t>
  </si>
  <si>
    <t>En el presente seguimiento, se evidencia que la dependencia continúa implementando de manera adecuada los controles y acciones del plan de tratamiento establecidos. Se alienta a la dependencia a seguir ejecutando cada una de las actividades descritas para mejorar el proceso.
Se sugiere que, para la vigencia 2025, la dependencia realice un análisis de causas con el fin de identificar posibles nuevos factores que puedan contribuir a la materialización del riesgo. Esto permitirá una mejora continua al considerar tanto los factores internos como externos que afectan el entorno del proceso.</t>
  </si>
  <si>
    <t xml:space="preserve">Se evidencia que la dependencia ha seguido las recomendaciones de la OCI respecto al diligenciamiento de la matriz, lo que favorece una adecuada administración del riesgo. Asimismo, se constata la implementación de los controles y las acciones del plan de tratamiento.
Se sugiere que, para la vigencia 2025, la dependencia realice un análisis de causas con el fin de identificar posibles nuevos factores que puedan contribuir a la materialización del riesgo. Esto permitirá una mejora continua al considerar tanto los factores internos como externos que afectan el entorno del proceso.
</t>
  </si>
  <si>
    <t>Se evidencia que la dependencia ha actualizado la descripción del riesgo; sin embargo, esta actualización carece de una estructura adecuada (Acción u Omisión + Uso del Poder + Desviación de la Gestión de lo Público + El Beneficio Privado) y de una correcta descripción del impacto. Es importante recordar que el impacto se refiere a las consecuencias que la materialización del riesgo podría generar en la organización, considerando que este se define como la mayor consecuencia posible si el riesgo se materializa.
Además, lo descrito en el monitoreo por parte de la dependencia y las evidencias presentadas no están alineados con los controles establecidos ni con las acciones del plan de tratamiento. Se recomienda que la dependencia realice un análisis comparativo entre lo definido en el riesgo, los controles establecidos y lo descrito en el monitoreo, ya que se presentan ambigüedades; por ejemplo, en una parte se menciona el préstamo de expedientes y en otra se habla del proceso de contratación del personal del MJD.
En consecuencia, es fundamental que se revise la pertinencia del riesgo o se realicen los ajustes necesarios para asegurar que exista coherencia entre el riesgo identificado y las medidas establecidas para mitigar su materialización.</t>
  </si>
  <si>
    <t>En el presente seguimiento, se observa que la dependencia ha realizado un ajuste en la descripción del riesgo, teniendo en cuenta las nuevas circunstancias que afectan su entorno. Sin embargo, no se evidencian ajustes en los controles establecidos, lo cual es fundamental para evaluar su efectividad. Por ello, se recomienda que la dependencia actualice los controles existentes para que mitiguen adecuadamente el riesgo, considerando tanto el entorno interno como externo, especialmente en relación con el contrato 694 de 2024, ya que las evidencias presentadas muestran retrasos en los procesos a cargo del aliado implementador.
Se sugiere analizar las nuevas causas que podrían dar lugar a la materialización del riesgo, debido a los constantes cambios en el entorno. Posteriormente, se debe proceder a la creación e implementación de nuevos controles que contribuyan a mitigar el riesgo, tal como fue recomendado por la OCI en el seguimiento anterior.
Por otro lado, aunque se evidencia la realización de reuniones periódicas entre el MJD y el aliado implementador, en las que se revisa el avance del proyecto, es importante que en cada reunión se dé un espacio para el seguimiento a los compromisos acordados en reuniones anteriores, con el fin de garantizar su cumplimiento y llevar un control riguroso por parte del MJD.</t>
  </si>
  <si>
    <t>Se evidencia que la dependencia actualizó la descripción del riesgo; sin embargo, esta no sigue la estructura adecuada para un riesgo de corrupción (Acción u Omisión + Uso del Poder + Desviación de la Gestión de lo Público + El Beneficio Privado).
Adicionalmente, se recomienda que la dependencia revise la pertinencia del riesgo planteado, ya que no cumple con las características propias de los riesgos de corrupción. En la descripción actual no se observa ninguna desviación de recursos públicos, lo cual es un elemento clave en este tipo de riesgos.
En cuanto a las evidencias aportadas, no es posible constatar de manera adecuada la implementación de los controles, ya que se presentan casos de personas que ingresaron a la entidad en periodos que no corresponden al corte de esta evaluación. Se sugiere revisar los controles definidos, ya que estos deben abordar cada una de las causas identificadas. Además, es necesario fortalecer los controles para asegurar una mitigación efectiva del riesgo.</t>
  </si>
  <si>
    <t>Se evidencia que el GGH actualizó la definición del riesgo, tomando en cuenta las observaciones de la OCI. Sin embargo, la descripción del impacto en la definición del riesgo no es adecuada, ya que el impacto debe detallar las consecuencias que la materialización del riesgo podría ocasionar a la organización, considerándose como la consecuencia más grave si el riesgo se llegara a materializar.
Asimismo, es crucial revisar los controles establecidos para mitigar la materialización del riesgo. Es necesario analizar el entorno a la luz de la nueva definición del riesgo para poder implementar controles más efectivos.
Se ha constatado que se está llevando a cabo la implementación de los controles.</t>
  </si>
  <si>
    <t>Durante el tercer cuatrimestre, la dependencia ha continuado implementando los controles de forma adecuada. Además, se ha constatado que la dependencia ha actualizado la descripción de la definición del riesgo, conforme a la recomendación de la OCI.
Se insta a que el proceso continúe implementando los controles de manera efectiva, con el fin de mitigar la materialización del riesgo.</t>
  </si>
  <si>
    <t>Se observa que la dependencia está implementando adecuadamente los controles establecidos, lo que contribuye a la mitigación del riesgo.
Asimismo, es crucial que la dependencia revise tanto el entorno interno como externo del riesgo, así como las nuevas herramientas implementadas en el proceso, para poder identificar a tiempo posibles causas que puedan originar la materialización del riesgo.
La OCI reitera la importancia de revisar la descripción del impacto en la definición del riesgo, considerando que el impacto se refiere a las consecuencias que la materialización del riesgo podría generar para la organización.</t>
  </si>
  <si>
    <t xml:space="preserve">Se evidencia que el riesgo fue actualizado; sin embargo, carece de la estructura definida para estos riesgos (Acción u Omisión + Uso del Poder + Desviación de la Gestión de lo Público + El Beneficio Privado).
Por otro lado, se observa que no existe una definición clara del control, lo que dificulta su implementación efectiva. Se recomienda a la dependencia estructurar adecuadamente la descripción del control. Además, es importante revisar el análisis de las causas para determinar si existen otras que puedan originar la materialización del riesgo.
En cuanto a la acción del plan de tratamiento, se encuentra bien formulada, ya que su objetivo es fortalecer el control. Sin embargo, esto no exime de la necesidad de realizar una definición precisa del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</si>
</sst>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dd/mm/yyyy;@"/>
  </numFmts>
  <fonts count="66">
    <font>
      <sz val="11"/>
      <color theme="1"/>
      <name val="Calibri"/>
      <family val="2"/>
      <scheme val="minor"/>
    </font>
    <font>
      <sz val="10"/>
      <name val="Arial"/>
      <family val="2"/>
    </font>
    <font>
      <b/>
      <sz val="11"/>
      <color theme="1"/>
      <name val="Calibri"/>
      <family val="2"/>
      <scheme val="minor"/>
    </font>
    <font>
      <sz val="11"/>
      <color indexed="8"/>
      <name val="Calibri"/>
      <family val="2"/>
    </font>
    <font>
      <b/>
      <sz val="11"/>
      <color indexed="8"/>
      <name val="Calibri"/>
      <family val="2"/>
    </font>
    <font>
      <sz val="11"/>
      <name val="Calibri"/>
      <family val="2"/>
    </font>
    <font>
      <b/>
      <sz val="10"/>
      <color indexed="8"/>
      <name val="Calibri"/>
      <family val="2"/>
    </font>
    <font>
      <sz val="11"/>
      <color indexed="9"/>
      <name val="Calibri"/>
      <family val="2"/>
    </font>
    <font>
      <sz val="10"/>
      <color indexed="8"/>
      <name val="Calibri"/>
      <family val="2"/>
    </font>
    <font>
      <sz val="8"/>
      <color indexed="8"/>
      <name val="Calibri"/>
      <family val="2"/>
    </font>
    <font>
      <sz val="10"/>
      <color theme="1"/>
      <name val="Arial"/>
      <family val="2"/>
    </font>
    <font>
      <sz val="11"/>
      <color rgb="FF000000"/>
      <name val="Calibri"/>
      <family val="2"/>
    </font>
    <font>
      <b/>
      <sz val="10"/>
      <color theme="0"/>
      <name val="Arial"/>
      <family val="2"/>
    </font>
    <font>
      <b/>
      <sz val="10"/>
      <name val="Arial"/>
      <family val="2"/>
    </font>
    <font>
      <sz val="10"/>
      <color rgb="FF003300"/>
      <name val="Arial"/>
      <family val="2"/>
    </font>
    <font>
      <sz val="12"/>
      <color theme="1"/>
      <name val="Arial"/>
      <family val="2"/>
    </font>
    <font>
      <b/>
      <sz val="12"/>
      <color theme="1"/>
      <name val="Arial"/>
      <family val="2"/>
    </font>
    <font>
      <b/>
      <sz val="9"/>
      <color indexed="81"/>
      <name val="Tahoma"/>
      <family val="2"/>
    </font>
    <font>
      <sz val="9"/>
      <color indexed="81"/>
      <name val="Tahoma"/>
      <family val="2"/>
    </font>
    <font>
      <sz val="12"/>
      <name val="Arial"/>
      <family val="2"/>
    </font>
    <font>
      <sz val="16"/>
      <color theme="1"/>
      <name val="Calibri"/>
      <family val="2"/>
      <scheme val="minor"/>
    </font>
    <font>
      <b/>
      <sz val="11"/>
      <color theme="4" tint="-0.499984740745262"/>
      <name val="Calibri"/>
      <family val="2"/>
      <scheme val="minor"/>
    </font>
    <font>
      <b/>
      <sz val="11"/>
      <color theme="7" tint="-0.499984740745262"/>
      <name val="Calibri"/>
      <family val="2"/>
      <scheme val="minor"/>
    </font>
    <font>
      <b/>
      <sz val="11"/>
      <color rgb="FF00B050"/>
      <name val="Calibri"/>
      <family val="2"/>
      <scheme val="minor"/>
    </font>
    <font>
      <b/>
      <sz val="11"/>
      <color rgb="FF7030A0"/>
      <name val="Calibri"/>
      <family val="2"/>
      <scheme val="minor"/>
    </font>
    <font>
      <b/>
      <sz val="11"/>
      <color theme="4" tint="-0.249977111117893"/>
      <name val="Calibri"/>
      <family val="2"/>
      <scheme val="minor"/>
    </font>
    <font>
      <b/>
      <sz val="11"/>
      <color theme="5" tint="-0.249977111117893"/>
      <name val="Calibri"/>
      <family val="2"/>
      <scheme val="minor"/>
    </font>
    <font>
      <i/>
      <sz val="11"/>
      <name val="Gadugi"/>
      <family val="2"/>
    </font>
    <font>
      <sz val="11"/>
      <color rgb="FF212529"/>
      <name val="Arial"/>
      <family val="2"/>
    </font>
    <font>
      <b/>
      <sz val="11"/>
      <color rgb="FF333333"/>
      <name val="Arial"/>
      <family val="2"/>
    </font>
    <font>
      <sz val="72"/>
      <color theme="1"/>
      <name val="Arial"/>
      <family val="2"/>
    </font>
    <font>
      <sz val="22"/>
      <color theme="1"/>
      <name val="Arial"/>
      <family val="2"/>
    </font>
    <font>
      <sz val="24"/>
      <color theme="1"/>
      <name val="Arial"/>
      <family val="2"/>
    </font>
    <font>
      <sz val="11"/>
      <color theme="1"/>
      <name val="Calibri"/>
      <family val="2"/>
      <scheme val="minor"/>
    </font>
    <font>
      <sz val="11"/>
      <color rgb="FFFF0000"/>
      <name val="Calibri"/>
      <family val="2"/>
      <scheme val="minor"/>
    </font>
    <font>
      <sz val="11"/>
      <color rgb="FF222222"/>
      <name val="Calibri"/>
      <family val="2"/>
      <scheme val="minor"/>
    </font>
    <font>
      <b/>
      <sz val="11"/>
      <color theme="0"/>
      <name val="Calibri"/>
      <family val="2"/>
      <scheme val="minor"/>
    </font>
    <font>
      <b/>
      <i/>
      <sz val="14"/>
      <color indexed="81"/>
      <name val="Tahoma"/>
      <family val="2"/>
    </font>
    <font>
      <b/>
      <sz val="10"/>
      <color theme="0"/>
      <name val="Verdana"/>
      <family val="2"/>
    </font>
    <font>
      <b/>
      <sz val="10"/>
      <color theme="1"/>
      <name val="Verdana"/>
      <family val="2"/>
    </font>
    <font>
      <sz val="10"/>
      <color theme="1"/>
      <name val="Verdana"/>
      <family val="2"/>
    </font>
    <font>
      <b/>
      <sz val="16"/>
      <color indexed="81"/>
      <name val="Tahoma"/>
      <family val="2"/>
    </font>
    <font>
      <sz val="16"/>
      <color indexed="81"/>
      <name val="Tahoma"/>
      <family val="2"/>
    </font>
    <font>
      <b/>
      <sz val="18"/>
      <color indexed="81"/>
      <name val="Tahoma"/>
      <family val="2"/>
    </font>
    <font>
      <sz val="18"/>
      <color indexed="81"/>
      <name val="Tahoma"/>
      <family val="2"/>
    </font>
    <font>
      <sz val="11"/>
      <color theme="1"/>
      <name val="Abadi"/>
      <family val="2"/>
    </font>
    <font>
      <sz val="11"/>
      <color rgb="FF003300"/>
      <name val="Abadi"/>
      <family val="2"/>
    </font>
    <font>
      <sz val="11"/>
      <name val="Abadi"/>
      <family val="2"/>
    </font>
    <font>
      <b/>
      <sz val="11"/>
      <color theme="1"/>
      <name val="Abadi"/>
      <family val="2"/>
    </font>
    <font>
      <sz val="11"/>
      <color theme="0"/>
      <name val="Abadi"/>
      <family val="2"/>
    </font>
    <font>
      <sz val="20"/>
      <color theme="1"/>
      <name val="Arial"/>
      <family val="2"/>
    </font>
    <font>
      <sz val="26"/>
      <color theme="1"/>
      <name val="Calibri"/>
      <family val="2"/>
      <scheme val="minor"/>
    </font>
    <font>
      <sz val="72"/>
      <color theme="1"/>
      <name val="Calibri"/>
      <family val="2"/>
      <scheme val="minor"/>
    </font>
    <font>
      <sz val="11"/>
      <name val="Calibri"/>
      <family val="2"/>
      <scheme val="minor"/>
    </font>
    <font>
      <sz val="10"/>
      <color rgb="FF000000"/>
      <name val="Arial"/>
      <family val="2"/>
    </font>
    <font>
      <sz val="11"/>
      <color rgb="FF000000"/>
      <name val="Arial"/>
      <family val="2"/>
    </font>
    <font>
      <strike/>
      <sz val="10"/>
      <name val="Arial"/>
      <family val="2"/>
    </font>
    <font>
      <sz val="10"/>
      <color rgb="FFFF0000"/>
      <name val="Arial"/>
      <family val="2"/>
    </font>
    <font>
      <strike/>
      <sz val="10"/>
      <color theme="1"/>
      <name val="Arial"/>
      <family val="2"/>
    </font>
    <font>
      <i/>
      <sz val="10"/>
      <name val="Arial"/>
      <family val="2"/>
    </font>
    <font>
      <b/>
      <sz val="10"/>
      <color rgb="FF000000"/>
      <name val="Arial"/>
      <family val="2"/>
    </font>
    <font>
      <b/>
      <sz val="11"/>
      <name val="Calibri"/>
      <family val="2"/>
      <scheme val="minor"/>
    </font>
    <font>
      <sz val="11"/>
      <color rgb="FF000000"/>
      <name val="Calibri"/>
      <family val="2"/>
      <scheme val="minor"/>
    </font>
    <font>
      <b/>
      <sz val="11"/>
      <color rgb="FF000000"/>
      <name val="Calibri"/>
      <family val="2"/>
      <scheme val="minor"/>
    </font>
    <font>
      <u/>
      <sz val="11"/>
      <color rgb="FF000000"/>
      <name val="Calibri"/>
      <family val="2"/>
      <scheme val="minor"/>
    </font>
    <font>
      <i/>
      <sz val="10"/>
      <color rgb="FF000000"/>
      <name val="Arial"/>
      <family val="2"/>
    </font>
  </fonts>
  <fills count="32">
    <fill>
      <patternFill patternType="none"/>
    </fill>
    <fill>
      <patternFill patternType="gray125"/>
    </fill>
    <fill>
      <patternFill patternType="solid">
        <fgColor theme="9" tint="0.59999389629810485"/>
        <bgColor indexed="31"/>
      </patternFill>
    </fill>
    <fill>
      <patternFill patternType="solid">
        <fgColor indexed="57"/>
        <bgColor indexed="21"/>
      </patternFill>
    </fill>
    <fill>
      <patternFill patternType="solid">
        <fgColor indexed="13"/>
        <bgColor indexed="34"/>
      </patternFill>
    </fill>
    <fill>
      <patternFill patternType="solid">
        <fgColor indexed="52"/>
        <bgColor indexed="51"/>
      </patternFill>
    </fill>
    <fill>
      <patternFill patternType="solid">
        <fgColor indexed="10"/>
        <bgColor indexed="16"/>
      </patternFill>
    </fill>
    <fill>
      <patternFill patternType="solid">
        <fgColor indexed="53"/>
        <bgColor indexed="52"/>
      </patternFill>
    </fill>
    <fill>
      <patternFill patternType="solid">
        <fgColor theme="6" tint="0.79998168889431442"/>
        <bgColor indexed="64"/>
      </patternFill>
    </fill>
    <fill>
      <patternFill patternType="solid">
        <fgColor theme="0"/>
        <bgColor theme="0"/>
      </patternFill>
    </fill>
    <fill>
      <patternFill patternType="solid">
        <fgColor theme="0"/>
        <bgColor indexed="64"/>
      </patternFill>
    </fill>
    <fill>
      <patternFill patternType="solid">
        <fgColor theme="9" tint="0.59999389629810485"/>
        <bgColor indexed="64"/>
      </patternFill>
    </fill>
    <fill>
      <patternFill patternType="solid">
        <fgColor theme="0"/>
        <bgColor indexed="31"/>
      </patternFill>
    </fill>
    <fill>
      <patternFill patternType="solid">
        <fgColor rgb="FF3366CC"/>
        <bgColor indexed="64"/>
      </patternFill>
    </fill>
    <fill>
      <patternFill patternType="solid">
        <fgColor rgb="FFE2ECFD"/>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rgb="FF92D050"/>
        <bgColor indexed="64"/>
      </patternFill>
    </fill>
    <fill>
      <patternFill patternType="solid">
        <fgColor rgb="FFFFFFFF"/>
        <bgColor rgb="FF000000"/>
      </patternFill>
    </fill>
    <fill>
      <patternFill patternType="solid">
        <fgColor theme="9" tint="0.399975585192419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CCCCFF"/>
        <bgColor indexed="64"/>
      </patternFill>
    </fill>
    <fill>
      <patternFill patternType="solid">
        <fgColor rgb="FFFFC000"/>
        <bgColor indexed="64"/>
      </patternFill>
    </fill>
  </fills>
  <borders count="90">
    <border>
      <left/>
      <right/>
      <top/>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ck">
        <color theme="0" tint="-0.499984740745262"/>
      </left>
      <right/>
      <top/>
      <bottom/>
      <diagonal/>
    </border>
    <border>
      <left style="thick">
        <color theme="0" tint="-0.499984740745262"/>
      </left>
      <right/>
      <top/>
      <bottom style="thin">
        <color theme="0" tint="-0.499984740745262"/>
      </bottom>
      <diagonal/>
    </border>
    <border>
      <left/>
      <right/>
      <top/>
      <bottom style="thin">
        <color theme="0" tint="-0.4999847407452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top/>
      <bottom style="thin">
        <color rgb="FF7F7F7F"/>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rgb="FFDEE2E6"/>
      </top>
      <bottom/>
      <diagonal/>
    </border>
    <border>
      <left style="thick">
        <color theme="0" tint="-0.499984740745262"/>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rgb="FF7F7F7F"/>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indexed="9"/>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rgb="FF7F7F7F"/>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auto="1"/>
      </right>
      <top/>
      <bottom style="thin">
        <color rgb="FF7F7F7F"/>
      </bottom>
      <diagonal/>
    </border>
    <border>
      <left style="thin">
        <color auto="1"/>
      </left>
      <right style="thin">
        <color auto="1"/>
      </right>
      <top style="thin">
        <color auto="1"/>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rgb="FF000000"/>
      </right>
      <top style="thin">
        <color rgb="FF000000"/>
      </top>
      <bottom style="medium">
        <color indexed="64"/>
      </bottom>
      <diagonal/>
    </border>
    <border>
      <left style="thin">
        <color auto="1"/>
      </left>
      <right style="thin">
        <color auto="1"/>
      </right>
      <top style="thin">
        <color auto="1"/>
      </top>
      <bottom/>
      <diagonal/>
    </border>
  </borders>
  <cellStyleXfs count="7">
    <xf numFmtId="0" fontId="0" fillId="0" borderId="0"/>
    <xf numFmtId="0" fontId="1" fillId="0" borderId="0"/>
    <xf numFmtId="0" fontId="1" fillId="0" borderId="0"/>
    <xf numFmtId="0" fontId="3" fillId="0" borderId="0"/>
    <xf numFmtId="0" fontId="11" fillId="0" borderId="0"/>
    <xf numFmtId="9" fontId="33" fillId="0" borderId="0" applyFont="0" applyFill="0" applyBorder="0" applyAlignment="0" applyProtection="0"/>
    <xf numFmtId="0" fontId="1" fillId="0" borderId="0"/>
  </cellStyleXfs>
  <cellXfs count="696">
    <xf numFmtId="0" fontId="0" fillId="0" borderId="0" xfId="0"/>
    <xf numFmtId="0" fontId="3" fillId="0" borderId="0" xfId="3"/>
    <xf numFmtId="0" fontId="5" fillId="0" borderId="0" xfId="3" applyFont="1"/>
    <xf numFmtId="0" fontId="7" fillId="0" borderId="0" xfId="3" applyFont="1"/>
    <xf numFmtId="0" fontId="3" fillId="0" borderId="1" xfId="3" applyBorder="1" applyAlignment="1">
      <alignment horizontal="center" vertical="center"/>
    </xf>
    <xf numFmtId="0" fontId="3" fillId="0" borderId="2" xfId="3" applyBorder="1" applyAlignment="1">
      <alignment horizontal="center" vertical="center"/>
    </xf>
    <xf numFmtId="0" fontId="3" fillId="0" borderId="2" xfId="3" applyBorder="1"/>
    <xf numFmtId="0" fontId="3" fillId="0" borderId="1" xfId="3" applyBorder="1"/>
    <xf numFmtId="0" fontId="8" fillId="0" borderId="0" xfId="3" applyFont="1"/>
    <xf numFmtId="0" fontId="3" fillId="0" borderId="0" xfId="3" applyAlignment="1">
      <alignment horizontal="center" vertical="center"/>
    </xf>
    <xf numFmtId="0" fontId="2" fillId="0" borderId="0" xfId="0" applyFont="1"/>
    <xf numFmtId="0" fontId="3" fillId="0" borderId="0" xfId="3" applyAlignment="1">
      <alignment vertical="center"/>
    </xf>
    <xf numFmtId="0" fontId="6" fillId="0" borderId="0" xfId="3" applyFont="1" applyAlignment="1">
      <alignment horizontal="center" vertical="center" wrapText="1"/>
    </xf>
    <xf numFmtId="0" fontId="4" fillId="12" borderId="0" xfId="3" applyFont="1" applyFill="1" applyAlignment="1">
      <alignment horizontal="center" vertical="center"/>
    </xf>
    <xf numFmtId="0" fontId="10" fillId="16" borderId="0" xfId="0" applyFont="1" applyFill="1" applyAlignment="1">
      <alignment vertical="center" wrapText="1"/>
    </xf>
    <xf numFmtId="0" fontId="1" fillId="0" borderId="0" xfId="0" applyFont="1"/>
    <xf numFmtId="0" fontId="13" fillId="14" borderId="10" xfId="0" applyFont="1" applyFill="1" applyBorder="1" applyAlignment="1">
      <alignment horizontal="center" vertical="center" wrapText="1"/>
    </xf>
    <xf numFmtId="0" fontId="1" fillId="9" borderId="4" xfId="0" applyFont="1" applyFill="1" applyBorder="1" applyAlignment="1" applyProtection="1">
      <alignment vertical="center" wrapText="1"/>
      <protection locked="0"/>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wrapText="1"/>
    </xf>
    <xf numFmtId="0" fontId="13" fillId="10" borderId="12" xfId="0" applyFont="1" applyFill="1" applyBorder="1" applyAlignment="1">
      <alignment horizontal="center" vertical="center" wrapText="1"/>
    </xf>
    <xf numFmtId="0" fontId="15" fillId="16" borderId="0" xfId="0" applyFont="1" applyFill="1" applyAlignment="1">
      <alignment vertical="center" wrapText="1"/>
    </xf>
    <xf numFmtId="0" fontId="0" fillId="0" borderId="0" xfId="0" applyAlignment="1">
      <alignment wrapText="1"/>
    </xf>
    <xf numFmtId="0" fontId="0" fillId="0" borderId="0" xfId="0" applyAlignment="1">
      <alignment horizontal="center" wrapText="1"/>
    </xf>
    <xf numFmtId="0" fontId="20" fillId="0" borderId="0" xfId="0" applyFont="1"/>
    <xf numFmtId="0" fontId="20" fillId="0" borderId="0" xfId="0" applyFont="1" applyAlignment="1">
      <alignment wrapText="1"/>
    </xf>
    <xf numFmtId="0" fontId="1" fillId="0" borderId="18" xfId="0" applyFont="1" applyBorder="1" applyAlignment="1">
      <alignment horizontal="center" vertical="center" wrapText="1"/>
    </xf>
    <xf numFmtId="0" fontId="1" fillId="10" borderId="16" xfId="0" applyFont="1" applyFill="1" applyBorder="1" applyAlignment="1" applyProtection="1">
      <alignment vertical="center" wrapText="1"/>
      <protection locked="0"/>
    </xf>
    <xf numFmtId="0" fontId="19" fillId="9" borderId="16" xfId="0" applyFont="1" applyFill="1" applyBorder="1" applyAlignment="1" applyProtection="1">
      <alignment vertical="center" wrapText="1"/>
      <protection locked="0"/>
    </xf>
    <xf numFmtId="0" fontId="1" fillId="10" borderId="8" xfId="0" applyFont="1" applyFill="1" applyBorder="1" applyAlignment="1" applyProtection="1">
      <alignment vertical="center" wrapText="1"/>
      <protection locked="0"/>
    </xf>
    <xf numFmtId="0" fontId="19" fillId="9" borderId="8" xfId="0" applyFont="1" applyFill="1" applyBorder="1" applyAlignment="1" applyProtection="1">
      <alignment vertical="center" wrapText="1"/>
      <protection locked="0"/>
    </xf>
    <xf numFmtId="0" fontId="2" fillId="0" borderId="5" xfId="0" applyFont="1" applyBorder="1"/>
    <xf numFmtId="0" fontId="2" fillId="0" borderId="4" xfId="0" applyFont="1" applyBorder="1"/>
    <xf numFmtId="0" fontId="2" fillId="0" borderId="6" xfId="0" applyFont="1" applyBorder="1"/>
    <xf numFmtId="0" fontId="21" fillId="0" borderId="33" xfId="0" applyFont="1" applyBorder="1"/>
    <xf numFmtId="0" fontId="22" fillId="0" borderId="33" xfId="0" applyFont="1" applyBorder="1" applyAlignment="1">
      <alignment wrapText="1"/>
    </xf>
    <xf numFmtId="0" fontId="23" fillId="0" borderId="33" xfId="0" applyFont="1" applyBorder="1"/>
    <xf numFmtId="0" fontId="24" fillId="0" borderId="33" xfId="0" applyFont="1" applyBorder="1" applyAlignment="1">
      <alignment wrapText="1"/>
    </xf>
    <xf numFmtId="0" fontId="25" fillId="0" borderId="33" xfId="0" applyFont="1" applyBorder="1" applyAlignment="1">
      <alignment wrapText="1"/>
    </xf>
    <xf numFmtId="0" fontId="26" fillId="0" borderId="33" xfId="0" applyFont="1" applyBorder="1" applyAlignment="1">
      <alignment wrapText="1"/>
    </xf>
    <xf numFmtId="0" fontId="0" fillId="0" borderId="33"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xf numFmtId="0" fontId="0" fillId="20" borderId="0" xfId="0" applyFill="1"/>
    <xf numFmtId="0" fontId="29" fillId="20" borderId="39" xfId="0" applyFont="1" applyFill="1" applyBorder="1" applyAlignment="1">
      <alignment vertical="center" wrapText="1"/>
    </xf>
    <xf numFmtId="0" fontId="14" fillId="0" borderId="32" xfId="0" applyFont="1" applyBorder="1" applyAlignment="1" applyProtection="1">
      <alignment horizontal="justify" vertical="center" wrapText="1"/>
      <protection locked="0"/>
    </xf>
    <xf numFmtId="0" fontId="13" fillId="8" borderId="12" xfId="0" applyFont="1" applyFill="1" applyBorder="1" applyAlignment="1">
      <alignment horizontal="center" vertical="center" wrapText="1"/>
    </xf>
    <xf numFmtId="0" fontId="13" fillId="14" borderId="16" xfId="0" applyFont="1" applyFill="1" applyBorder="1" applyAlignment="1">
      <alignment horizontal="center" vertical="center" wrapText="1"/>
    </xf>
    <xf numFmtId="0" fontId="34" fillId="21" borderId="0" xfId="0" applyFont="1" applyFill="1"/>
    <xf numFmtId="0" fontId="0" fillId="14" borderId="0" xfId="0" applyFill="1"/>
    <xf numFmtId="0" fontId="10" fillId="0" borderId="12"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3" fillId="14" borderId="30" xfId="0" applyFont="1" applyFill="1" applyBorder="1" applyAlignment="1">
      <alignment horizontal="center" vertical="center" wrapText="1"/>
    </xf>
    <xf numFmtId="0" fontId="19" fillId="9" borderId="12" xfId="0" applyFont="1" applyFill="1" applyBorder="1" applyAlignment="1" applyProtection="1">
      <alignment vertical="center" wrapText="1"/>
      <protection locked="0"/>
    </xf>
    <xf numFmtId="0" fontId="1" fillId="9" borderId="12" xfId="0" applyFont="1" applyFill="1" applyBorder="1" applyAlignment="1" applyProtection="1">
      <alignment vertical="center" wrapText="1"/>
      <protection locked="0"/>
    </xf>
    <xf numFmtId="0" fontId="1" fillId="0" borderId="12" xfId="0" applyFont="1" applyBorder="1" applyProtection="1">
      <protection locked="0"/>
    </xf>
    <xf numFmtId="0" fontId="13" fillId="8" borderId="16" xfId="0" applyFont="1" applyFill="1" applyBorder="1" applyAlignment="1">
      <alignment vertical="center" wrapText="1"/>
    </xf>
    <xf numFmtId="0" fontId="14" fillId="0" borderId="43" xfId="0" applyFont="1" applyBorder="1" applyAlignment="1" applyProtection="1">
      <alignment horizontal="justify" vertical="center" wrapText="1"/>
      <protection locked="0"/>
    </xf>
    <xf numFmtId="0" fontId="14" fillId="0" borderId="4" xfId="0" applyFont="1" applyBorder="1" applyAlignment="1" applyProtection="1">
      <alignment horizontal="justify" vertical="center" wrapText="1"/>
      <protection locked="0"/>
    </xf>
    <xf numFmtId="0" fontId="1" fillId="0" borderId="4" xfId="0" applyFont="1" applyBorder="1" applyAlignment="1" applyProtection="1">
      <alignment vertical="center" wrapText="1"/>
      <protection locked="0"/>
    </xf>
    <xf numFmtId="0" fontId="1" fillId="0" borderId="4" xfId="0" applyFont="1" applyBorder="1" applyAlignment="1" applyProtection="1">
      <alignment horizontal="center" vertical="center" wrapText="1"/>
      <protection locked="0"/>
    </xf>
    <xf numFmtId="0" fontId="1" fillId="0" borderId="44" xfId="0" applyFont="1" applyBorder="1" applyAlignment="1">
      <alignment horizontal="center" vertical="center" wrapText="1"/>
    </xf>
    <xf numFmtId="0" fontId="13" fillId="8" borderId="25" xfId="0" applyFont="1" applyFill="1" applyBorder="1" applyAlignment="1">
      <alignment vertical="center" wrapText="1"/>
    </xf>
    <xf numFmtId="0" fontId="10" fillId="0" borderId="47" xfId="0" applyFont="1" applyBorder="1" applyAlignment="1" applyProtection="1">
      <alignment vertical="center" wrapText="1"/>
      <protection locked="0"/>
    </xf>
    <xf numFmtId="0" fontId="1" fillId="9" borderId="8" xfId="0" applyFont="1" applyFill="1" applyBorder="1" applyAlignment="1" applyProtection="1">
      <alignment vertical="center" wrapText="1"/>
      <protection locked="0"/>
    </xf>
    <xf numFmtId="0" fontId="14" fillId="0" borderId="8" xfId="0" applyFont="1" applyBorder="1" applyAlignment="1" applyProtection="1">
      <alignment horizontal="justify" vertical="center" wrapText="1"/>
      <protection locked="0"/>
    </xf>
    <xf numFmtId="0" fontId="1" fillId="0" borderId="8" xfId="0" applyFont="1" applyBorder="1" applyAlignment="1" applyProtection="1">
      <alignment vertical="center" wrapText="1"/>
      <protection locked="0"/>
    </xf>
    <xf numFmtId="0" fontId="1" fillId="0" borderId="8" xfId="0" applyFont="1" applyBorder="1" applyAlignment="1" applyProtection="1">
      <alignment horizontal="center" vertical="center" wrapText="1"/>
      <protection locked="0"/>
    </xf>
    <xf numFmtId="0" fontId="1" fillId="0" borderId="24" xfId="0" applyFont="1" applyBorder="1" applyAlignment="1">
      <alignment horizontal="center" vertical="center" wrapText="1"/>
    </xf>
    <xf numFmtId="0" fontId="13" fillId="8" borderId="8" xfId="0" applyFont="1" applyFill="1" applyBorder="1" applyAlignment="1">
      <alignment vertical="center" wrapText="1"/>
    </xf>
    <xf numFmtId="0" fontId="14" fillId="0" borderId="50" xfId="0" applyFont="1" applyBorder="1" applyAlignment="1" applyProtection="1">
      <alignment horizontal="justify" vertical="center" wrapText="1"/>
      <protection locked="0"/>
    </xf>
    <xf numFmtId="0" fontId="14" fillId="0" borderId="51" xfId="0" applyFont="1" applyBorder="1" applyAlignment="1" applyProtection="1">
      <alignment horizontal="justify" vertical="center" wrapText="1"/>
      <protection locked="0"/>
    </xf>
    <xf numFmtId="0" fontId="0" fillId="0" borderId="0" xfId="0" applyAlignment="1">
      <alignment vertical="center"/>
    </xf>
    <xf numFmtId="0" fontId="2" fillId="0" borderId="0" xfId="0" applyFont="1" applyAlignment="1">
      <alignment vertical="center"/>
    </xf>
    <xf numFmtId="0" fontId="35" fillId="0" borderId="0" xfId="0" applyFont="1"/>
    <xf numFmtId="0" fontId="13" fillId="8" borderId="49" xfId="0" applyFont="1" applyFill="1" applyBorder="1" applyAlignment="1">
      <alignment horizontal="center" vertical="center" wrapText="1"/>
    </xf>
    <xf numFmtId="0" fontId="13" fillId="10" borderId="54" xfId="0" applyFont="1" applyFill="1" applyBorder="1" applyAlignment="1">
      <alignment horizontal="center" vertical="center" wrapText="1"/>
    </xf>
    <xf numFmtId="0" fontId="0" fillId="0" borderId="52" xfId="0" applyBorder="1"/>
    <xf numFmtId="1" fontId="0" fillId="0" borderId="0" xfId="0" applyNumberFormat="1"/>
    <xf numFmtId="0" fontId="0" fillId="0" borderId="0" xfId="5" applyNumberFormat="1" applyFont="1"/>
    <xf numFmtId="0" fontId="39" fillId="23" borderId="9" xfId="0" applyFont="1" applyFill="1" applyBorder="1" applyAlignment="1" applyProtection="1">
      <alignment horizontal="center"/>
      <protection hidden="1"/>
    </xf>
    <xf numFmtId="0" fontId="40" fillId="0" borderId="59" xfId="0" applyFont="1" applyBorder="1" applyAlignment="1" applyProtection="1">
      <alignment horizontal="center" vertical="center"/>
      <protection hidden="1"/>
    </xf>
    <xf numFmtId="0" fontId="40" fillId="0" borderId="0" xfId="0" applyFont="1" applyAlignment="1" applyProtection="1">
      <alignment horizontal="center" vertical="center"/>
      <protection hidden="1"/>
    </xf>
    <xf numFmtId="0" fontId="40" fillId="0" borderId="12" xfId="0" applyFont="1" applyBorder="1" applyAlignment="1" applyProtection="1">
      <alignment horizontal="center" vertical="center" wrapText="1"/>
      <protection hidden="1"/>
    </xf>
    <xf numFmtId="0" fontId="40" fillId="0" borderId="60" xfId="0" applyFont="1" applyBorder="1" applyAlignment="1" applyProtection="1">
      <alignment horizontal="center" vertical="center" wrapText="1"/>
      <protection hidden="1"/>
    </xf>
    <xf numFmtId="0" fontId="40" fillId="0" borderId="33" xfId="0" applyFont="1" applyBorder="1" applyAlignment="1" applyProtection="1">
      <alignment horizontal="center" vertical="center"/>
      <protection hidden="1"/>
    </xf>
    <xf numFmtId="0" fontId="40" fillId="0" borderId="3" xfId="0" applyFont="1" applyBorder="1" applyAlignment="1" applyProtection="1">
      <alignment horizontal="center" vertical="center" wrapText="1"/>
      <protection hidden="1"/>
    </xf>
    <xf numFmtId="0" fontId="40" fillId="0" borderId="7" xfId="0" applyFont="1" applyBorder="1" applyAlignment="1" applyProtection="1">
      <alignment horizontal="center" vertical="center"/>
      <protection hidden="1"/>
    </xf>
    <xf numFmtId="0" fontId="40" fillId="0" borderId="8" xfId="0" applyFont="1" applyBorder="1" applyAlignment="1" applyProtection="1">
      <alignment horizontal="center" vertical="center"/>
      <protection hidden="1"/>
    </xf>
    <xf numFmtId="0" fontId="40" fillId="0" borderId="8" xfId="0" applyFont="1" applyBorder="1" applyAlignment="1" applyProtection="1">
      <alignment horizontal="center" vertical="center" wrapText="1"/>
      <protection hidden="1"/>
    </xf>
    <xf numFmtId="0" fontId="40" fillId="0" borderId="9" xfId="0" applyFont="1" applyBorder="1" applyAlignment="1" applyProtection="1">
      <alignment horizontal="center" vertical="center" wrapText="1"/>
      <protection hidden="1"/>
    </xf>
    <xf numFmtId="0" fontId="1" fillId="0" borderId="42"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0" fillId="0" borderId="4" xfId="0" applyFont="1" applyBorder="1" applyAlignment="1" applyProtection="1">
      <alignment vertical="center" wrapText="1"/>
      <protection locked="0"/>
    </xf>
    <xf numFmtId="0" fontId="14" fillId="0" borderId="0" xfId="0" applyFont="1" applyAlignment="1" applyProtection="1">
      <alignment horizontal="justify" vertical="center" wrapText="1"/>
      <protection locked="0"/>
    </xf>
    <xf numFmtId="0" fontId="14" fillId="0" borderId="12" xfId="0" applyFont="1" applyBorder="1" applyAlignment="1" applyProtection="1">
      <alignment horizontal="justify" vertical="center"/>
      <protection locked="0"/>
    </xf>
    <xf numFmtId="0" fontId="19" fillId="9" borderId="4" xfId="0" applyFont="1" applyFill="1" applyBorder="1" applyAlignment="1" applyProtection="1">
      <alignment vertical="center" wrapText="1"/>
      <protection locked="0"/>
    </xf>
    <xf numFmtId="0" fontId="20" fillId="25" borderId="0" xfId="0" applyFont="1" applyFill="1" applyAlignment="1">
      <alignment wrapText="1"/>
    </xf>
    <xf numFmtId="0" fontId="1" fillId="9" borderId="12" xfId="0" applyFont="1" applyFill="1" applyBorder="1" applyAlignment="1" applyProtection="1">
      <alignment horizontal="justify" vertical="center" wrapText="1"/>
      <protection locked="0"/>
    </xf>
    <xf numFmtId="0" fontId="1" fillId="9" borderId="8" xfId="0" applyFont="1" applyFill="1" applyBorder="1" applyAlignment="1" applyProtection="1">
      <alignment horizontal="justify" vertical="center" wrapText="1"/>
      <protection locked="0"/>
    </xf>
    <xf numFmtId="0" fontId="1" fillId="9" borderId="4" xfId="0" applyFont="1" applyFill="1" applyBorder="1" applyAlignment="1" applyProtection="1">
      <alignment horizontal="justify" vertical="center" wrapText="1"/>
      <protection locked="0"/>
    </xf>
    <xf numFmtId="0" fontId="1" fillId="0" borderId="12" xfId="0" applyFont="1" applyBorder="1" applyAlignment="1" applyProtection="1">
      <alignment horizontal="center" vertical="center" wrapText="1"/>
      <protection locked="0"/>
    </xf>
    <xf numFmtId="0" fontId="1" fillId="9" borderId="16" xfId="0" applyFont="1" applyFill="1" applyBorder="1" applyAlignment="1" applyProtection="1">
      <alignment horizontal="justify" vertical="center" wrapText="1"/>
      <protection locked="0"/>
    </xf>
    <xf numFmtId="0" fontId="13" fillId="8" borderId="11"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39" fillId="23" borderId="8" xfId="0" applyFont="1" applyFill="1" applyBorder="1" applyAlignment="1" applyProtection="1">
      <alignment horizontal="center"/>
      <protection hidden="1"/>
    </xf>
    <xf numFmtId="0" fontId="20" fillId="0" borderId="61" xfId="0" applyFont="1" applyBorder="1"/>
    <xf numFmtId="0" fontId="20" fillId="25" borderId="61" xfId="0" applyFont="1" applyFill="1" applyBorder="1" applyAlignment="1">
      <alignment wrapText="1"/>
    </xf>
    <xf numFmtId="0" fontId="20" fillId="0" borderId="61" xfId="0" applyFont="1" applyBorder="1" applyAlignment="1">
      <alignment wrapText="1"/>
    </xf>
    <xf numFmtId="0" fontId="20" fillId="24" borderId="61" xfId="0" applyFont="1" applyFill="1" applyBorder="1" applyAlignment="1">
      <alignment wrapText="1"/>
    </xf>
    <xf numFmtId="0" fontId="16" fillId="15" borderId="61" xfId="0" applyFont="1" applyFill="1" applyBorder="1" applyAlignment="1">
      <alignment horizontal="left" vertical="center" wrapText="1"/>
    </xf>
    <xf numFmtId="0" fontId="3" fillId="0" borderId="62" xfId="3" applyBorder="1"/>
    <xf numFmtId="0" fontId="8" fillId="6" borderId="63" xfId="3" applyFont="1" applyFill="1" applyBorder="1" applyAlignment="1">
      <alignment horizontal="center" vertical="center"/>
    </xf>
    <xf numFmtId="0" fontId="6" fillId="0" borderId="64" xfId="3" applyFont="1" applyBorder="1"/>
    <xf numFmtId="0" fontId="6" fillId="0" borderId="62" xfId="3" applyFont="1" applyBorder="1"/>
    <xf numFmtId="0" fontId="8" fillId="7" borderId="63" xfId="3" applyFont="1" applyFill="1" applyBorder="1" applyAlignment="1">
      <alignment horizontal="center" vertical="center"/>
    </xf>
    <xf numFmtId="0" fontId="8" fillId="4" borderId="63" xfId="3" applyFont="1" applyFill="1" applyBorder="1" applyAlignment="1">
      <alignment horizontal="center" vertical="center"/>
    </xf>
    <xf numFmtId="0" fontId="8" fillId="0" borderId="65" xfId="3" applyFont="1" applyBorder="1"/>
    <xf numFmtId="0" fontId="8" fillId="3" borderId="63" xfId="3" applyFont="1" applyFill="1" applyBorder="1" applyAlignment="1">
      <alignment horizontal="center" vertical="center"/>
    </xf>
    <xf numFmtId="0" fontId="3" fillId="0" borderId="66" xfId="3" applyBorder="1"/>
    <xf numFmtId="0" fontId="3" fillId="0" borderId="66" xfId="3" applyBorder="1" applyAlignment="1">
      <alignment horizontal="center" vertical="center"/>
    </xf>
    <xf numFmtId="0" fontId="10" fillId="0" borderId="61" xfId="0" applyFont="1" applyBorder="1" applyAlignment="1" applyProtection="1">
      <alignment vertical="center" wrapText="1"/>
      <protection locked="0"/>
    </xf>
    <xf numFmtId="0" fontId="1" fillId="9" borderId="61" xfId="0" applyFont="1" applyFill="1" applyBorder="1" applyAlignment="1" applyProtection="1">
      <alignment vertical="center" wrapText="1"/>
      <protection locked="0"/>
    </xf>
    <xf numFmtId="0" fontId="1" fillId="0" borderId="0" xfId="0" applyFont="1" applyAlignment="1">
      <alignment vertical="center" wrapText="1"/>
    </xf>
    <xf numFmtId="0" fontId="13" fillId="10" borderId="61" xfId="0" applyFont="1" applyFill="1" applyBorder="1" applyAlignment="1" applyProtection="1">
      <alignment horizontal="center" vertical="center" wrapText="1"/>
      <protection locked="0"/>
    </xf>
    <xf numFmtId="0" fontId="51" fillId="0" borderId="0" xfId="0" applyFont="1"/>
    <xf numFmtId="0" fontId="51" fillId="21" borderId="0" xfId="0" applyFont="1" applyFill="1"/>
    <xf numFmtId="0" fontId="51" fillId="25" borderId="0" xfId="0" applyFont="1" applyFill="1"/>
    <xf numFmtId="0" fontId="51" fillId="17" borderId="0" xfId="0" applyFont="1" applyFill="1"/>
    <xf numFmtId="0" fontId="52" fillId="16" borderId="0" xfId="0" applyFont="1" applyFill="1"/>
    <xf numFmtId="0" fontId="21" fillId="0" borderId="3" xfId="0" applyFont="1" applyBorder="1" applyAlignment="1">
      <alignment vertical="center" wrapText="1"/>
    </xf>
    <xf numFmtId="0" fontId="22" fillId="0" borderId="3" xfId="0" applyFont="1" applyBorder="1" applyAlignment="1">
      <alignment vertical="center" wrapText="1"/>
    </xf>
    <xf numFmtId="0" fontId="23" fillId="0" borderId="3" xfId="0" applyFont="1" applyBorder="1" applyAlignment="1">
      <alignment vertical="center" wrapText="1"/>
    </xf>
    <xf numFmtId="0" fontId="24" fillId="0" borderId="3" xfId="0" applyFont="1" applyBorder="1" applyAlignment="1">
      <alignment vertical="center" wrapText="1"/>
    </xf>
    <xf numFmtId="0" fontId="25" fillId="0" borderId="3" xfId="0" applyFont="1" applyBorder="1" applyAlignment="1">
      <alignment vertical="center" wrapText="1"/>
    </xf>
    <xf numFmtId="0" fontId="26" fillId="0" borderId="3" xfId="0" applyFont="1" applyBorder="1" applyAlignment="1">
      <alignment vertical="center" wrapText="1"/>
    </xf>
    <xf numFmtId="0" fontId="0" fillId="0" borderId="3" xfId="0" applyBorder="1" applyAlignment="1">
      <alignment vertical="center"/>
    </xf>
    <xf numFmtId="0" fontId="13" fillId="14" borderId="61" xfId="0" applyFont="1" applyFill="1" applyBorder="1" applyAlignment="1">
      <alignment horizontal="center" vertical="center" wrapText="1"/>
    </xf>
    <xf numFmtId="0" fontId="1" fillId="0" borderId="61" xfId="0" applyFont="1" applyBorder="1" applyAlignment="1" applyProtection="1">
      <alignment vertical="center" wrapText="1"/>
      <protection locked="0"/>
    </xf>
    <xf numFmtId="0" fontId="14" fillId="0" borderId="61" xfId="0" applyFont="1" applyBorder="1" applyAlignment="1" applyProtection="1">
      <alignment horizontal="justify" vertical="center" wrapText="1"/>
      <protection locked="0"/>
    </xf>
    <xf numFmtId="0" fontId="19" fillId="9" borderId="61" xfId="0" applyFont="1" applyFill="1" applyBorder="1" applyAlignment="1" applyProtection="1">
      <alignment vertical="center" wrapText="1"/>
      <protection locked="0"/>
    </xf>
    <xf numFmtId="0" fontId="1" fillId="0" borderId="61" xfId="0" applyFont="1" applyBorder="1" applyAlignment="1">
      <alignment horizontal="center" vertical="center" wrapText="1"/>
    </xf>
    <xf numFmtId="0" fontId="13" fillId="10" borderId="61" xfId="0" applyFont="1" applyFill="1" applyBorder="1" applyAlignment="1">
      <alignment horizontal="center" vertical="center" wrapText="1"/>
    </xf>
    <xf numFmtId="0" fontId="1" fillId="0" borderId="61" xfId="0" applyFont="1" applyBorder="1" applyAlignment="1" applyProtection="1">
      <alignment horizontal="center" vertical="center" wrapText="1"/>
      <protection locked="0"/>
    </xf>
    <xf numFmtId="0" fontId="1" fillId="10" borderId="61" xfId="0" applyFont="1" applyFill="1" applyBorder="1" applyAlignment="1" applyProtection="1">
      <alignment horizontal="center" vertical="center" wrapText="1"/>
      <protection locked="0"/>
    </xf>
    <xf numFmtId="0" fontId="1" fillId="9" borderId="61" xfId="0" applyFont="1" applyFill="1" applyBorder="1" applyAlignment="1" applyProtection="1">
      <alignment horizontal="justify" vertical="center" wrapText="1"/>
      <protection locked="0"/>
    </xf>
    <xf numFmtId="0" fontId="1" fillId="0" borderId="61" xfId="0" applyFont="1" applyBorder="1" applyAlignment="1" applyProtection="1">
      <alignment horizontal="justify" vertical="center" wrapText="1"/>
      <protection locked="0"/>
    </xf>
    <xf numFmtId="0" fontId="1" fillId="0" borderId="32" xfId="0" applyFont="1" applyBorder="1" applyAlignment="1" applyProtection="1">
      <alignment horizontal="justify" vertical="center" wrapText="1"/>
      <protection locked="0"/>
    </xf>
    <xf numFmtId="0" fontId="56" fillId="0" borderId="61" xfId="0" applyFont="1" applyBorder="1" applyAlignment="1" applyProtection="1">
      <alignment horizontal="left" vertical="center" wrapText="1"/>
      <protection locked="0"/>
    </xf>
    <xf numFmtId="0" fontId="12" fillId="13" borderId="61" xfId="0" applyFont="1" applyFill="1" applyBorder="1" applyAlignment="1">
      <alignment horizontal="center" vertical="center"/>
    </xf>
    <xf numFmtId="0" fontId="12" fillId="13" borderId="69" xfId="0" applyFont="1" applyFill="1" applyBorder="1" applyAlignment="1">
      <alignment horizontal="center" vertical="center" wrapText="1"/>
    </xf>
    <xf numFmtId="0" fontId="12" fillId="13" borderId="70" xfId="0" applyFont="1" applyFill="1" applyBorder="1" applyAlignment="1">
      <alignment horizontal="center" vertical="center" wrapText="1"/>
    </xf>
    <xf numFmtId="0" fontId="12" fillId="13" borderId="71" xfId="0" applyFont="1" applyFill="1" applyBorder="1" applyAlignment="1">
      <alignment horizontal="center" vertical="center" wrapText="1"/>
    </xf>
    <xf numFmtId="0" fontId="13" fillId="14" borderId="74" xfId="0" applyFont="1" applyFill="1" applyBorder="1" applyAlignment="1">
      <alignment horizontal="center" vertical="center" textRotation="90" wrapText="1"/>
    </xf>
    <xf numFmtId="0" fontId="13" fillId="14" borderId="61" xfId="0" applyFont="1" applyFill="1" applyBorder="1" applyAlignment="1">
      <alignment horizontal="center" vertical="center" textRotation="90" wrapText="1"/>
    </xf>
    <xf numFmtId="0" fontId="13" fillId="14" borderId="61" xfId="0" applyFont="1" applyFill="1" applyBorder="1" applyAlignment="1">
      <alignment horizontal="center" vertical="center"/>
    </xf>
    <xf numFmtId="0" fontId="45" fillId="0" borderId="61" xfId="0" applyFont="1" applyBorder="1" applyAlignment="1" applyProtection="1">
      <alignment horizontal="center" vertical="center" wrapText="1"/>
      <protection locked="0"/>
    </xf>
    <xf numFmtId="0" fontId="45" fillId="0" borderId="61" xfId="0" applyFont="1" applyBorder="1" applyAlignment="1" applyProtection="1">
      <alignment horizontal="justify" vertical="center" wrapText="1"/>
      <protection locked="0"/>
    </xf>
    <xf numFmtId="0" fontId="45" fillId="0" borderId="61" xfId="0" applyFont="1" applyBorder="1" applyAlignment="1" applyProtection="1">
      <alignment vertical="center" wrapText="1"/>
      <protection locked="0"/>
    </xf>
    <xf numFmtId="0" fontId="45" fillId="0" borderId="61" xfId="0" applyFont="1" applyBorder="1" applyAlignment="1" applyProtection="1">
      <alignment wrapText="1"/>
      <protection locked="0"/>
    </xf>
    <xf numFmtId="0" fontId="46" fillId="0" borderId="61" xfId="0" applyFont="1" applyBorder="1" applyAlignment="1" applyProtection="1">
      <alignment horizontal="justify" vertical="center"/>
      <protection locked="0"/>
    </xf>
    <xf numFmtId="0" fontId="47" fillId="0" borderId="61" xfId="0" applyFont="1" applyBorder="1" applyAlignment="1" applyProtection="1">
      <alignment vertical="center" wrapText="1"/>
      <protection locked="0"/>
    </xf>
    <xf numFmtId="0" fontId="13" fillId="8" borderId="74" xfId="0" applyFont="1" applyFill="1" applyBorder="1" applyAlignment="1">
      <alignment vertical="center" wrapText="1"/>
    </xf>
    <xf numFmtId="0" fontId="14" fillId="0" borderId="61" xfId="0" applyFont="1" applyBorder="1" applyAlignment="1" applyProtection="1">
      <alignment horizontal="justify" vertical="center"/>
      <protection locked="0"/>
    </xf>
    <xf numFmtId="0" fontId="45" fillId="0" borderId="61" xfId="0" applyFont="1" applyBorder="1" applyAlignment="1" applyProtection="1">
      <alignment horizontal="left" vertical="center" wrapText="1"/>
      <protection locked="0"/>
    </xf>
    <xf numFmtId="0" fontId="1" fillId="0" borderId="61" xfId="0" applyFont="1" applyBorder="1" applyProtection="1">
      <protection locked="0"/>
    </xf>
    <xf numFmtId="0" fontId="45" fillId="0" borderId="61" xfId="0" applyFont="1" applyBorder="1" applyAlignment="1" applyProtection="1">
      <alignment horizontal="justify" vertical="center"/>
      <protection locked="0"/>
    </xf>
    <xf numFmtId="0" fontId="45" fillId="0" borderId="61" xfId="0" applyFont="1" applyBorder="1" applyProtection="1">
      <protection locked="0"/>
    </xf>
    <xf numFmtId="0" fontId="45" fillId="10" borderId="61" xfId="0" applyFont="1" applyFill="1" applyBorder="1" applyAlignment="1" applyProtection="1">
      <alignment wrapText="1"/>
      <protection locked="0"/>
    </xf>
    <xf numFmtId="0" fontId="1" fillId="0" borderId="74" xfId="0" applyFont="1" applyBorder="1" applyProtection="1">
      <protection locked="0"/>
    </xf>
    <xf numFmtId="0" fontId="45" fillId="10" borderId="61" xfId="0" applyFont="1" applyFill="1" applyBorder="1" applyAlignment="1" applyProtection="1">
      <alignment vertical="center" wrapText="1"/>
      <protection locked="0"/>
    </xf>
    <xf numFmtId="0" fontId="45" fillId="10" borderId="61" xfId="0" applyFont="1" applyFill="1" applyBorder="1" applyAlignment="1" applyProtection="1">
      <alignment horizontal="center" vertical="center" wrapText="1"/>
      <protection locked="0"/>
    </xf>
    <xf numFmtId="0" fontId="45" fillId="0" borderId="61" xfId="0" applyFont="1" applyBorder="1" applyAlignment="1">
      <alignment horizontal="justify" vertical="center" wrapText="1"/>
    </xf>
    <xf numFmtId="0" fontId="45" fillId="0" borderId="61" xfId="0" applyFont="1" applyBorder="1" applyAlignment="1" applyProtection="1">
      <alignment vertical="center" wrapText="1"/>
      <protection locked="0" hidden="1"/>
    </xf>
    <xf numFmtId="0" fontId="45" fillId="0" borderId="61" xfId="0" applyFont="1" applyBorder="1" applyAlignment="1" applyProtection="1">
      <alignment horizontal="left" vertical="center" wrapText="1"/>
      <protection locked="0" hidden="1"/>
    </xf>
    <xf numFmtId="0" fontId="45" fillId="0" borderId="61" xfId="0" applyFont="1" applyBorder="1" applyAlignment="1">
      <alignment vertical="center" wrapText="1"/>
    </xf>
    <xf numFmtId="0" fontId="45" fillId="0" borderId="61" xfId="0" applyFont="1" applyBorder="1" applyAlignment="1">
      <alignment wrapText="1"/>
    </xf>
    <xf numFmtId="0" fontId="1" fillId="0" borderId="61" xfId="0" applyFont="1" applyBorder="1"/>
    <xf numFmtId="0" fontId="45" fillId="0" borderId="61" xfId="0" applyFont="1" applyBorder="1" applyAlignment="1">
      <alignment horizontal="left" wrapText="1"/>
    </xf>
    <xf numFmtId="0" fontId="45" fillId="10" borderId="61" xfId="0" applyFont="1" applyFill="1" applyBorder="1" applyAlignment="1" applyProtection="1">
      <alignment vertical="center" wrapText="1"/>
      <protection locked="0" hidden="1"/>
    </xf>
    <xf numFmtId="0" fontId="49" fillId="10" borderId="61" xfId="0" applyFont="1" applyFill="1" applyBorder="1" applyAlignment="1" applyProtection="1">
      <alignment vertical="center" wrapText="1"/>
      <protection locked="0"/>
    </xf>
    <xf numFmtId="0" fontId="46" fillId="0" borderId="61" xfId="0" applyFont="1" applyBorder="1" applyAlignment="1">
      <alignment horizontal="justify" vertical="center" wrapText="1"/>
    </xf>
    <xf numFmtId="0" fontId="47" fillId="0" borderId="61" xfId="0" applyFont="1" applyBorder="1" applyAlignment="1">
      <alignment vertical="center" wrapText="1"/>
    </xf>
    <xf numFmtId="0" fontId="1" fillId="10" borderId="61" xfId="0" applyFont="1" applyFill="1" applyBorder="1" applyAlignment="1" applyProtection="1">
      <alignment vertical="center" wrapText="1"/>
      <protection locked="0"/>
    </xf>
    <xf numFmtId="0" fontId="47" fillId="0" borderId="71" xfId="0" applyFont="1" applyBorder="1" applyAlignment="1">
      <alignment wrapText="1"/>
    </xf>
    <xf numFmtId="0" fontId="13" fillId="14" borderId="74" xfId="0" applyFont="1" applyFill="1" applyBorder="1" applyAlignment="1">
      <alignment horizontal="center" vertical="center" wrapText="1"/>
    </xf>
    <xf numFmtId="0" fontId="10" fillId="0" borderId="61" xfId="0" applyFont="1" applyBorder="1" applyAlignment="1" applyProtection="1">
      <alignment horizontal="justify" vertical="center" wrapText="1"/>
      <protection locked="0"/>
    </xf>
    <xf numFmtId="0" fontId="1" fillId="0" borderId="74" xfId="0" applyFont="1" applyBorder="1" applyAlignment="1" applyProtection="1">
      <alignment horizontal="center" vertical="center" wrapText="1"/>
      <protection locked="0"/>
    </xf>
    <xf numFmtId="0" fontId="13" fillId="14" borderId="74" xfId="0" applyFont="1" applyFill="1" applyBorder="1" applyAlignment="1" applyProtection="1">
      <alignment horizontal="center" vertical="center" textRotation="90" wrapText="1"/>
      <protection locked="0" hidden="1"/>
    </xf>
    <xf numFmtId="0" fontId="0" fillId="0" borderId="61" xfId="0" applyBorder="1" applyProtection="1">
      <protection locked="0"/>
    </xf>
    <xf numFmtId="0" fontId="0" fillId="0" borderId="61" xfId="0" applyBorder="1"/>
    <xf numFmtId="0" fontId="1" fillId="0" borderId="71" xfId="0" applyFont="1" applyBorder="1" applyAlignment="1" applyProtection="1">
      <alignment horizontal="center" vertical="center" wrapText="1"/>
      <protection locked="0"/>
    </xf>
    <xf numFmtId="0" fontId="0" fillId="0" borderId="71" xfId="0" applyBorder="1"/>
    <xf numFmtId="0" fontId="0" fillId="0" borderId="69" xfId="0" applyBorder="1"/>
    <xf numFmtId="0" fontId="0" fillId="14" borderId="61" xfId="0" applyFill="1" applyBorder="1"/>
    <xf numFmtId="0" fontId="0" fillId="14" borderId="69" xfId="0" applyFill="1" applyBorder="1"/>
    <xf numFmtId="0" fontId="40" fillId="0" borderId="61" xfId="0" applyFont="1" applyBorder="1" applyAlignment="1" applyProtection="1">
      <alignment horizontal="center" vertical="center"/>
      <protection hidden="1"/>
    </xf>
    <xf numFmtId="0" fontId="40" fillId="0" borderId="61" xfId="0" applyFont="1" applyBorder="1" applyAlignment="1" applyProtection="1">
      <alignment horizontal="center" vertical="center" wrapText="1"/>
      <protection hidden="1"/>
    </xf>
    <xf numFmtId="0" fontId="21" fillId="0" borderId="61" xfId="0" applyFont="1" applyBorder="1"/>
    <xf numFmtId="0" fontId="22" fillId="0" borderId="61" xfId="0" applyFont="1" applyBorder="1" applyAlignment="1">
      <alignment wrapText="1"/>
    </xf>
    <xf numFmtId="0" fontId="23" fillId="0" borderId="61" xfId="0" applyFont="1" applyBorder="1"/>
    <xf numFmtId="0" fontId="10" fillId="21" borderId="61" xfId="0" applyFont="1" applyFill="1" applyBorder="1" applyAlignment="1" applyProtection="1">
      <alignment vertical="center" wrapText="1"/>
      <protection locked="0"/>
    </xf>
    <xf numFmtId="0" fontId="24" fillId="0" borderId="61" xfId="0" applyFont="1" applyBorder="1" applyAlignment="1">
      <alignment wrapText="1"/>
    </xf>
    <xf numFmtId="0" fontId="25" fillId="0" borderId="61" xfId="0" applyFont="1" applyBorder="1" applyAlignment="1">
      <alignment wrapText="1"/>
    </xf>
    <xf numFmtId="0" fontId="26" fillId="0" borderId="61" xfId="0" applyFont="1" applyBorder="1" applyAlignment="1">
      <alignment wrapText="1"/>
    </xf>
    <xf numFmtId="0" fontId="0" fillId="0" borderId="61" xfId="0" applyBorder="1" applyAlignment="1">
      <alignment wrapText="1"/>
    </xf>
    <xf numFmtId="0" fontId="1" fillId="10" borderId="61" xfId="0" applyFont="1" applyFill="1" applyBorder="1" applyAlignment="1" applyProtection="1">
      <alignment horizontal="justify" vertical="center" wrapText="1"/>
      <protection locked="0"/>
    </xf>
    <xf numFmtId="0" fontId="1" fillId="0" borderId="4" xfId="0" applyFont="1" applyBorder="1" applyAlignment="1" applyProtection="1">
      <alignment horizontal="justify" vertical="center" wrapText="1"/>
      <protection locked="0"/>
    </xf>
    <xf numFmtId="0" fontId="1" fillId="10" borderId="8"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0" fillId="10" borderId="12" xfId="0" applyFont="1" applyFill="1" applyBorder="1" applyAlignment="1" applyProtection="1">
      <alignment vertical="center" wrapText="1"/>
      <protection locked="0"/>
    </xf>
    <xf numFmtId="0" fontId="10" fillId="0" borderId="25" xfId="0" applyFont="1" applyBorder="1" applyAlignment="1" applyProtection="1">
      <alignment horizontal="left" vertical="center" wrapText="1"/>
      <protection locked="0"/>
    </xf>
    <xf numFmtId="0" fontId="13" fillId="10" borderId="25"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10" fillId="10" borderId="4" xfId="0" applyFont="1" applyFill="1" applyBorder="1" applyAlignment="1" applyProtection="1">
      <alignment vertical="center" wrapText="1"/>
      <protection locked="0"/>
    </xf>
    <xf numFmtId="0" fontId="14" fillId="10" borderId="4" xfId="0" applyFont="1" applyFill="1" applyBorder="1" applyAlignment="1" applyProtection="1">
      <alignment horizontal="justify" vertical="center" wrapText="1"/>
      <protection locked="0"/>
    </xf>
    <xf numFmtId="0" fontId="1" fillId="10" borderId="4" xfId="0" applyFont="1" applyFill="1" applyBorder="1" applyAlignment="1" applyProtection="1">
      <alignment horizontal="center" vertical="center"/>
      <protection locked="0"/>
    </xf>
    <xf numFmtId="0" fontId="13" fillId="10" borderId="4" xfId="0" applyFont="1" applyFill="1" applyBorder="1" applyAlignment="1" applyProtection="1">
      <alignment horizontal="center" vertical="center" wrapText="1"/>
      <protection locked="0"/>
    </xf>
    <xf numFmtId="0" fontId="14" fillId="10" borderId="8" xfId="0" applyFont="1" applyFill="1" applyBorder="1" applyAlignment="1" applyProtection="1">
      <alignment horizontal="justify" vertical="center" wrapText="1"/>
      <protection locked="0"/>
    </xf>
    <xf numFmtId="0" fontId="1" fillId="10" borderId="8" xfId="0" applyFont="1" applyFill="1" applyBorder="1" applyAlignment="1" applyProtection="1">
      <alignment horizontal="center" vertical="center"/>
      <protection locked="0"/>
    </xf>
    <xf numFmtId="0" fontId="13" fillId="10" borderId="8" xfId="0" applyFont="1" applyFill="1" applyBorder="1" applyAlignment="1" applyProtection="1">
      <alignment horizontal="center" vertical="center" wrapText="1"/>
      <protection locked="0"/>
    </xf>
    <xf numFmtId="0" fontId="1" fillId="10" borderId="25" xfId="0" applyFont="1" applyFill="1" applyBorder="1" applyAlignment="1" applyProtection="1">
      <alignment horizontal="center" vertical="center" wrapText="1"/>
      <protection locked="0"/>
    </xf>
    <xf numFmtId="0" fontId="10" fillId="0" borderId="4" xfId="0" applyFont="1" applyBorder="1" applyAlignment="1" applyProtection="1">
      <alignment horizontal="justify" vertical="center" wrapText="1"/>
      <protection locked="0"/>
    </xf>
    <xf numFmtId="0" fontId="58" fillId="0" borderId="4" xfId="0" applyFont="1" applyBorder="1" applyAlignment="1" applyProtection="1">
      <alignment vertical="center" wrapText="1"/>
      <protection locked="0"/>
    </xf>
    <xf numFmtId="0" fontId="10" fillId="0" borderId="8" xfId="0" applyFont="1" applyBorder="1" applyAlignment="1" applyProtection="1">
      <alignment horizontal="justify" vertical="center" wrapText="1"/>
      <protection locked="0"/>
    </xf>
    <xf numFmtId="0" fontId="56" fillId="0" borderId="8" xfId="0" applyFont="1" applyBorder="1" applyAlignment="1" applyProtection="1">
      <alignment horizontal="left" vertical="center" wrapText="1"/>
      <protection locked="0"/>
    </xf>
    <xf numFmtId="0" fontId="1" fillId="10" borderId="4" xfId="0" applyFont="1" applyFill="1" applyBorder="1" applyAlignment="1" applyProtection="1">
      <alignment horizontal="justify" vertical="center" wrapText="1"/>
      <protection locked="0"/>
    </xf>
    <xf numFmtId="0" fontId="1" fillId="0" borderId="8" xfId="0" applyFont="1" applyBorder="1" applyAlignment="1" applyProtection="1">
      <alignment horizontal="justify" vertical="center" wrapText="1"/>
      <protection locked="0"/>
    </xf>
    <xf numFmtId="0" fontId="1" fillId="0" borderId="43" xfId="0" applyFont="1" applyBorder="1" applyAlignment="1" applyProtection="1">
      <alignment horizontal="justify" vertical="center" wrapText="1"/>
      <protection locked="0"/>
    </xf>
    <xf numFmtId="0" fontId="1" fillId="0" borderId="11" xfId="0" applyFont="1" applyBorder="1" applyAlignment="1" applyProtection="1">
      <alignment vertical="center" wrapText="1"/>
      <protection locked="0"/>
    </xf>
    <xf numFmtId="0" fontId="1" fillId="10" borderId="4" xfId="0" applyFont="1" applyFill="1" applyBorder="1" applyAlignment="1" applyProtection="1">
      <alignment vertical="center" wrapText="1"/>
      <protection locked="0"/>
    </xf>
    <xf numFmtId="0" fontId="1" fillId="10" borderId="11" xfId="0" applyFont="1" applyFill="1" applyBorder="1" applyAlignment="1" applyProtection="1">
      <alignment vertical="center" wrapText="1"/>
      <protection locked="0"/>
    </xf>
    <xf numFmtId="0" fontId="1" fillId="10" borderId="25" xfId="0" applyFont="1" applyFill="1" applyBorder="1" applyAlignment="1" applyProtection="1">
      <alignment horizontal="center" vertical="center"/>
      <protection locked="0"/>
    </xf>
    <xf numFmtId="0" fontId="1" fillId="10" borderId="11" xfId="0" applyFont="1" applyFill="1" applyBorder="1" applyAlignment="1" applyProtection="1">
      <alignment vertical="center"/>
      <protection locked="0"/>
    </xf>
    <xf numFmtId="0" fontId="0" fillId="0" borderId="0" xfId="0" applyAlignment="1" applyProtection="1">
      <alignment vertical="center"/>
      <protection locked="0"/>
    </xf>
    <xf numFmtId="0" fontId="16" fillId="15" borderId="61" xfId="0" applyFont="1" applyFill="1" applyBorder="1" applyAlignment="1" applyProtection="1">
      <alignment horizontal="left" vertical="center" wrapText="1"/>
      <protection locked="0"/>
    </xf>
    <xf numFmtId="0" fontId="12" fillId="13" borderId="71" xfId="0" applyFont="1" applyFill="1" applyBorder="1" applyAlignment="1" applyProtection="1">
      <alignment horizontal="center" vertical="center" wrapText="1"/>
      <protection locked="0"/>
    </xf>
    <xf numFmtId="0" fontId="13" fillId="27" borderId="30" xfId="0" applyFont="1" applyFill="1" applyBorder="1" applyAlignment="1" applyProtection="1">
      <alignment horizontal="center" vertical="center" wrapText="1"/>
      <protection locked="0"/>
    </xf>
    <xf numFmtId="0" fontId="13" fillId="27" borderId="16" xfId="0" applyFont="1" applyFill="1" applyBorder="1" applyAlignment="1" applyProtection="1">
      <alignment horizontal="center" vertical="center" wrapText="1"/>
      <protection locked="0"/>
    </xf>
    <xf numFmtId="0" fontId="13" fillId="29" borderId="77" xfId="0" applyFont="1" applyFill="1" applyBorder="1" applyAlignment="1" applyProtection="1">
      <alignment horizontal="center" vertical="center" wrapText="1"/>
      <protection locked="0"/>
    </xf>
    <xf numFmtId="0" fontId="13" fillId="29" borderId="77" xfId="0" applyFont="1" applyFill="1" applyBorder="1" applyAlignment="1" applyProtection="1">
      <alignment horizontal="center" vertical="center" textRotation="90" wrapText="1"/>
      <protection locked="0"/>
    </xf>
    <xf numFmtId="0" fontId="13" fillId="28" borderId="77" xfId="0" applyFont="1" applyFill="1" applyBorder="1" applyAlignment="1" applyProtection="1">
      <alignment horizontal="center" vertical="center" wrapText="1"/>
      <protection locked="0"/>
    </xf>
    <xf numFmtId="0" fontId="13" fillId="30" borderId="77" xfId="0" applyFont="1" applyFill="1" applyBorder="1" applyAlignment="1" applyProtection="1">
      <alignment horizontal="center" vertical="center" wrapText="1"/>
      <protection locked="0"/>
    </xf>
    <xf numFmtId="0" fontId="13" fillId="14" borderId="77" xfId="0" applyFont="1" applyFill="1" applyBorder="1" applyAlignment="1" applyProtection="1">
      <alignment horizontal="center" vertical="center" wrapText="1"/>
      <protection locked="0"/>
    </xf>
    <xf numFmtId="0" fontId="1" fillId="10" borderId="44" xfId="0" applyFont="1" applyFill="1" applyBorder="1" applyAlignment="1" applyProtection="1">
      <alignment horizontal="center" vertical="center" wrapText="1"/>
      <protection locked="0"/>
    </xf>
    <xf numFmtId="0" fontId="1" fillId="0" borderId="25" xfId="0" applyFont="1" applyBorder="1" applyAlignment="1" applyProtection="1">
      <alignment horizontal="justify" vertical="center" wrapText="1"/>
      <protection locked="0"/>
    </xf>
    <xf numFmtId="0" fontId="1" fillId="10" borderId="8" xfId="0" applyFont="1" applyFill="1" applyBorder="1" applyAlignment="1" applyProtection="1">
      <alignment horizontal="justify" vertical="center" wrapText="1"/>
      <protection locked="0"/>
    </xf>
    <xf numFmtId="0" fontId="1" fillId="10" borderId="24" xfId="0" applyFont="1" applyFill="1" applyBorder="1" applyAlignment="1" applyProtection="1">
      <alignment horizontal="center" vertical="center" wrapText="1"/>
      <protection locked="0"/>
    </xf>
    <xf numFmtId="0" fontId="10" fillId="10" borderId="4" xfId="0" applyFont="1" applyFill="1" applyBorder="1" applyAlignment="1" applyProtection="1">
      <alignment horizontal="center" vertical="center" wrapText="1"/>
      <protection locked="0"/>
    </xf>
    <xf numFmtId="14" fontId="1" fillId="0" borderId="4" xfId="0" applyNumberFormat="1"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10" borderId="8" xfId="0" applyFont="1" applyFill="1" applyBorder="1" applyAlignment="1" applyProtection="1">
      <alignment horizontal="justify" vertical="center" wrapText="1"/>
      <protection locked="0"/>
    </xf>
    <xf numFmtId="0" fontId="1" fillId="10" borderId="18" xfId="0" applyFont="1" applyFill="1" applyBorder="1" applyAlignment="1" applyProtection="1">
      <alignment horizontal="center" vertical="center" wrapText="1"/>
      <protection locked="0"/>
    </xf>
    <xf numFmtId="0" fontId="1" fillId="26" borderId="4" xfId="0" applyFont="1" applyFill="1" applyBorder="1" applyAlignment="1" applyProtection="1">
      <alignment horizontal="justify" vertical="center" wrapText="1"/>
      <protection locked="0"/>
    </xf>
    <xf numFmtId="0" fontId="54" fillId="0" borderId="4" xfId="0" applyFont="1" applyBorder="1" applyAlignment="1" applyProtection="1">
      <alignment horizontal="left" vertical="center" wrapText="1"/>
      <protection locked="0"/>
    </xf>
    <xf numFmtId="0" fontId="1" fillId="26" borderId="61" xfId="0" applyFont="1" applyFill="1" applyBorder="1" applyAlignment="1" applyProtection="1">
      <alignment horizontal="justify" vertical="center" wrapText="1"/>
      <protection locked="0"/>
    </xf>
    <xf numFmtId="14" fontId="1" fillId="0" borderId="61" xfId="0" applyNumberFormat="1" applyFont="1" applyBorder="1" applyAlignment="1" applyProtection="1">
      <alignment horizontal="center" vertical="center" wrapText="1"/>
      <protection locked="0"/>
    </xf>
    <xf numFmtId="0" fontId="54" fillId="0" borderId="0" xfId="0" applyFont="1" applyAlignment="1" applyProtection="1">
      <alignment vertical="center" wrapText="1"/>
      <protection locked="0"/>
    </xf>
    <xf numFmtId="0" fontId="1" fillId="26" borderId="8" xfId="0" applyFont="1" applyFill="1" applyBorder="1" applyAlignment="1" applyProtection="1">
      <alignment horizontal="justify" vertical="center" wrapText="1"/>
      <protection locked="0"/>
    </xf>
    <xf numFmtId="0" fontId="10" fillId="0" borderId="8" xfId="0" applyFont="1" applyBorder="1" applyAlignment="1" applyProtection="1">
      <alignment horizontal="left" vertical="center" wrapText="1"/>
      <protection locked="0"/>
    </xf>
    <xf numFmtId="0" fontId="1" fillId="26" borderId="4" xfId="0" applyFont="1" applyFill="1" applyBorder="1" applyAlignment="1" applyProtection="1">
      <alignment vertical="center"/>
      <protection locked="0"/>
    </xf>
    <xf numFmtId="0" fontId="56" fillId="0" borderId="4" xfId="0" applyFont="1" applyBorder="1" applyAlignment="1" applyProtection="1">
      <alignment vertical="center" wrapText="1"/>
      <protection locked="0"/>
    </xf>
    <xf numFmtId="0" fontId="54" fillId="0" borderId="80" xfId="0" applyFont="1" applyBorder="1" applyAlignment="1" applyProtection="1">
      <alignment horizontal="left" vertical="center" wrapText="1"/>
      <protection locked="0"/>
    </xf>
    <xf numFmtId="0" fontId="1" fillId="26" borderId="8" xfId="0" applyFont="1" applyFill="1" applyBorder="1" applyAlignment="1" applyProtection="1">
      <alignment vertical="center" wrapText="1"/>
      <protection locked="0"/>
    </xf>
    <xf numFmtId="165" fontId="1" fillId="10" borderId="4" xfId="0" applyNumberFormat="1" applyFont="1" applyFill="1" applyBorder="1" applyAlignment="1" applyProtection="1">
      <alignment horizontal="center" vertical="center" wrapText="1"/>
      <protection locked="0"/>
    </xf>
    <xf numFmtId="14" fontId="1" fillId="10" borderId="4" xfId="0" applyNumberFormat="1" applyFont="1" applyFill="1" applyBorder="1" applyAlignment="1" applyProtection="1">
      <alignment horizontal="center" vertical="center" wrapText="1"/>
      <protection locked="0"/>
    </xf>
    <xf numFmtId="165" fontId="1" fillId="10" borderId="61" xfId="0" applyNumberFormat="1" applyFont="1" applyFill="1" applyBorder="1" applyAlignment="1" applyProtection="1">
      <alignment horizontal="center" vertical="center" wrapText="1"/>
      <protection locked="0"/>
    </xf>
    <xf numFmtId="14" fontId="1" fillId="10" borderId="61" xfId="0" applyNumberFormat="1" applyFont="1" applyFill="1" applyBorder="1" applyAlignment="1" applyProtection="1">
      <alignment horizontal="center" vertical="center" wrapText="1"/>
      <protection locked="0"/>
    </xf>
    <xf numFmtId="0" fontId="54" fillId="0" borderId="61" xfId="0" applyFont="1" applyBorder="1" applyAlignment="1" applyProtection="1">
      <alignment vertical="center" wrapText="1"/>
      <protection locked="0"/>
    </xf>
    <xf numFmtId="0" fontId="54" fillId="0" borderId="22" xfId="0" applyFont="1" applyBorder="1" applyAlignment="1" applyProtection="1">
      <alignment vertical="center" wrapText="1"/>
      <protection locked="0"/>
    </xf>
    <xf numFmtId="0" fontId="54" fillId="0" borderId="4" xfId="0" applyFont="1" applyBorder="1" applyAlignment="1" applyProtection="1">
      <alignment vertical="center" wrapText="1"/>
      <protection locked="0"/>
    </xf>
    <xf numFmtId="0" fontId="54" fillId="0" borderId="8" xfId="0" applyFont="1" applyBorder="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0" fillId="0" borderId="0" xfId="0" applyAlignment="1" applyProtection="1">
      <alignment vertical="center" wrapText="1"/>
      <protection locked="0"/>
    </xf>
    <xf numFmtId="14" fontId="0" fillId="0" borderId="0" xfId="0" applyNumberFormat="1" applyAlignment="1" applyProtection="1">
      <alignment vertical="center" wrapText="1"/>
      <protection locked="0"/>
    </xf>
    <xf numFmtId="0" fontId="13" fillId="29" borderId="77" xfId="0" applyFont="1" applyFill="1" applyBorder="1" applyAlignment="1" applyProtection="1">
      <alignment horizontal="center" vertical="center" wrapText="1"/>
      <protection hidden="1"/>
    </xf>
    <xf numFmtId="0" fontId="13" fillId="28" borderId="77" xfId="0" applyFont="1" applyFill="1" applyBorder="1" applyAlignment="1" applyProtection="1">
      <alignment horizontal="center" vertical="center" wrapText="1"/>
      <protection hidden="1"/>
    </xf>
    <xf numFmtId="0" fontId="1" fillId="0" borderId="44" xfId="0" applyFont="1" applyBorder="1" applyAlignment="1" applyProtection="1">
      <alignment horizontal="center" vertical="center" wrapText="1"/>
      <protection hidden="1"/>
    </xf>
    <xf numFmtId="0" fontId="1" fillId="0" borderId="24" xfId="0" applyFont="1" applyBorder="1" applyAlignment="1" applyProtection="1">
      <alignment horizontal="center" vertical="center" wrapText="1"/>
      <protection hidden="1"/>
    </xf>
    <xf numFmtId="0" fontId="1" fillId="10" borderId="44" xfId="0" applyFont="1" applyFill="1" applyBorder="1" applyAlignment="1" applyProtection="1">
      <alignment horizontal="center" vertical="center" wrapText="1"/>
      <protection hidden="1"/>
    </xf>
    <xf numFmtId="0" fontId="1" fillId="10" borderId="24" xfId="0" applyFont="1" applyFill="1" applyBorder="1" applyAlignment="1" applyProtection="1">
      <alignment horizontal="center" vertical="center" wrapText="1"/>
      <protection hidden="1"/>
    </xf>
    <xf numFmtId="0" fontId="1" fillId="10" borderId="18" xfId="0" applyFont="1" applyFill="1" applyBorder="1" applyAlignment="1" applyProtection="1">
      <alignment horizontal="center" vertical="center" wrapText="1"/>
      <protection hidden="1"/>
    </xf>
    <xf numFmtId="0" fontId="1" fillId="10" borderId="25" xfId="0" applyFont="1" applyFill="1" applyBorder="1" applyAlignment="1" applyProtection="1">
      <alignment horizontal="center" vertical="center" wrapText="1"/>
      <protection hidden="1"/>
    </xf>
    <xf numFmtId="0" fontId="1" fillId="0" borderId="18" xfId="0" applyFont="1" applyBorder="1" applyAlignment="1" applyProtection="1">
      <alignment horizontal="center" vertical="center" wrapText="1"/>
      <protection hidden="1"/>
    </xf>
    <xf numFmtId="0" fontId="1" fillId="10" borderId="4" xfId="0" applyFont="1" applyFill="1" applyBorder="1" applyAlignment="1" applyProtection="1">
      <alignment horizontal="center" vertical="center" wrapText="1"/>
      <protection hidden="1"/>
    </xf>
    <xf numFmtId="0" fontId="13" fillId="10" borderId="25" xfId="0" applyFont="1" applyFill="1" applyBorder="1" applyAlignment="1" applyProtection="1">
      <alignment horizontal="center" vertical="center" wrapText="1"/>
      <protection hidden="1"/>
    </xf>
    <xf numFmtId="0" fontId="13" fillId="10" borderId="11" xfId="0" applyFont="1" applyFill="1" applyBorder="1" applyAlignment="1" applyProtection="1">
      <alignment horizontal="center" vertical="center" wrapText="1"/>
      <protection hidden="1"/>
    </xf>
    <xf numFmtId="0" fontId="13" fillId="10" borderId="4" xfId="0" applyFont="1" applyFill="1" applyBorder="1" applyAlignment="1" applyProtection="1">
      <alignment horizontal="center" vertical="center" wrapText="1"/>
      <protection hidden="1"/>
    </xf>
    <xf numFmtId="0" fontId="1" fillId="10" borderId="8" xfId="0" applyFont="1" applyFill="1" applyBorder="1" applyAlignment="1" applyProtection="1">
      <alignment horizontal="center" vertical="center" wrapText="1"/>
      <protection hidden="1"/>
    </xf>
    <xf numFmtId="0" fontId="13" fillId="10" borderId="12" xfId="0" applyFont="1" applyFill="1" applyBorder="1" applyAlignment="1" applyProtection="1">
      <alignment horizontal="center" vertical="center" wrapText="1"/>
      <protection hidden="1"/>
    </xf>
    <xf numFmtId="0" fontId="13" fillId="8" borderId="4" xfId="0" applyFont="1" applyFill="1" applyBorder="1" applyAlignment="1" applyProtection="1">
      <alignment horizontal="center" vertical="center" wrapText="1"/>
      <protection hidden="1"/>
    </xf>
    <xf numFmtId="0" fontId="13" fillId="8" borderId="12" xfId="0" applyFont="1" applyFill="1" applyBorder="1" applyAlignment="1" applyProtection="1">
      <alignment horizontal="center" vertical="center" wrapText="1"/>
      <protection hidden="1"/>
    </xf>
    <xf numFmtId="0" fontId="13" fillId="8" borderId="11" xfId="0" applyFont="1" applyFill="1" applyBorder="1" applyAlignment="1" applyProtection="1">
      <alignment horizontal="center" vertical="center" wrapText="1"/>
      <protection hidden="1"/>
    </xf>
    <xf numFmtId="0" fontId="13" fillId="10" borderId="61" xfId="0" applyFont="1" applyFill="1" applyBorder="1" applyAlignment="1" applyProtection="1">
      <alignment horizontal="center" vertical="center" wrapText="1"/>
      <protection hidden="1"/>
    </xf>
    <xf numFmtId="0" fontId="13" fillId="10" borderId="8" xfId="0" applyFont="1" applyFill="1" applyBorder="1" applyAlignment="1" applyProtection="1">
      <alignment horizontal="center" vertical="center" wrapText="1"/>
      <protection hidden="1"/>
    </xf>
    <xf numFmtId="0" fontId="13" fillId="28" borderId="77" xfId="0" applyFont="1" applyFill="1" applyBorder="1" applyAlignment="1" applyProtection="1">
      <alignment horizontal="center" vertical="center" textRotation="90" wrapText="1"/>
      <protection hidden="1"/>
    </xf>
    <xf numFmtId="0" fontId="13" fillId="28" borderId="78" xfId="0" applyFont="1" applyFill="1" applyBorder="1" applyAlignment="1" applyProtection="1">
      <alignment horizontal="center" vertical="center" wrapText="1"/>
      <protection hidden="1"/>
    </xf>
    <xf numFmtId="0" fontId="1" fillId="10" borderId="4" xfId="0" applyFont="1" applyFill="1" applyBorder="1" applyAlignment="1" applyProtection="1">
      <alignment vertical="center" wrapText="1"/>
      <protection hidden="1"/>
    </xf>
    <xf numFmtId="0" fontId="1" fillId="10" borderId="11" xfId="0" applyFont="1" applyFill="1" applyBorder="1" applyAlignment="1" applyProtection="1">
      <alignment vertical="center" wrapText="1"/>
      <protection hidden="1"/>
    </xf>
    <xf numFmtId="0" fontId="1" fillId="0" borderId="4"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61" xfId="0" applyFont="1" applyBorder="1" applyAlignment="1" applyProtection="1">
      <alignment horizontal="center" vertical="center" wrapText="1"/>
      <protection hidden="1"/>
    </xf>
    <xf numFmtId="0" fontId="13" fillId="8" borderId="25" xfId="0" applyFont="1" applyFill="1" applyBorder="1" applyAlignment="1" applyProtection="1">
      <alignment horizontal="center" vertical="center" wrapText="1"/>
      <protection hidden="1"/>
    </xf>
    <xf numFmtId="0" fontId="13" fillId="8" borderId="61" xfId="0" applyFont="1" applyFill="1" applyBorder="1" applyAlignment="1" applyProtection="1">
      <alignment horizontal="center" vertical="center" wrapText="1"/>
      <protection hidden="1"/>
    </xf>
    <xf numFmtId="0" fontId="13" fillId="8" borderId="8" xfId="0" applyFont="1" applyFill="1" applyBorder="1" applyAlignment="1" applyProtection="1">
      <alignment horizontal="center" vertical="center" wrapText="1"/>
      <protection hidden="1"/>
    </xf>
    <xf numFmtId="0" fontId="10" fillId="0" borderId="25" xfId="0" applyFont="1" applyBorder="1" applyAlignment="1" applyProtection="1">
      <alignment horizontal="justify" vertical="center" wrapText="1"/>
      <protection locked="0"/>
    </xf>
    <xf numFmtId="0" fontId="10" fillId="0" borderId="25"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8" borderId="25" xfId="0" applyFont="1" applyFill="1" applyBorder="1" applyAlignment="1" applyProtection="1">
      <alignment horizontal="center" vertical="center" wrapText="1"/>
      <protection hidden="1"/>
    </xf>
    <xf numFmtId="0" fontId="1" fillId="8" borderId="4" xfId="0" applyFont="1" applyFill="1" applyBorder="1" applyAlignment="1" applyProtection="1">
      <alignment horizontal="center" vertical="center" wrapText="1"/>
      <protection hidden="1"/>
    </xf>
    <xf numFmtId="0" fontId="1" fillId="17" borderId="29" xfId="0" applyFont="1" applyFill="1" applyBorder="1" applyAlignment="1" applyProtection="1">
      <alignment horizontal="center" vertical="center"/>
      <protection locked="0"/>
    </xf>
    <xf numFmtId="0" fontId="1" fillId="10" borderId="31" xfId="0" applyFont="1" applyFill="1" applyBorder="1" applyAlignment="1" applyProtection="1">
      <alignment horizontal="center" vertical="center" wrapText="1"/>
      <protection hidden="1"/>
    </xf>
    <xf numFmtId="0" fontId="0" fillId="0" borderId="25" xfId="0" applyBorder="1" applyAlignment="1" applyProtection="1">
      <alignment horizontal="center" vertical="center" wrapText="1"/>
      <protection locked="0"/>
    </xf>
    <xf numFmtId="0" fontId="1" fillId="18" borderId="25" xfId="0" applyFont="1" applyFill="1" applyBorder="1" applyAlignment="1" applyProtection="1">
      <alignment horizontal="justify" vertical="center" wrapText="1"/>
      <protection locked="0"/>
    </xf>
    <xf numFmtId="0" fontId="1" fillId="10" borderId="47" xfId="0" applyFont="1" applyFill="1" applyBorder="1" applyAlignment="1" applyProtection="1">
      <alignment horizontal="center" vertical="center" wrapText="1"/>
      <protection hidden="1"/>
    </xf>
    <xf numFmtId="0" fontId="10" fillId="0" borderId="0" xfId="0" applyFont="1" applyAlignment="1" applyProtection="1">
      <alignment vertical="center" wrapText="1"/>
      <protection locked="0"/>
    </xf>
    <xf numFmtId="0" fontId="1" fillId="10" borderId="47" xfId="0" applyFont="1" applyFill="1" applyBorder="1" applyAlignment="1" applyProtection="1">
      <alignment horizontal="center" vertical="center"/>
      <protection locked="0"/>
    </xf>
    <xf numFmtId="0" fontId="1" fillId="10" borderId="47" xfId="0" applyFont="1" applyFill="1" applyBorder="1" applyAlignment="1" applyProtection="1">
      <alignment horizontal="center" vertical="center" wrapText="1"/>
      <protection locked="0"/>
    </xf>
    <xf numFmtId="0" fontId="13" fillId="10" borderId="47" xfId="0" applyFont="1" applyFill="1" applyBorder="1" applyAlignment="1" applyProtection="1">
      <alignment horizontal="center" vertical="center" wrapText="1"/>
      <protection locked="0"/>
    </xf>
    <xf numFmtId="0" fontId="1" fillId="0" borderId="25" xfId="0" applyFont="1" applyBorder="1" applyAlignment="1" applyProtection="1">
      <alignment vertical="center" wrapText="1"/>
      <protection locked="0"/>
    </xf>
    <xf numFmtId="0" fontId="13" fillId="8" borderId="11" xfId="0" applyFont="1" applyFill="1" applyBorder="1" applyAlignment="1" applyProtection="1">
      <alignment vertical="center" wrapText="1"/>
      <protection hidden="1"/>
    </xf>
    <xf numFmtId="0" fontId="10" fillId="0" borderId="16" xfId="0" applyFont="1" applyBorder="1" applyAlignment="1" applyProtection="1">
      <alignment vertical="center" wrapText="1"/>
      <protection locked="0"/>
    </xf>
    <xf numFmtId="0" fontId="0" fillId="10" borderId="16" xfId="0" applyFill="1" applyBorder="1" applyAlignment="1" applyProtection="1">
      <alignment horizontal="justify" vertical="center" wrapText="1"/>
      <protection locked="0"/>
    </xf>
    <xf numFmtId="0" fontId="10" fillId="0" borderId="16" xfId="0" applyFont="1" applyBorder="1" applyAlignment="1" applyProtection="1">
      <alignment horizontal="justify" vertical="center" wrapText="1"/>
      <protection locked="0"/>
    </xf>
    <xf numFmtId="0" fontId="1" fillId="18" borderId="16" xfId="0" applyFont="1" applyFill="1" applyBorder="1" applyAlignment="1" applyProtection="1">
      <alignment horizontal="justify" vertical="center" wrapText="1"/>
      <protection locked="0"/>
    </xf>
    <xf numFmtId="0" fontId="1" fillId="0" borderId="12" xfId="0" applyFont="1" applyBorder="1" applyAlignment="1" applyProtection="1">
      <alignment vertical="center" wrapText="1"/>
      <protection locked="0"/>
    </xf>
    <xf numFmtId="0" fontId="1" fillId="0" borderId="12" xfId="0" applyFont="1" applyBorder="1" applyAlignment="1" applyProtection="1">
      <alignment horizontal="justify" vertical="center" wrapText="1"/>
      <protection locked="0"/>
    </xf>
    <xf numFmtId="0" fontId="10" fillId="0" borderId="25" xfId="0" applyFont="1" applyBorder="1" applyAlignment="1" applyProtection="1">
      <alignment vertical="center" wrapText="1"/>
      <protection locked="0"/>
    </xf>
    <xf numFmtId="0" fontId="1" fillId="0" borderId="11" xfId="0" applyFont="1" applyBorder="1" applyAlignment="1" applyProtection="1">
      <alignment horizontal="center" vertical="center" wrapText="1"/>
      <protection locked="0"/>
    </xf>
    <xf numFmtId="0" fontId="1" fillId="0" borderId="11" xfId="0" applyFont="1" applyBorder="1" applyAlignment="1" applyProtection="1">
      <alignment horizontal="justify" vertical="center" wrapText="1"/>
      <protection locked="0"/>
    </xf>
    <xf numFmtId="0" fontId="10" fillId="0" borderId="77" xfId="0" applyFont="1" applyBorder="1" applyAlignment="1" applyProtection="1">
      <alignment horizontal="left" vertical="center" wrapText="1"/>
      <protection locked="0"/>
    </xf>
    <xf numFmtId="0" fontId="1" fillId="0" borderId="86" xfId="0" applyFont="1" applyBorder="1" applyAlignment="1" applyProtection="1">
      <alignment horizontal="center" vertical="center" wrapText="1"/>
      <protection hidden="1"/>
    </xf>
    <xf numFmtId="0" fontId="1" fillId="10" borderId="86" xfId="0" applyFont="1" applyFill="1" applyBorder="1" applyAlignment="1" applyProtection="1">
      <alignment horizontal="center" vertical="center" wrapText="1"/>
      <protection hidden="1"/>
    </xf>
    <xf numFmtId="0" fontId="1" fillId="0" borderId="47" xfId="0" applyFont="1" applyBorder="1" applyAlignment="1" applyProtection="1">
      <alignment vertical="center" wrapText="1"/>
      <protection locked="0"/>
    </xf>
    <xf numFmtId="0" fontId="1" fillId="10" borderId="86" xfId="0" applyFont="1" applyFill="1" applyBorder="1" applyAlignment="1" applyProtection="1">
      <alignment horizontal="center" vertical="center" wrapText="1"/>
      <protection locked="0"/>
    </xf>
    <xf numFmtId="0" fontId="13" fillId="8" borderId="47" xfId="0" applyFont="1" applyFill="1" applyBorder="1" applyAlignment="1" applyProtection="1">
      <alignment horizontal="center" vertical="center" wrapText="1"/>
      <protection hidden="1"/>
    </xf>
    <xf numFmtId="0" fontId="1" fillId="31" borderId="4" xfId="0" applyFont="1" applyFill="1" applyBorder="1" applyAlignment="1" applyProtection="1">
      <alignment horizontal="center" vertical="center" wrapText="1"/>
      <protection locked="0"/>
    </xf>
    <xf numFmtId="0" fontId="1" fillId="10" borderId="61" xfId="0" applyFont="1" applyFill="1" applyBorder="1" applyAlignment="1">
      <alignment horizontal="justify" vertical="center" wrapText="1"/>
    </xf>
    <xf numFmtId="0" fontId="10" fillId="0" borderId="61" xfId="0" applyFont="1" applyBorder="1" applyAlignment="1">
      <alignment vertical="center" wrapText="1"/>
    </xf>
    <xf numFmtId="14" fontId="10" fillId="0" borderId="61" xfId="0" applyNumberFormat="1" applyFont="1" applyBorder="1" applyAlignment="1">
      <alignment vertical="center" wrapText="1"/>
    </xf>
    <xf numFmtId="0" fontId="53" fillId="0" borderId="61" xfId="0" applyFont="1" applyBorder="1" applyAlignment="1" applyProtection="1">
      <alignment vertical="top" wrapText="1"/>
      <protection locked="0"/>
    </xf>
    <xf numFmtId="0" fontId="0" fillId="0" borderId="61" xfId="0" applyBorder="1" applyAlignment="1">
      <alignment vertical="top" wrapText="1"/>
    </xf>
    <xf numFmtId="0" fontId="62" fillId="0" borderId="61" xfId="0" applyFont="1" applyBorder="1" applyAlignment="1">
      <alignment vertical="top" wrapText="1"/>
    </xf>
    <xf numFmtId="0" fontId="56" fillId="0" borderId="87" xfId="0" applyFont="1" applyBorder="1" applyAlignment="1" applyProtection="1">
      <alignment horizontal="justify" vertical="center" wrapText="1"/>
      <protection locked="0"/>
    </xf>
    <xf numFmtId="0" fontId="62" fillId="0" borderId="80" xfId="0" applyFont="1" applyBorder="1" applyAlignment="1" applyProtection="1">
      <alignment vertical="center" wrapText="1"/>
      <protection locked="0"/>
    </xf>
    <xf numFmtId="0" fontId="55" fillId="0" borderId="68" xfId="0" applyFont="1" applyBorder="1" applyAlignment="1" applyProtection="1">
      <alignment horizontal="left" vertical="center" wrapText="1"/>
      <protection locked="0"/>
    </xf>
    <xf numFmtId="0" fontId="55" fillId="0" borderId="88" xfId="0" applyFont="1" applyBorder="1" applyAlignment="1" applyProtection="1">
      <alignment horizontal="left" vertical="center" wrapText="1"/>
      <protection locked="0"/>
    </xf>
    <xf numFmtId="0" fontId="54" fillId="0" borderId="81" xfId="0" applyFont="1" applyBorder="1" applyAlignment="1" applyProtection="1">
      <alignment horizontal="left" vertical="center" wrapText="1"/>
      <protection locked="0"/>
    </xf>
    <xf numFmtId="0" fontId="13" fillId="0" borderId="25" xfId="0" applyFont="1" applyBorder="1" applyAlignment="1" applyProtection="1">
      <alignment horizontal="center" vertical="center" wrapText="1"/>
      <protection hidden="1"/>
    </xf>
    <xf numFmtId="0" fontId="13" fillId="0" borderId="16" xfId="0" applyFont="1" applyBorder="1" applyAlignment="1" applyProtection="1">
      <alignment horizontal="center" vertical="center" wrapText="1"/>
      <protection hidden="1"/>
    </xf>
    <xf numFmtId="0" fontId="10" fillId="0" borderId="16" xfId="0" applyFont="1" applyBorder="1" applyAlignment="1" applyProtection="1">
      <alignment horizontal="center" vertical="center" wrapText="1"/>
      <protection locked="0"/>
    </xf>
    <xf numFmtId="0" fontId="1" fillId="0" borderId="85"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protection locked="0"/>
    </xf>
    <xf numFmtId="0" fontId="13" fillId="0" borderId="4" xfId="0" applyFont="1" applyBorder="1" applyAlignment="1" applyProtection="1">
      <alignment horizontal="center" vertical="center" wrapText="1"/>
      <protection hidden="1"/>
    </xf>
    <xf numFmtId="0" fontId="13" fillId="0" borderId="25" xfId="0" applyFont="1" applyBorder="1" applyAlignment="1" applyProtection="1">
      <alignment horizontal="center" vertical="center" wrapText="1"/>
      <protection locked="0"/>
    </xf>
    <xf numFmtId="0" fontId="10" fillId="0" borderId="85" xfId="0" applyFont="1" applyBorder="1" applyAlignment="1" applyProtection="1">
      <alignment vertical="center" wrapText="1"/>
      <protection locked="0"/>
    </xf>
    <xf numFmtId="0" fontId="1" fillId="0" borderId="85" xfId="0" applyFont="1" applyBorder="1" applyAlignment="1" applyProtection="1">
      <alignment vertical="center" wrapText="1"/>
      <protection locked="0"/>
    </xf>
    <xf numFmtId="0" fontId="1" fillId="0" borderId="85" xfId="0" applyFont="1" applyBorder="1" applyAlignment="1" applyProtection="1">
      <alignment horizontal="center" vertical="center" wrapText="1"/>
      <protection hidden="1"/>
    </xf>
    <xf numFmtId="0" fontId="13" fillId="0" borderId="85" xfId="0" applyFont="1" applyBorder="1" applyAlignment="1" applyProtection="1">
      <alignment horizontal="center" vertical="center" wrapText="1"/>
      <protection hidden="1"/>
    </xf>
    <xf numFmtId="0" fontId="10" fillId="0" borderId="16" xfId="0" applyFont="1" applyBorder="1" applyAlignment="1" applyProtection="1">
      <alignment horizontal="left" vertical="center" wrapText="1"/>
      <protection locked="0"/>
    </xf>
    <xf numFmtId="0" fontId="1" fillId="8" borderId="4" xfId="0" applyFont="1" applyFill="1" applyBorder="1" applyAlignment="1" applyProtection="1">
      <alignment vertical="center" wrapText="1"/>
      <protection hidden="1"/>
    </xf>
    <xf numFmtId="0" fontId="1" fillId="8" borderId="8" xfId="0" applyFont="1" applyFill="1" applyBorder="1" applyAlignment="1" applyProtection="1">
      <alignment vertical="center" wrapText="1"/>
      <protection hidden="1"/>
    </xf>
    <xf numFmtId="0" fontId="1" fillId="10" borderId="25" xfId="0" applyFont="1" applyFill="1" applyBorder="1" applyAlignment="1" applyProtection="1">
      <alignment vertical="center" wrapText="1"/>
      <protection locked="0"/>
    </xf>
    <xf numFmtId="0" fontId="1" fillId="8" borderId="25" xfId="0" applyFont="1" applyFill="1" applyBorder="1" applyAlignment="1" applyProtection="1">
      <alignment vertical="center" wrapText="1"/>
      <protection hidden="1"/>
    </xf>
    <xf numFmtId="0" fontId="1" fillId="0" borderId="25" xfId="0" applyFont="1" applyBorder="1" applyAlignment="1" applyProtection="1">
      <alignment vertical="center" wrapText="1"/>
      <protection hidden="1"/>
    </xf>
    <xf numFmtId="0" fontId="1" fillId="10" borderId="25" xfId="0" applyFont="1" applyFill="1" applyBorder="1" applyAlignment="1" applyProtection="1">
      <alignment vertical="center"/>
      <protection locked="0"/>
    </xf>
    <xf numFmtId="0" fontId="1" fillId="10" borderId="25" xfId="0" applyFont="1" applyFill="1" applyBorder="1" applyAlignment="1" applyProtection="1">
      <alignment vertical="center" wrapText="1"/>
      <protection hidden="1"/>
    </xf>
    <xf numFmtId="0" fontId="13" fillId="8" borderId="25" xfId="0" applyFont="1" applyFill="1" applyBorder="1" applyAlignment="1" applyProtection="1">
      <alignment vertical="center" wrapText="1"/>
      <protection hidden="1"/>
    </xf>
    <xf numFmtId="0" fontId="13" fillId="10" borderId="25" xfId="0" applyFont="1" applyFill="1" applyBorder="1" applyAlignment="1" applyProtection="1">
      <alignment vertical="center" wrapText="1"/>
      <protection locked="0"/>
    </xf>
    <xf numFmtId="0" fontId="13" fillId="10" borderId="25" xfId="0" applyFont="1" applyFill="1" applyBorder="1" applyAlignment="1" applyProtection="1">
      <alignment vertical="center" wrapText="1"/>
      <protection hidden="1"/>
    </xf>
    <xf numFmtId="0" fontId="13" fillId="10" borderId="4" xfId="0" applyFont="1" applyFill="1" applyBorder="1" applyAlignment="1" applyProtection="1">
      <alignment vertical="center" wrapText="1"/>
      <protection hidden="1"/>
    </xf>
    <xf numFmtId="0" fontId="1" fillId="10" borderId="31" xfId="0" applyFont="1" applyFill="1" applyBorder="1" applyAlignment="1" applyProtection="1">
      <alignment vertical="center" wrapText="1"/>
      <protection hidden="1"/>
    </xf>
    <xf numFmtId="14" fontId="10" fillId="0" borderId="25" xfId="0" applyNumberFormat="1" applyFont="1" applyBorder="1" applyAlignment="1" applyProtection="1">
      <alignment vertical="center" wrapText="1"/>
      <protection locked="0"/>
    </xf>
    <xf numFmtId="0" fontId="1" fillId="0" borderId="4" xfId="0" applyFont="1" applyBorder="1" applyAlignment="1" applyProtection="1">
      <alignment horizontal="left" vertical="center" wrapText="1"/>
      <protection locked="0"/>
    </xf>
    <xf numFmtId="0" fontId="53" fillId="0" borderId="61" xfId="0" applyFont="1" applyBorder="1" applyAlignment="1" applyProtection="1">
      <alignment vertical="center" wrapText="1"/>
      <protection locked="0"/>
    </xf>
    <xf numFmtId="0" fontId="0" fillId="0" borderId="0" xfId="0"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12" fillId="13" borderId="72" xfId="0" applyFont="1" applyFill="1" applyBorder="1" applyAlignment="1">
      <alignment horizontal="center" vertical="center" wrapText="1"/>
    </xf>
    <xf numFmtId="0" fontId="12" fillId="13" borderId="73"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12" fillId="13" borderId="0" xfId="0" applyFont="1" applyFill="1" applyAlignment="1">
      <alignment horizontal="center" vertical="center" wrapText="1"/>
    </xf>
    <xf numFmtId="0" fontId="12" fillId="13" borderId="61" xfId="0" applyFont="1" applyFill="1" applyBorder="1" applyAlignment="1">
      <alignment horizontal="center" vertical="center" wrapText="1"/>
    </xf>
    <xf numFmtId="0" fontId="12" fillId="13" borderId="69" xfId="0" applyFont="1" applyFill="1" applyBorder="1" applyAlignment="1">
      <alignment horizontal="center" vertical="center"/>
    </xf>
    <xf numFmtId="0" fontId="12" fillId="13" borderId="70" xfId="0" applyFont="1" applyFill="1" applyBorder="1" applyAlignment="1">
      <alignment horizontal="center" vertical="center"/>
    </xf>
    <xf numFmtId="0" fontId="12" fillId="13" borderId="71" xfId="0" applyFont="1" applyFill="1" applyBorder="1" applyAlignment="1">
      <alignment horizontal="center" vertical="center"/>
    </xf>
    <xf numFmtId="0" fontId="12" fillId="13" borderId="69" xfId="0" applyFont="1" applyFill="1" applyBorder="1" applyAlignment="1">
      <alignment horizontal="center" vertical="center" wrapText="1"/>
    </xf>
    <xf numFmtId="0" fontId="12" fillId="13" borderId="70" xfId="0" applyFont="1" applyFill="1" applyBorder="1" applyAlignment="1">
      <alignment horizontal="center" vertical="center" wrapText="1"/>
    </xf>
    <xf numFmtId="0" fontId="12" fillId="13" borderId="71" xfId="0" applyFont="1" applyFill="1" applyBorder="1" applyAlignment="1">
      <alignment horizontal="center" vertical="center" wrapText="1"/>
    </xf>
    <xf numFmtId="0" fontId="30" fillId="0" borderId="61" xfId="0" applyFont="1" applyBorder="1" applyAlignment="1">
      <alignment horizontal="center" vertical="center" wrapText="1"/>
    </xf>
    <xf numFmtId="0" fontId="15" fillId="15" borderId="61" xfId="0" applyFont="1" applyFill="1" applyBorder="1" applyAlignment="1">
      <alignment horizontal="center" vertical="center" wrapText="1"/>
    </xf>
    <xf numFmtId="164" fontId="15" fillId="10" borderId="61" xfId="0" applyNumberFormat="1" applyFont="1" applyFill="1" applyBorder="1" applyAlignment="1">
      <alignment horizontal="center" vertical="center" wrapText="1"/>
    </xf>
    <xf numFmtId="0" fontId="1" fillId="17" borderId="29" xfId="0" applyFont="1" applyFill="1" applyBorder="1" applyAlignment="1">
      <alignment horizontal="center" vertical="center"/>
    </xf>
    <xf numFmtId="0" fontId="1" fillId="17" borderId="30" xfId="0" applyFont="1" applyFill="1" applyBorder="1" applyAlignment="1">
      <alignment horizontal="center" vertical="center"/>
    </xf>
    <xf numFmtId="0" fontId="1" fillId="17" borderId="10" xfId="0" applyFont="1" applyFill="1" applyBorder="1" applyAlignment="1">
      <alignment horizontal="center" vertical="center"/>
    </xf>
    <xf numFmtId="0" fontId="45" fillId="0" borderId="61" xfId="0" applyFont="1" applyBorder="1" applyAlignment="1" applyProtection="1">
      <alignment horizontal="center" vertical="center" wrapText="1"/>
      <protection locked="0"/>
    </xf>
    <xf numFmtId="0" fontId="45" fillId="0" borderId="61" xfId="0" applyFont="1" applyBorder="1" applyAlignment="1">
      <alignment horizontal="center" vertical="center" wrapText="1"/>
    </xf>
    <xf numFmtId="0" fontId="45" fillId="0" borderId="61" xfId="0" applyFont="1" applyBorder="1" applyAlignment="1" applyProtection="1">
      <alignment horizontal="justify" vertical="center" wrapText="1"/>
      <protection locked="0"/>
    </xf>
    <xf numFmtId="0" fontId="12" fillId="13" borderId="5" xfId="0" applyFont="1" applyFill="1" applyBorder="1" applyAlignment="1">
      <alignment horizontal="center" vertical="center"/>
    </xf>
    <xf numFmtId="0" fontId="12" fillId="13" borderId="4" xfId="0" applyFont="1" applyFill="1" applyBorder="1" applyAlignment="1">
      <alignment horizontal="center" vertical="center"/>
    </xf>
    <xf numFmtId="0" fontId="12" fillId="13" borderId="7" xfId="0" applyFont="1" applyFill="1" applyBorder="1" applyAlignment="1">
      <alignment horizontal="center" vertical="center"/>
    </xf>
    <xf numFmtId="0" fontId="12" fillId="13" borderId="8" xfId="0" applyFont="1" applyFill="1" applyBorder="1" applyAlignment="1">
      <alignment horizontal="center" vertical="center"/>
    </xf>
    <xf numFmtId="0" fontId="12" fillId="13" borderId="61" xfId="0" applyFont="1" applyFill="1" applyBorder="1" applyAlignment="1">
      <alignment horizontal="center" vertical="center"/>
    </xf>
    <xf numFmtId="0" fontId="31" fillId="0" borderId="26" xfId="0" applyFont="1" applyBorder="1" applyAlignment="1">
      <alignment horizontal="center" vertical="center" wrapText="1"/>
    </xf>
    <xf numFmtId="0" fontId="31" fillId="0" borderId="0" xfId="0" applyFont="1" applyAlignment="1">
      <alignment horizontal="center" vertical="center" wrapText="1"/>
    </xf>
    <xf numFmtId="0" fontId="31" fillId="0" borderId="18"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24"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2" xfId="0" applyFont="1" applyBorder="1" applyAlignment="1">
      <alignment horizontal="center" vertical="center" wrapText="1"/>
    </xf>
    <xf numFmtId="0" fontId="1" fillId="8" borderId="74"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2" xfId="0" applyFont="1" applyFill="1" applyBorder="1" applyAlignment="1" applyProtection="1">
      <alignment horizontal="center" vertical="center" wrapText="1"/>
      <protection locked="0"/>
    </xf>
    <xf numFmtId="0" fontId="1" fillId="8" borderId="61" xfId="0" applyFont="1" applyFill="1" applyBorder="1" applyAlignment="1" applyProtection="1">
      <alignment horizontal="center" vertical="center" wrapText="1"/>
      <protection locked="0"/>
    </xf>
    <xf numFmtId="0" fontId="1" fillId="0" borderId="61" xfId="0" applyFont="1" applyBorder="1" applyAlignment="1">
      <alignment horizontal="center" vertical="center" wrapText="1"/>
    </xf>
    <xf numFmtId="0" fontId="13" fillId="8" borderId="74"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8" borderId="61" xfId="0" applyFont="1" applyFill="1" applyBorder="1" applyAlignment="1">
      <alignment horizontal="center" vertical="center" wrapText="1"/>
    </xf>
    <xf numFmtId="0" fontId="1" fillId="0" borderId="58" xfId="0" applyFont="1" applyBorder="1" applyAlignment="1">
      <alignment horizontal="center" vertical="center" wrapText="1"/>
    </xf>
    <xf numFmtId="0" fontId="1" fillId="0" borderId="69" xfId="0" applyFont="1" applyBorder="1" applyAlignment="1">
      <alignment horizontal="center" vertical="center" wrapText="1"/>
    </xf>
    <xf numFmtId="0" fontId="1" fillId="8" borderId="74" xfId="0" applyFont="1" applyFill="1" applyBorder="1" applyAlignment="1" applyProtection="1">
      <alignment horizontal="center" vertical="center" wrapText="1"/>
      <protection locked="0"/>
    </xf>
    <xf numFmtId="0" fontId="1" fillId="8" borderId="16" xfId="0" applyFont="1" applyFill="1" applyBorder="1" applyAlignment="1" applyProtection="1">
      <alignment horizontal="center" vertical="center" wrapText="1"/>
      <protection locked="0"/>
    </xf>
    <xf numFmtId="0" fontId="1" fillId="8" borderId="61" xfId="0" applyFont="1" applyFill="1" applyBorder="1" applyAlignment="1">
      <alignment horizontal="center" vertical="center" wrapText="1"/>
    </xf>
    <xf numFmtId="0" fontId="1" fillId="0" borderId="17" xfId="0" applyFont="1" applyBorder="1" applyAlignment="1" applyProtection="1">
      <alignment horizontal="center" vertical="center" wrapText="1"/>
      <protection locked="0"/>
    </xf>
    <xf numFmtId="0" fontId="1" fillId="10" borderId="16"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 fillId="9" borderId="12" xfId="0" applyFont="1" applyFill="1" applyBorder="1" applyAlignment="1" applyProtection="1">
      <alignment horizontal="justify" vertical="center" wrapText="1"/>
      <protection locked="0"/>
    </xf>
    <xf numFmtId="0" fontId="1" fillId="9" borderId="61" xfId="0" applyFont="1" applyFill="1" applyBorder="1" applyAlignment="1" applyProtection="1">
      <alignment horizontal="justify" vertical="center" wrapText="1"/>
      <protection locked="0"/>
    </xf>
    <xf numFmtId="0" fontId="1" fillId="9" borderId="8" xfId="0" applyFont="1" applyFill="1" applyBorder="1" applyAlignment="1" applyProtection="1">
      <alignment horizontal="justify" vertical="center" wrapText="1"/>
      <protection locked="0"/>
    </xf>
    <xf numFmtId="0" fontId="1" fillId="10" borderId="12" xfId="0" applyFont="1" applyFill="1" applyBorder="1" applyAlignment="1" applyProtection="1">
      <alignment horizontal="center" vertical="center" wrapText="1"/>
      <protection locked="0"/>
    </xf>
    <xf numFmtId="0" fontId="1" fillId="10" borderId="61" xfId="0" applyFont="1" applyFill="1" applyBorder="1" applyAlignment="1" applyProtection="1">
      <alignment horizontal="center" vertical="center" wrapText="1"/>
      <protection locked="0"/>
    </xf>
    <xf numFmtId="0" fontId="1" fillId="10" borderId="25" xfId="0" applyFont="1" applyFill="1" applyBorder="1" applyAlignment="1">
      <alignment horizontal="center" vertical="center" wrapText="1"/>
    </xf>
    <xf numFmtId="0" fontId="1" fillId="9" borderId="4" xfId="0" applyFont="1" applyFill="1" applyBorder="1" applyAlignment="1" applyProtection="1">
      <alignment horizontal="justify" vertical="center" wrapText="1"/>
      <protection locked="0"/>
    </xf>
    <xf numFmtId="0" fontId="1" fillId="0" borderId="31"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10" borderId="25" xfId="0" applyFont="1" applyFill="1" applyBorder="1" applyAlignment="1" applyProtection="1">
      <alignment horizontal="center" vertical="center" wrapText="1"/>
      <protection locked="0"/>
    </xf>
    <xf numFmtId="0" fontId="1" fillId="10" borderId="16" xfId="0" applyFont="1" applyFill="1" applyBorder="1" applyAlignment="1" applyProtection="1">
      <alignment horizontal="center" vertical="center" wrapText="1"/>
      <protection locked="0"/>
    </xf>
    <xf numFmtId="0" fontId="1" fillId="8" borderId="25" xfId="0" applyFont="1" applyFill="1" applyBorder="1" applyAlignment="1" applyProtection="1">
      <alignment horizontal="center" vertical="center" wrapText="1"/>
      <protection hidden="1"/>
    </xf>
    <xf numFmtId="0" fontId="1" fillId="8" borderId="16" xfId="0" applyFont="1" applyFill="1" applyBorder="1" applyAlignment="1" applyProtection="1">
      <alignment horizontal="center" vertical="center" wrapText="1"/>
      <protection hidden="1"/>
    </xf>
    <xf numFmtId="0" fontId="1" fillId="0" borderId="25" xfId="0" applyFont="1" applyBorder="1" applyAlignment="1" applyProtection="1">
      <alignment horizontal="center" vertical="center" wrapText="1"/>
      <protection hidden="1"/>
    </xf>
    <xf numFmtId="0" fontId="1" fillId="0" borderId="16" xfId="0" applyFont="1" applyBorder="1" applyAlignment="1" applyProtection="1">
      <alignment horizontal="center" vertical="center" wrapText="1"/>
      <protection hidden="1"/>
    </xf>
    <xf numFmtId="0" fontId="1" fillId="8" borderId="4" xfId="0" applyFont="1" applyFill="1" applyBorder="1" applyAlignment="1" applyProtection="1">
      <alignment horizontal="center" vertical="center" wrapText="1"/>
      <protection hidden="1"/>
    </xf>
    <xf numFmtId="0" fontId="1" fillId="8" borderId="61"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18" borderId="25" xfId="0" applyFont="1" applyFill="1" applyBorder="1" applyAlignment="1" applyProtection="1">
      <alignment horizontal="justify" vertical="center" wrapText="1"/>
      <protection locked="0"/>
    </xf>
    <xf numFmtId="0" fontId="1" fillId="18" borderId="16" xfId="0" applyFont="1" applyFill="1" applyBorder="1" applyAlignment="1" applyProtection="1">
      <alignment horizontal="justify" vertical="center" wrapText="1"/>
      <protection locked="0"/>
    </xf>
    <xf numFmtId="0" fontId="1" fillId="9" borderId="25" xfId="0" applyFont="1" applyFill="1" applyBorder="1" applyAlignment="1" applyProtection="1">
      <alignment horizontal="justify" vertical="center" wrapText="1"/>
      <protection locked="0"/>
    </xf>
    <xf numFmtId="0" fontId="1" fillId="9" borderId="16" xfId="0" applyFont="1" applyFill="1" applyBorder="1" applyAlignment="1" applyProtection="1">
      <alignment horizontal="justify" vertical="center" wrapText="1"/>
      <protection locked="0"/>
    </xf>
    <xf numFmtId="0" fontId="1" fillId="18" borderId="4" xfId="0" applyFont="1" applyFill="1" applyBorder="1" applyAlignment="1" applyProtection="1">
      <alignment horizontal="justify" vertical="center" wrapText="1"/>
      <protection locked="0"/>
    </xf>
    <xf numFmtId="0" fontId="1" fillId="18" borderId="61" xfId="0" applyFont="1" applyFill="1" applyBorder="1" applyAlignment="1" applyProtection="1">
      <alignment horizontal="justify" vertical="center" wrapText="1"/>
      <protection locked="0"/>
    </xf>
    <xf numFmtId="0" fontId="1" fillId="0" borderId="4" xfId="0" applyFont="1" applyBorder="1" applyAlignment="1" applyProtection="1">
      <alignment horizontal="justify" vertical="center" wrapText="1"/>
      <protection locked="0"/>
    </xf>
    <xf numFmtId="0" fontId="1" fillId="0" borderId="61" xfId="0" applyFont="1" applyBorder="1" applyAlignment="1" applyProtection="1">
      <alignment horizontal="justify" vertical="center" wrapText="1"/>
      <protection locked="0"/>
    </xf>
    <xf numFmtId="0" fontId="1" fillId="18" borderId="25" xfId="0" applyFont="1" applyFill="1" applyBorder="1" applyAlignment="1" applyProtection="1">
      <alignment horizontal="center" vertical="center" wrapText="1"/>
      <protection locked="0"/>
    </xf>
    <xf numFmtId="0" fontId="1" fillId="18" borderId="16" xfId="0" applyFont="1" applyFill="1" applyBorder="1" applyAlignment="1" applyProtection="1">
      <alignment horizontal="center" vertical="center" wrapText="1"/>
      <protection locked="0"/>
    </xf>
    <xf numFmtId="0" fontId="1" fillId="18" borderId="11" xfId="0" applyFont="1" applyFill="1" applyBorder="1" applyAlignment="1" applyProtection="1">
      <alignment horizontal="center" vertical="center" wrapText="1"/>
      <protection locked="0"/>
    </xf>
    <xf numFmtId="0" fontId="1" fillId="9" borderId="25" xfId="0" applyFont="1" applyFill="1" applyBorder="1" applyAlignment="1" applyProtection="1">
      <alignment horizontal="center" vertical="center" wrapText="1"/>
      <protection locked="0"/>
    </xf>
    <xf numFmtId="0" fontId="1" fillId="9" borderId="16" xfId="0" applyFont="1" applyFill="1" applyBorder="1" applyAlignment="1" applyProtection="1">
      <alignment horizontal="center" vertical="center" wrapText="1"/>
      <protection locked="0"/>
    </xf>
    <xf numFmtId="0" fontId="1" fillId="9" borderId="11" xfId="0" applyFont="1" applyFill="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 fillId="0" borderId="25" xfId="0" applyFont="1" applyBorder="1" applyAlignment="1" applyProtection="1">
      <alignment horizontal="justify" vertical="center" wrapText="1"/>
      <protection locked="0"/>
    </xf>
    <xf numFmtId="0" fontId="57" fillId="0" borderId="16" xfId="0" applyFont="1" applyBorder="1" applyAlignment="1" applyProtection="1">
      <alignment horizontal="justify" vertical="center" wrapText="1"/>
      <protection locked="0"/>
    </xf>
    <xf numFmtId="0" fontId="10" fillId="0" borderId="25" xfId="0" applyFont="1" applyBorder="1" applyAlignment="1" applyProtection="1">
      <alignment horizontal="justify" vertical="center" wrapText="1"/>
      <protection locked="0"/>
    </xf>
    <xf numFmtId="0" fontId="10" fillId="0" borderId="16" xfId="0" applyFont="1" applyBorder="1" applyAlignment="1" applyProtection="1">
      <alignment horizontal="justify" vertical="center" wrapText="1"/>
      <protection locked="0"/>
    </xf>
    <xf numFmtId="0" fontId="1" fillId="10" borderId="25" xfId="0" applyFont="1" applyFill="1" applyBorder="1" applyAlignment="1" applyProtection="1">
      <alignment horizontal="center" vertical="center" wrapText="1"/>
      <protection hidden="1"/>
    </xf>
    <xf numFmtId="0" fontId="1" fillId="10" borderId="16" xfId="0" applyFont="1" applyFill="1" applyBorder="1" applyAlignment="1" applyProtection="1">
      <alignment horizontal="center" vertical="center" wrapText="1"/>
      <protection hidden="1"/>
    </xf>
    <xf numFmtId="0" fontId="1" fillId="10" borderId="11" xfId="0" applyFont="1" applyFill="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locked="0"/>
    </xf>
    <xf numFmtId="14" fontId="10" fillId="0" borderId="25" xfId="0" applyNumberFormat="1" applyFont="1" applyBorder="1" applyAlignment="1" applyProtection="1">
      <alignment horizontal="center" vertical="center" wrapText="1"/>
      <protection locked="0"/>
    </xf>
    <xf numFmtId="14" fontId="10" fillId="0" borderId="16" xfId="0" applyNumberFormat="1" applyFont="1" applyBorder="1" applyAlignment="1" applyProtection="1">
      <alignment horizontal="center" vertical="center" wrapText="1"/>
      <protection locked="0"/>
    </xf>
    <xf numFmtId="14" fontId="10" fillId="0" borderId="11" xfId="0" applyNumberFormat="1" applyFont="1" applyBorder="1" applyAlignment="1" applyProtection="1">
      <alignment horizontal="center" vertical="center" wrapText="1"/>
      <protection locked="0"/>
    </xf>
    <xf numFmtId="0" fontId="10" fillId="0" borderId="4" xfId="0" applyFont="1" applyBorder="1" applyAlignment="1" applyProtection="1">
      <alignment horizontal="justify" vertical="center" wrapText="1"/>
      <protection locked="0"/>
    </xf>
    <xf numFmtId="0" fontId="10" fillId="0" borderId="8" xfId="0" applyFont="1" applyBorder="1" applyAlignment="1" applyProtection="1">
      <alignment horizontal="justify" vertical="center" wrapText="1"/>
      <protection locked="0"/>
    </xf>
    <xf numFmtId="0" fontId="1" fillId="0" borderId="8" xfId="0" applyFont="1" applyBorder="1" applyAlignment="1" applyProtection="1">
      <alignment horizontal="justify" vertical="center" wrapText="1"/>
      <protection locked="0"/>
    </xf>
    <xf numFmtId="0" fontId="1" fillId="0" borderId="16" xfId="0" applyFont="1" applyBorder="1" applyAlignment="1" applyProtection="1">
      <alignment horizontal="justify" vertical="center" wrapText="1"/>
      <protection locked="0"/>
    </xf>
    <xf numFmtId="0" fontId="10" fillId="0" borderId="89" xfId="0" applyFont="1" applyBorder="1" applyAlignment="1" applyProtection="1">
      <alignment horizontal="justify" vertical="center" wrapText="1"/>
      <protection locked="0"/>
    </xf>
    <xf numFmtId="0" fontId="10" fillId="0" borderId="61" xfId="0" applyFont="1" applyBorder="1" applyAlignment="1" applyProtection="1">
      <alignment horizontal="justify" vertical="center" wrapText="1"/>
      <protection locked="0"/>
    </xf>
    <xf numFmtId="0" fontId="57" fillId="0" borderId="4" xfId="0" applyFont="1" applyBorder="1" applyAlignment="1" applyProtection="1">
      <alignment horizontal="justify" vertical="center" wrapText="1"/>
      <protection locked="0"/>
    </xf>
    <xf numFmtId="0" fontId="57" fillId="0" borderId="89" xfId="0" applyFont="1" applyBorder="1" applyAlignment="1" applyProtection="1">
      <alignment horizontal="justify" vertical="center" wrapText="1"/>
      <protection locked="0"/>
    </xf>
    <xf numFmtId="0" fontId="10" fillId="0" borderId="11" xfId="0" applyFont="1" applyBorder="1" applyAlignment="1" applyProtection="1">
      <alignment horizontal="justify" vertical="center" wrapText="1"/>
      <protection locked="0"/>
    </xf>
    <xf numFmtId="0" fontId="10" fillId="0" borderId="25"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57" fillId="0" borderId="25" xfId="0" applyFont="1" applyBorder="1" applyAlignment="1" applyProtection="1">
      <alignment horizontal="justify" vertical="center" wrapText="1"/>
      <protection locked="0"/>
    </xf>
    <xf numFmtId="0" fontId="1" fillId="0" borderId="11" xfId="0" applyFont="1" applyBorder="1" applyAlignment="1" applyProtection="1">
      <alignment horizontal="justify" vertical="center" wrapText="1"/>
      <protection locked="0"/>
    </xf>
    <xf numFmtId="0" fontId="13" fillId="10" borderId="25" xfId="0" applyFont="1" applyFill="1" applyBorder="1" applyAlignment="1" applyProtection="1">
      <alignment horizontal="center" vertical="center" wrapText="1"/>
      <protection locked="0"/>
    </xf>
    <xf numFmtId="0" fontId="13" fillId="10" borderId="11" xfId="0" applyFont="1" applyFill="1" applyBorder="1" applyAlignment="1" applyProtection="1">
      <alignment horizontal="center" vertical="center" wrapText="1"/>
      <protection locked="0"/>
    </xf>
    <xf numFmtId="0" fontId="1" fillId="10" borderId="25" xfId="0" applyFont="1" applyFill="1" applyBorder="1" applyAlignment="1" applyProtection="1">
      <alignment horizontal="center" vertical="center"/>
      <protection locked="0"/>
    </xf>
    <xf numFmtId="0" fontId="1" fillId="10" borderId="11" xfId="0" applyFont="1" applyFill="1" applyBorder="1" applyAlignment="1" applyProtection="1">
      <alignment horizontal="center" vertical="center"/>
      <protection locked="0"/>
    </xf>
    <xf numFmtId="0" fontId="1" fillId="8" borderId="8" xfId="0" applyFont="1" applyFill="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locked="0"/>
    </xf>
    <xf numFmtId="0" fontId="1" fillId="10" borderId="11" xfId="0" applyFont="1" applyFill="1" applyBorder="1" applyAlignment="1" applyProtection="1">
      <alignment horizontal="center" vertical="center" wrapText="1"/>
      <protection locked="0"/>
    </xf>
    <xf numFmtId="0" fontId="1" fillId="8" borderId="11" xfId="0" applyFont="1" applyFill="1" applyBorder="1" applyAlignment="1" applyProtection="1">
      <alignment horizontal="center" vertical="center" wrapText="1"/>
      <protection hidden="1"/>
    </xf>
    <xf numFmtId="0" fontId="13" fillId="8" borderId="25" xfId="0" applyFont="1" applyFill="1" applyBorder="1" applyAlignment="1" applyProtection="1">
      <alignment horizontal="center" vertical="center" wrapText="1"/>
      <protection hidden="1"/>
    </xf>
    <xf numFmtId="0" fontId="13" fillId="8" borderId="11"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0" fontId="13" fillId="10" borderId="25" xfId="0" applyFont="1" applyFill="1" applyBorder="1" applyAlignment="1" applyProtection="1">
      <alignment horizontal="center" vertical="center" wrapText="1"/>
      <protection hidden="1"/>
    </xf>
    <xf numFmtId="0" fontId="13" fillId="10" borderId="11" xfId="0" applyFont="1" applyFill="1" applyBorder="1" applyAlignment="1" applyProtection="1">
      <alignment horizontal="center" vertical="center" wrapText="1"/>
      <protection hidden="1"/>
    </xf>
    <xf numFmtId="0" fontId="13" fillId="8" borderId="4" xfId="0" applyFont="1" applyFill="1" applyBorder="1" applyAlignment="1" applyProtection="1">
      <alignment horizontal="center" vertical="center" wrapText="1"/>
      <protection hidden="1"/>
    </xf>
    <xf numFmtId="0" fontId="13" fillId="8" borderId="8" xfId="0" applyFont="1" applyFill="1" applyBorder="1" applyAlignment="1" applyProtection="1">
      <alignment horizontal="center" vertical="center" wrapText="1"/>
      <protection hidden="1"/>
    </xf>
    <xf numFmtId="0" fontId="54" fillId="0" borderId="25" xfId="0" applyFont="1" applyBorder="1" applyAlignment="1" applyProtection="1">
      <alignment horizontal="center" vertical="center" wrapText="1"/>
      <protection locked="0"/>
    </xf>
    <xf numFmtId="0" fontId="54"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hidden="1"/>
    </xf>
    <xf numFmtId="0" fontId="1" fillId="10" borderId="4" xfId="0" applyFont="1" applyFill="1" applyBorder="1" applyAlignment="1" applyProtection="1">
      <alignment horizontal="center" vertical="center" wrapText="1"/>
      <protection locked="0"/>
    </xf>
    <xf numFmtId="0" fontId="1" fillId="0" borderId="85" xfId="0" applyFont="1" applyBorder="1" applyAlignment="1" applyProtection="1">
      <alignment horizontal="center" vertical="center" wrapText="1"/>
      <protection locked="0"/>
    </xf>
    <xf numFmtId="0" fontId="1" fillId="18" borderId="8" xfId="0" applyFont="1" applyFill="1" applyBorder="1" applyAlignment="1" applyProtection="1">
      <alignment horizontal="justify" vertical="center" wrapText="1"/>
      <protection locked="0"/>
    </xf>
    <xf numFmtId="0" fontId="1" fillId="10" borderId="8"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justify" vertical="center" wrapText="1"/>
      <protection locked="0"/>
    </xf>
    <xf numFmtId="0" fontId="1" fillId="10" borderId="61" xfId="0" applyFont="1" applyFill="1" applyBorder="1" applyAlignment="1" applyProtection="1">
      <alignment horizontal="justify" vertical="center" wrapText="1"/>
      <protection locked="0"/>
    </xf>
    <xf numFmtId="0" fontId="1" fillId="0" borderId="85" xfId="0" applyFont="1" applyBorder="1" applyAlignment="1" applyProtection="1">
      <alignment horizontal="justify" vertical="center" wrapText="1"/>
      <protection locked="0"/>
    </xf>
    <xf numFmtId="0" fontId="1" fillId="9" borderId="4" xfId="0" applyFont="1" applyFill="1" applyBorder="1" applyAlignment="1" applyProtection="1">
      <alignment horizontal="center" vertical="center" wrapText="1"/>
      <protection locked="0"/>
    </xf>
    <xf numFmtId="0" fontId="1" fillId="9" borderId="61" xfId="0" applyFont="1" applyFill="1" applyBorder="1" applyAlignment="1" applyProtection="1">
      <alignment horizontal="center" vertical="center" wrapText="1"/>
      <protection locked="0"/>
    </xf>
    <xf numFmtId="0" fontId="1" fillId="9" borderId="8" xfId="0" applyFont="1" applyFill="1" applyBorder="1" applyAlignment="1" applyProtection="1">
      <alignment horizontal="center" vertical="center" wrapText="1"/>
      <protection locked="0"/>
    </xf>
    <xf numFmtId="0" fontId="1" fillId="17" borderId="29" xfId="0" applyFont="1" applyFill="1" applyBorder="1" applyAlignment="1" applyProtection="1">
      <alignment horizontal="center" vertical="center"/>
      <protection locked="0"/>
    </xf>
    <xf numFmtId="0" fontId="1" fillId="17" borderId="30" xfId="0" applyFont="1" applyFill="1" applyBorder="1" applyAlignment="1" applyProtection="1">
      <alignment horizontal="center" vertical="center"/>
      <protection locked="0"/>
    </xf>
    <xf numFmtId="0" fontId="1" fillId="17" borderId="10" xfId="0" applyFont="1" applyFill="1" applyBorder="1" applyAlignment="1" applyProtection="1">
      <alignment horizontal="center" vertical="center"/>
      <protection locked="0"/>
    </xf>
    <xf numFmtId="0" fontId="1" fillId="31" borderId="25" xfId="0" applyFont="1" applyFill="1" applyBorder="1" applyAlignment="1" applyProtection="1">
      <alignment horizontal="center" vertical="center"/>
      <protection locked="0"/>
    </xf>
    <xf numFmtId="0" fontId="1" fillId="31" borderId="16" xfId="0" applyFont="1" applyFill="1" applyBorder="1" applyAlignment="1" applyProtection="1">
      <alignment horizontal="center" vertical="center"/>
      <protection locked="0"/>
    </xf>
    <xf numFmtId="0" fontId="1" fillId="31" borderId="11" xfId="0" applyFont="1" applyFill="1" applyBorder="1" applyAlignment="1" applyProtection="1">
      <alignment horizontal="center" vertical="center"/>
      <protection locked="0"/>
    </xf>
    <xf numFmtId="0" fontId="1" fillId="31" borderId="29" xfId="0" applyFont="1" applyFill="1" applyBorder="1" applyAlignment="1" applyProtection="1">
      <alignment horizontal="center" vertical="center"/>
      <protection locked="0"/>
    </xf>
    <xf numFmtId="0" fontId="1" fillId="31" borderId="30" xfId="0" applyFont="1" applyFill="1" applyBorder="1" applyAlignment="1" applyProtection="1">
      <alignment horizontal="center" vertical="center"/>
      <protection locked="0"/>
    </xf>
    <xf numFmtId="0" fontId="1" fillId="31" borderId="10" xfId="0" applyFont="1" applyFill="1" applyBorder="1" applyAlignment="1" applyProtection="1">
      <alignment horizontal="center" vertical="center"/>
      <protection locked="0"/>
    </xf>
    <xf numFmtId="0" fontId="1" fillId="10" borderId="8" xfId="0" applyFont="1" applyFill="1" applyBorder="1" applyAlignment="1" applyProtection="1">
      <alignment horizontal="justify" vertical="center" wrapText="1"/>
      <protection locked="0"/>
    </xf>
    <xf numFmtId="0" fontId="1" fillId="31" borderId="83" xfId="0" applyFont="1" applyFill="1" applyBorder="1" applyAlignment="1" applyProtection="1">
      <alignment horizontal="center" vertical="center" wrapText="1"/>
      <protection locked="0"/>
    </xf>
    <xf numFmtId="0" fontId="1" fillId="31" borderId="11" xfId="0" applyFont="1" applyFill="1" applyBorder="1" applyAlignment="1" applyProtection="1">
      <alignment horizontal="center" vertical="center" wrapText="1"/>
      <protection locked="0"/>
    </xf>
    <xf numFmtId="0" fontId="1" fillId="31" borderId="25" xfId="0" applyFont="1" applyFill="1" applyBorder="1" applyAlignment="1" applyProtection="1">
      <alignment horizontal="center" vertical="center" wrapText="1"/>
      <protection locked="0"/>
    </xf>
    <xf numFmtId="0" fontId="1" fillId="31" borderId="16" xfId="0" applyFont="1" applyFill="1" applyBorder="1" applyAlignment="1" applyProtection="1">
      <alignment horizontal="center" vertical="center" wrapText="1"/>
      <protection locked="0"/>
    </xf>
    <xf numFmtId="0" fontId="1" fillId="31" borderId="4" xfId="0" applyFont="1" applyFill="1" applyBorder="1" applyAlignment="1" applyProtection="1">
      <alignment horizontal="center" vertical="center" wrapText="1"/>
      <protection locked="0"/>
    </xf>
    <xf numFmtId="0" fontId="1" fillId="31" borderId="8" xfId="0" applyFont="1" applyFill="1" applyBorder="1" applyAlignment="1" applyProtection="1">
      <alignment horizontal="center" vertical="center" wrapText="1"/>
      <protection locked="0"/>
    </xf>
    <xf numFmtId="0" fontId="12" fillId="13" borderId="5"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8" xfId="0" applyFont="1" applyFill="1" applyBorder="1" applyAlignment="1" applyProtection="1">
      <alignment horizontal="center" vertical="center"/>
      <protection locked="0"/>
    </xf>
    <xf numFmtId="0" fontId="12" fillId="13" borderId="61" xfId="0" applyFont="1" applyFill="1" applyBorder="1" applyAlignment="1" applyProtection="1">
      <alignment horizontal="center" vertical="center"/>
      <protection locked="0"/>
    </xf>
    <xf numFmtId="0" fontId="12" fillId="13" borderId="69" xfId="0" applyFont="1" applyFill="1" applyBorder="1" applyAlignment="1" applyProtection="1">
      <alignment horizontal="center" vertical="center" wrapText="1"/>
      <protection locked="0"/>
    </xf>
    <xf numFmtId="0" fontId="12" fillId="13" borderId="61" xfId="0" applyFont="1" applyFill="1" applyBorder="1" applyAlignment="1" applyProtection="1">
      <alignment horizontal="center" vertical="center" wrapText="1"/>
      <protection locked="0"/>
    </xf>
    <xf numFmtId="0" fontId="50" fillId="0" borderId="19" xfId="0" applyFont="1" applyBorder="1" applyAlignment="1" applyProtection="1">
      <alignment horizontal="right" vertical="center" wrapText="1"/>
      <protection locked="0"/>
    </xf>
    <xf numFmtId="0" fontId="50" fillId="0" borderId="20" xfId="0" applyFont="1" applyBorder="1" applyAlignment="1" applyProtection="1">
      <alignment horizontal="right" vertical="center" wrapText="1"/>
      <protection locked="0"/>
    </xf>
    <xf numFmtId="0" fontId="50" fillId="0" borderId="26" xfId="0" applyFont="1" applyBorder="1" applyAlignment="1" applyProtection="1">
      <alignment horizontal="right" vertical="center" wrapText="1"/>
      <protection locked="0"/>
    </xf>
    <xf numFmtId="0" fontId="50" fillId="0" borderId="0" xfId="0" applyFont="1" applyAlignment="1" applyProtection="1">
      <alignment horizontal="right" vertical="center" wrapText="1"/>
      <protection locked="0"/>
    </xf>
    <xf numFmtId="0" fontId="50" fillId="0" borderId="27" xfId="0" applyFont="1" applyBorder="1" applyAlignment="1" applyProtection="1">
      <alignment horizontal="right" vertical="center" wrapText="1"/>
      <protection locked="0"/>
    </xf>
    <xf numFmtId="0" fontId="50" fillId="0" borderId="28" xfId="0" applyFont="1" applyBorder="1" applyAlignment="1" applyProtection="1">
      <alignment horizontal="right" vertical="center" wrapText="1"/>
      <protection locked="0"/>
    </xf>
    <xf numFmtId="0" fontId="15" fillId="15" borderId="61" xfId="0" applyFont="1" applyFill="1" applyBorder="1" applyAlignment="1" applyProtection="1">
      <alignment horizontal="center" vertical="center" wrapText="1"/>
      <protection locked="0"/>
    </xf>
    <xf numFmtId="164" fontId="15" fillId="10" borderId="61" xfId="0" applyNumberFormat="1" applyFont="1" applyFill="1" applyBorder="1" applyAlignment="1" applyProtection="1">
      <alignment horizontal="center" vertical="center" wrapText="1"/>
      <protection locked="0"/>
    </xf>
    <xf numFmtId="0" fontId="16" fillId="15" borderId="61" xfId="0" applyFont="1" applyFill="1" applyBorder="1" applyAlignment="1" applyProtection="1">
      <alignment horizontal="left" vertical="center" wrapText="1"/>
      <protection locked="0"/>
    </xf>
    <xf numFmtId="0" fontId="12" fillId="13" borderId="69" xfId="0" applyFont="1" applyFill="1" applyBorder="1" applyAlignment="1" applyProtection="1">
      <alignment horizontal="center" vertical="center"/>
      <protection locked="0"/>
    </xf>
    <xf numFmtId="0" fontId="12" fillId="13" borderId="70" xfId="0" applyFont="1" applyFill="1" applyBorder="1" applyAlignment="1" applyProtection="1">
      <alignment horizontal="center" vertical="center"/>
      <protection locked="0"/>
    </xf>
    <xf numFmtId="0" fontId="12" fillId="13" borderId="71" xfId="0" applyFont="1" applyFill="1" applyBorder="1" applyAlignment="1" applyProtection="1">
      <alignment horizontal="center" vertical="center"/>
      <protection locked="0"/>
    </xf>
    <xf numFmtId="0" fontId="12" fillId="13" borderId="70" xfId="0" applyFont="1" applyFill="1" applyBorder="1" applyAlignment="1" applyProtection="1">
      <alignment horizontal="center" vertical="center" wrapText="1"/>
      <protection locked="0"/>
    </xf>
    <xf numFmtId="0" fontId="12" fillId="13" borderId="71" xfId="0" applyFont="1" applyFill="1" applyBorder="1" applyAlignment="1" applyProtection="1">
      <alignment horizontal="center" vertical="center" wrapText="1"/>
      <protection locked="0"/>
    </xf>
    <xf numFmtId="0" fontId="32" fillId="0" borderId="17"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13" fillId="10" borderId="16" xfId="0" applyFont="1" applyFill="1" applyBorder="1" applyAlignment="1" applyProtection="1">
      <alignment horizontal="center" vertical="center" wrapText="1"/>
      <protection hidden="1"/>
    </xf>
    <xf numFmtId="0" fontId="1" fillId="10" borderId="4" xfId="0" applyFont="1" applyFill="1" applyBorder="1" applyAlignment="1" applyProtection="1">
      <alignment horizontal="center" vertical="center" wrapText="1"/>
      <protection hidden="1"/>
    </xf>
    <xf numFmtId="0" fontId="1" fillId="10" borderId="8" xfId="0" applyFont="1" applyFill="1" applyBorder="1" applyAlignment="1" applyProtection="1">
      <alignment horizontal="center" vertical="center" wrapText="1"/>
      <protection hidden="1"/>
    </xf>
    <xf numFmtId="0" fontId="1" fillId="10" borderId="61" xfId="0" applyFont="1" applyFill="1" applyBorder="1" applyAlignment="1" applyProtection="1">
      <alignment horizontal="center" vertical="center" wrapText="1"/>
      <protection hidden="1"/>
    </xf>
    <xf numFmtId="0" fontId="13" fillId="8" borderId="61" xfId="0" applyFont="1" applyFill="1" applyBorder="1" applyAlignment="1" applyProtection="1">
      <alignment horizontal="center" vertical="center" wrapText="1"/>
      <protection hidden="1"/>
    </xf>
    <xf numFmtId="0" fontId="13" fillId="8" borderId="16" xfId="0" applyFont="1" applyFill="1" applyBorder="1" applyAlignment="1" applyProtection="1">
      <alignment horizontal="center" vertical="center" wrapText="1"/>
      <protection hidden="1"/>
    </xf>
    <xf numFmtId="0" fontId="1" fillId="10" borderId="31" xfId="0" applyFont="1" applyFill="1" applyBorder="1" applyAlignment="1" applyProtection="1">
      <alignment horizontal="center" vertical="center" wrapText="1"/>
      <protection hidden="1"/>
    </xf>
    <xf numFmtId="0" fontId="1" fillId="10" borderId="79" xfId="0" applyFont="1" applyFill="1" applyBorder="1" applyAlignment="1" applyProtection="1">
      <alignment horizontal="center" vertical="center" wrapText="1"/>
      <protection hidden="1"/>
    </xf>
    <xf numFmtId="14" fontId="1" fillId="0" borderId="25" xfId="0" applyNumberFormat="1" applyFont="1" applyBorder="1" applyAlignment="1" applyProtection="1">
      <alignment horizontal="center" vertical="center" wrapText="1"/>
      <protection locked="0"/>
    </xf>
    <xf numFmtId="14" fontId="1" fillId="0" borderId="16" xfId="0" applyNumberFormat="1" applyFont="1" applyBorder="1" applyAlignment="1" applyProtection="1">
      <alignment horizontal="center" vertical="center" wrapText="1"/>
      <protection locked="0"/>
    </xf>
    <xf numFmtId="14" fontId="1" fillId="0" borderId="11"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justify" vertical="center"/>
      <protection locked="0"/>
    </xf>
    <xf numFmtId="0" fontId="10" fillId="0" borderId="11" xfId="0" applyFont="1" applyBorder="1" applyAlignment="1" applyProtection="1">
      <alignment horizontal="justify" vertical="center"/>
      <protection locked="0"/>
    </xf>
    <xf numFmtId="0" fontId="1" fillId="10" borderId="17" xfId="0" applyFont="1" applyFill="1" applyBorder="1" applyAlignment="1" applyProtection="1">
      <alignment horizontal="center" vertical="center" wrapText="1"/>
      <protection hidden="1"/>
    </xf>
    <xf numFmtId="0" fontId="0" fillId="0" borderId="2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4" xfId="0" applyBorder="1" applyAlignment="1" applyProtection="1">
      <alignment horizontal="justify" vertical="center" wrapText="1"/>
      <protection locked="0"/>
    </xf>
    <xf numFmtId="0" fontId="0" fillId="0" borderId="8" xfId="0" applyBorder="1" applyAlignment="1" applyProtection="1">
      <alignment horizontal="justify" vertical="center" wrapText="1"/>
      <protection locked="0"/>
    </xf>
    <xf numFmtId="14" fontId="1" fillId="0" borderId="4" xfId="0" applyNumberFormat="1" applyFont="1"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wrapText="1"/>
      <protection locked="0"/>
    </xf>
    <xf numFmtId="0" fontId="1" fillId="0" borderId="85" xfId="0" applyFont="1" applyBorder="1" applyAlignment="1" applyProtection="1">
      <alignment horizontal="center" vertical="center" wrapText="1"/>
      <protection hidden="1"/>
    </xf>
    <xf numFmtId="0" fontId="0" fillId="10" borderId="25" xfId="0" applyFill="1" applyBorder="1" applyAlignment="1" applyProtection="1">
      <alignment horizontal="center" vertical="center" wrapText="1"/>
      <protection locked="0"/>
    </xf>
    <xf numFmtId="0" fontId="0" fillId="10" borderId="16" xfId="0" applyFill="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hidden="1"/>
    </xf>
    <xf numFmtId="0" fontId="13" fillId="0" borderId="16" xfId="0" applyFont="1" applyBorder="1" applyAlignment="1" applyProtection="1">
      <alignment horizontal="center" vertical="center" wrapText="1"/>
      <protection hidden="1"/>
    </xf>
    <xf numFmtId="0" fontId="1" fillId="0" borderId="76" xfId="0" applyFont="1" applyBorder="1" applyAlignment="1" applyProtection="1">
      <alignment horizontal="justify" vertical="center" wrapText="1"/>
      <protection locked="0"/>
    </xf>
    <xf numFmtId="0" fontId="1" fillId="0" borderId="84" xfId="0" applyFont="1" applyBorder="1" applyAlignment="1" applyProtection="1">
      <alignment horizontal="justify" vertical="center" wrapText="1"/>
      <protection locked="0"/>
    </xf>
    <xf numFmtId="0" fontId="1" fillId="0" borderId="12" xfId="0" applyFont="1" applyBorder="1" applyAlignment="1" applyProtection="1">
      <alignment horizontal="justify" vertical="center" wrapText="1"/>
      <protection locked="0"/>
    </xf>
    <xf numFmtId="0" fontId="1" fillId="0" borderId="82"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17" borderId="5" xfId="0" applyFont="1" applyFill="1" applyBorder="1" applyAlignment="1" applyProtection="1">
      <alignment horizontal="center" vertical="center"/>
      <protection locked="0"/>
    </xf>
    <xf numFmtId="0" fontId="1" fillId="17" borderId="33" xfId="0" applyFont="1" applyFill="1" applyBorder="1" applyAlignment="1" applyProtection="1">
      <alignment horizontal="center" vertical="center"/>
      <protection locked="0"/>
    </xf>
    <xf numFmtId="0" fontId="1" fillId="17" borderId="7" xfId="0" applyFont="1" applyFill="1" applyBorder="1" applyAlignment="1" applyProtection="1">
      <alignment horizontal="center" vertical="center"/>
      <protection locked="0"/>
    </xf>
    <xf numFmtId="0" fontId="1" fillId="17" borderId="21" xfId="0" applyFont="1" applyFill="1" applyBorder="1" applyAlignment="1" applyProtection="1">
      <alignment horizontal="center" vertical="center"/>
      <protection locked="0"/>
    </xf>
    <xf numFmtId="0" fontId="1" fillId="17" borderId="37" xfId="0" applyFont="1" applyFill="1" applyBorder="1" applyAlignment="1" applyProtection="1">
      <alignment horizontal="center" vertical="center"/>
      <protection locked="0"/>
    </xf>
    <xf numFmtId="0" fontId="1" fillId="17" borderId="13" xfId="0" applyFont="1" applyFill="1" applyBorder="1" applyAlignment="1" applyProtection="1">
      <alignment horizontal="center" vertical="center"/>
      <protection locked="0"/>
    </xf>
    <xf numFmtId="0" fontId="13" fillId="10" borderId="4" xfId="0" applyFont="1" applyFill="1" applyBorder="1" applyAlignment="1" applyProtection="1">
      <alignment horizontal="center" vertical="center" wrapText="1"/>
      <protection hidden="1"/>
    </xf>
    <xf numFmtId="0" fontId="13" fillId="10" borderId="61" xfId="0" applyFont="1" applyFill="1" applyBorder="1" applyAlignment="1" applyProtection="1">
      <alignment horizontal="center" vertical="center" wrapText="1"/>
      <protection hidden="1"/>
    </xf>
    <xf numFmtId="0" fontId="13" fillId="10" borderId="8" xfId="0" applyFont="1" applyFill="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locked="0"/>
    </xf>
    <xf numFmtId="0" fontId="36" fillId="13" borderId="72" xfId="0" applyFont="1" applyFill="1" applyBorder="1" applyAlignment="1">
      <alignment horizontal="center" vertical="center"/>
    </xf>
    <xf numFmtId="0" fontId="36" fillId="13" borderId="73" xfId="0" applyFont="1" applyFill="1" applyBorder="1" applyAlignment="1">
      <alignment horizontal="center" vertical="center"/>
    </xf>
    <xf numFmtId="0" fontId="36" fillId="13" borderId="75" xfId="0" applyFont="1" applyFill="1" applyBorder="1" applyAlignment="1">
      <alignment horizontal="center" vertical="center"/>
    </xf>
    <xf numFmtId="0" fontId="36" fillId="13" borderId="58" xfId="0" applyFont="1" applyFill="1" applyBorder="1" applyAlignment="1">
      <alignment horizontal="center" vertical="center"/>
    </xf>
    <xf numFmtId="0" fontId="36" fillId="13" borderId="41" xfId="0" applyFont="1" applyFill="1" applyBorder="1" applyAlignment="1">
      <alignment horizontal="center" vertical="center"/>
    </xf>
    <xf numFmtId="0" fontId="36" fillId="13" borderId="52" xfId="0" applyFont="1" applyFill="1" applyBorder="1" applyAlignment="1">
      <alignment horizontal="center" vertical="center"/>
    </xf>
    <xf numFmtId="0" fontId="1" fillId="9" borderId="74"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1" fillId="8" borderId="11"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4" xfId="0" applyFont="1" applyFill="1" applyBorder="1" applyAlignment="1" applyProtection="1">
      <alignment horizontal="center" vertical="center" wrapText="1"/>
      <protection locked="0"/>
    </xf>
    <xf numFmtId="0" fontId="1" fillId="8" borderId="8" xfId="0" applyFont="1" applyFill="1" applyBorder="1" applyAlignment="1" applyProtection="1">
      <alignment horizontal="center" vertical="center" wrapText="1"/>
      <protection locked="0"/>
    </xf>
    <xf numFmtId="0" fontId="1" fillId="0" borderId="8" xfId="0" applyFont="1" applyBorder="1" applyAlignment="1">
      <alignment horizontal="center" vertical="center" wrapText="1"/>
    </xf>
    <xf numFmtId="0" fontId="1" fillId="0" borderId="17" xfId="0" applyFont="1" applyBorder="1" applyAlignment="1" applyProtection="1">
      <alignment horizontal="center"/>
      <protection locked="0"/>
    </xf>
    <xf numFmtId="0" fontId="1" fillId="0" borderId="2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1" xfId="0" applyFont="1" applyBorder="1" applyAlignment="1" applyProtection="1">
      <alignment horizontal="center"/>
      <protection locked="0"/>
    </xf>
    <xf numFmtId="0" fontId="32" fillId="0" borderId="19" xfId="0" applyFont="1" applyBorder="1" applyAlignment="1">
      <alignment horizontal="right" vertical="center" wrapText="1"/>
    </xf>
    <xf numFmtId="0" fontId="32" fillId="0" borderId="20" xfId="0" applyFont="1" applyBorder="1" applyAlignment="1">
      <alignment horizontal="right" vertical="center" wrapText="1"/>
    </xf>
    <xf numFmtId="0" fontId="32" fillId="0" borderId="26" xfId="0" applyFont="1" applyBorder="1" applyAlignment="1">
      <alignment horizontal="right" vertical="center" wrapText="1"/>
    </xf>
    <xf numFmtId="0" fontId="32" fillId="0" borderId="0" xfId="0" applyFont="1" applyAlignment="1">
      <alignment horizontal="right" vertical="center" wrapText="1"/>
    </xf>
    <xf numFmtId="0" fontId="32" fillId="0" borderId="27" xfId="0" applyFont="1" applyBorder="1" applyAlignment="1">
      <alignment horizontal="right" vertical="center" wrapText="1"/>
    </xf>
    <xf numFmtId="0" fontId="32" fillId="0" borderId="28" xfId="0" applyFont="1" applyBorder="1" applyAlignment="1">
      <alignment horizontal="right" vertical="center" wrapText="1"/>
    </xf>
    <xf numFmtId="0" fontId="1" fillId="0" borderId="4" xfId="0" applyFont="1" applyBorder="1" applyAlignment="1">
      <alignment horizontal="center" vertical="center" wrapText="1"/>
    </xf>
    <xf numFmtId="0" fontId="13" fillId="8" borderId="25"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 fillId="0" borderId="61" xfId="0" applyFont="1" applyBorder="1" applyAlignment="1" applyProtection="1">
      <alignment horizontal="center"/>
      <protection locked="0"/>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55" xfId="0" applyFont="1" applyBorder="1" applyAlignment="1" applyProtection="1">
      <alignment horizontal="center" vertical="center" wrapText="1"/>
      <protection locked="0"/>
    </xf>
    <xf numFmtId="0" fontId="1" fillId="0" borderId="56" xfId="0" applyFont="1" applyBorder="1" applyAlignment="1" applyProtection="1">
      <alignment horizontal="center" vertical="center" wrapText="1"/>
      <protection locked="0"/>
    </xf>
    <xf numFmtId="0" fontId="1" fillId="0" borderId="57" xfId="0" applyFont="1" applyBorder="1" applyAlignment="1" applyProtection="1">
      <alignment horizontal="center" vertical="center" wrapText="1"/>
      <protection locked="0"/>
    </xf>
    <xf numFmtId="0" fontId="34" fillId="21" borderId="41" xfId="0" applyFont="1" applyFill="1" applyBorder="1" applyAlignment="1">
      <alignment horizontal="center"/>
    </xf>
    <xf numFmtId="0" fontId="34" fillId="21" borderId="69" xfId="0" applyFont="1" applyFill="1" applyBorder="1" applyAlignment="1">
      <alignment horizontal="center"/>
    </xf>
    <xf numFmtId="0" fontId="34" fillId="21" borderId="70" xfId="0" applyFont="1" applyFill="1" applyBorder="1" applyAlignment="1">
      <alignment horizontal="center"/>
    </xf>
    <xf numFmtId="0" fontId="34" fillId="21" borderId="71" xfId="0" applyFont="1" applyFill="1" applyBorder="1" applyAlignment="1">
      <alignment horizontal="center"/>
    </xf>
    <xf numFmtId="0" fontId="38" fillId="22" borderId="21" xfId="0" applyFont="1" applyFill="1" applyBorder="1" applyAlignment="1" applyProtection="1">
      <alignment horizontal="center"/>
      <protection hidden="1"/>
    </xf>
    <xf numFmtId="0" fontId="38" fillId="22" borderId="22" xfId="0" applyFont="1" applyFill="1" applyBorder="1" applyAlignment="1" applyProtection="1">
      <alignment horizontal="center"/>
      <protection hidden="1"/>
    </xf>
    <xf numFmtId="0" fontId="38" fillId="22" borderId="23" xfId="0" applyFont="1" applyFill="1" applyBorder="1" applyAlignment="1" applyProtection="1">
      <alignment horizontal="center"/>
      <protection hidden="1"/>
    </xf>
    <xf numFmtId="0" fontId="39" fillId="23" borderId="7" xfId="0" applyFont="1" applyFill="1" applyBorder="1" applyAlignment="1" applyProtection="1">
      <alignment horizontal="center"/>
      <protection hidden="1"/>
    </xf>
    <xf numFmtId="0" fontId="39" fillId="23" borderId="8" xfId="0" applyFont="1" applyFill="1" applyBorder="1" applyAlignment="1" applyProtection="1">
      <alignment horizontal="center"/>
      <protection hidden="1"/>
    </xf>
    <xf numFmtId="0" fontId="0" fillId="18" borderId="21" xfId="0" applyFill="1" applyBorder="1" applyAlignment="1">
      <alignment horizontal="center" wrapText="1"/>
    </xf>
    <xf numFmtId="0" fontId="0" fillId="18" borderId="22" xfId="0" applyFill="1" applyBorder="1" applyAlignment="1">
      <alignment horizontal="center" wrapText="1"/>
    </xf>
    <xf numFmtId="0" fontId="0" fillId="18" borderId="23" xfId="0" applyFill="1" applyBorder="1" applyAlignment="1">
      <alignment horizontal="center" wrapText="1"/>
    </xf>
    <xf numFmtId="0" fontId="0" fillId="18" borderId="13" xfId="0" applyFill="1" applyBorder="1" applyAlignment="1">
      <alignment horizontal="center" wrapText="1"/>
    </xf>
    <xf numFmtId="0" fontId="0" fillId="18" borderId="14" xfId="0" applyFill="1" applyBorder="1" applyAlignment="1">
      <alignment horizontal="center" wrapText="1"/>
    </xf>
    <xf numFmtId="0" fontId="0" fillId="18" borderId="15" xfId="0" applyFill="1" applyBorder="1" applyAlignment="1">
      <alignment horizontal="center" wrapText="1"/>
    </xf>
    <xf numFmtId="0" fontId="0" fillId="19" borderId="34" xfId="0" applyFill="1" applyBorder="1" applyAlignment="1">
      <alignment horizontal="center" vertical="center" wrapText="1"/>
    </xf>
    <xf numFmtId="0" fontId="0" fillId="19" borderId="35" xfId="0" applyFill="1" applyBorder="1" applyAlignment="1">
      <alignment horizontal="center" vertical="center" wrapText="1"/>
    </xf>
    <xf numFmtId="0" fontId="0" fillId="19" borderId="36" xfId="0" applyFill="1" applyBorder="1" applyAlignment="1">
      <alignment horizontal="center" vertical="center" wrapText="1"/>
    </xf>
    <xf numFmtId="0" fontId="27" fillId="19" borderId="21" xfId="0" applyFont="1" applyFill="1" applyBorder="1" applyAlignment="1">
      <alignment horizontal="center" wrapText="1"/>
    </xf>
    <xf numFmtId="0" fontId="27" fillId="19" borderId="22" xfId="0" applyFont="1" applyFill="1" applyBorder="1" applyAlignment="1">
      <alignment horizontal="center" wrapText="1"/>
    </xf>
    <xf numFmtId="0" fontId="27" fillId="19" borderId="23" xfId="0" applyFont="1" applyFill="1" applyBorder="1" applyAlignment="1">
      <alignment horizontal="center" wrapText="1"/>
    </xf>
    <xf numFmtId="0" fontId="27" fillId="19" borderId="37" xfId="0" applyFont="1" applyFill="1" applyBorder="1" applyAlignment="1">
      <alignment horizontal="center" wrapText="1"/>
    </xf>
    <xf numFmtId="0" fontId="27" fillId="19" borderId="0" xfId="0" applyFont="1" applyFill="1" applyAlignment="1">
      <alignment horizontal="center" wrapText="1"/>
    </xf>
    <xf numFmtId="0" fontId="27" fillId="19" borderId="38" xfId="0" applyFont="1" applyFill="1" applyBorder="1" applyAlignment="1">
      <alignment horizontal="center" wrapText="1"/>
    </xf>
    <xf numFmtId="0" fontId="27" fillId="19" borderId="13" xfId="0" applyFont="1" applyFill="1" applyBorder="1" applyAlignment="1">
      <alignment horizontal="center" wrapText="1"/>
    </xf>
    <xf numFmtId="0" fontId="27" fillId="19" borderId="14" xfId="0" applyFont="1" applyFill="1" applyBorder="1" applyAlignment="1">
      <alignment horizontal="center" wrapText="1"/>
    </xf>
    <xf numFmtId="0" fontId="27" fillId="19" borderId="15" xfId="0" applyFont="1" applyFill="1" applyBorder="1" applyAlignment="1">
      <alignment horizontal="center" wrapText="1"/>
    </xf>
    <xf numFmtId="0" fontId="4" fillId="6" borderId="61" xfId="3" applyFont="1" applyFill="1" applyBorder="1" applyAlignment="1">
      <alignment horizontal="center" vertical="center"/>
    </xf>
    <xf numFmtId="0" fontId="6" fillId="0" borderId="61" xfId="3" applyFont="1" applyBorder="1" applyAlignment="1">
      <alignment horizontal="center" vertical="center" wrapText="1"/>
    </xf>
    <xf numFmtId="0" fontId="4" fillId="3" borderId="61" xfId="3" applyFont="1" applyFill="1" applyBorder="1" applyAlignment="1">
      <alignment horizontal="center" vertical="center"/>
    </xf>
    <xf numFmtId="0" fontId="4" fillId="4" borderId="61" xfId="3" applyFont="1" applyFill="1" applyBorder="1" applyAlignment="1">
      <alignment horizontal="center" vertical="center"/>
    </xf>
    <xf numFmtId="0" fontId="4" fillId="5" borderId="61" xfId="3" applyFont="1" applyFill="1" applyBorder="1" applyAlignment="1">
      <alignment horizontal="center" vertical="center"/>
    </xf>
    <xf numFmtId="0" fontId="9" fillId="0" borderId="0" xfId="3" applyFont="1" applyAlignment="1">
      <alignment horizontal="center" vertical="center" wrapText="1"/>
    </xf>
    <xf numFmtId="0" fontId="9" fillId="0" borderId="0" xfId="3" applyFont="1" applyAlignment="1">
      <alignment horizontal="center" wrapText="1"/>
    </xf>
    <xf numFmtId="0" fontId="4" fillId="2" borderId="0" xfId="3" applyFont="1" applyFill="1" applyAlignment="1">
      <alignment horizontal="center" vertical="center"/>
    </xf>
    <xf numFmtId="0" fontId="4" fillId="12" borderId="61" xfId="3" applyFont="1" applyFill="1" applyBorder="1" applyAlignment="1">
      <alignment horizontal="center" vertical="center"/>
    </xf>
    <xf numFmtId="0" fontId="4" fillId="11" borderId="0" xfId="3" applyFont="1" applyFill="1" applyAlignment="1">
      <alignment horizontal="center" vertical="center" textRotation="90"/>
    </xf>
    <xf numFmtId="0" fontId="4" fillId="6" borderId="67" xfId="3" applyFont="1" applyFill="1" applyBorder="1" applyAlignment="1">
      <alignment horizontal="center" vertical="center"/>
    </xf>
    <xf numFmtId="0" fontId="6" fillId="0" borderId="67" xfId="3" applyFont="1" applyBorder="1" applyAlignment="1">
      <alignment horizontal="center" vertical="center" wrapText="1"/>
    </xf>
    <xf numFmtId="0" fontId="4" fillId="4" borderId="67" xfId="3" applyFont="1" applyFill="1" applyBorder="1" applyAlignment="1">
      <alignment horizontal="center" vertical="center"/>
    </xf>
    <xf numFmtId="0" fontId="4" fillId="5" borderId="67" xfId="3" applyFont="1" applyFill="1" applyBorder="1" applyAlignment="1">
      <alignment horizontal="center" vertical="center"/>
    </xf>
    <xf numFmtId="0" fontId="4" fillId="3" borderId="67" xfId="3" applyFont="1" applyFill="1" applyBorder="1" applyAlignment="1">
      <alignment horizontal="center" vertical="center"/>
    </xf>
    <xf numFmtId="0" fontId="4" fillId="12" borderId="67" xfId="3" applyFont="1" applyFill="1" applyBorder="1" applyAlignment="1">
      <alignment horizontal="center" vertical="center"/>
    </xf>
    <xf numFmtId="0" fontId="1" fillId="0" borderId="45" xfId="0" applyFont="1" applyBorder="1" applyAlignment="1" applyProtection="1">
      <alignment horizontal="justify" vertical="center" wrapText="1"/>
      <protection locked="0"/>
    </xf>
    <xf numFmtId="0" fontId="1" fillId="0" borderId="48" xfId="0" applyFont="1" applyBorder="1" applyAlignment="1" applyProtection="1">
      <alignment horizontal="justify" vertical="center" wrapText="1"/>
      <protection locked="0"/>
    </xf>
    <xf numFmtId="0" fontId="1" fillId="0" borderId="45" xfId="0" applyFont="1" applyBorder="1" applyAlignment="1" applyProtection="1">
      <alignment horizontal="justify" vertical="center" wrapText="1"/>
      <protection locked="0"/>
    </xf>
    <xf numFmtId="0" fontId="1" fillId="0" borderId="46" xfId="0" applyFont="1" applyBorder="1" applyAlignment="1" applyProtection="1">
      <alignment horizontal="justify" vertical="center" wrapText="1"/>
      <protection locked="0"/>
    </xf>
    <xf numFmtId="0" fontId="10" fillId="0" borderId="45" xfId="0" applyFont="1" applyBorder="1" applyAlignment="1" applyProtection="1">
      <alignment horizontal="justify" vertical="center" wrapText="1"/>
      <protection locked="0"/>
    </xf>
    <xf numFmtId="0" fontId="10" fillId="0" borderId="48" xfId="0" applyFont="1" applyBorder="1" applyAlignment="1" applyProtection="1">
      <alignment horizontal="justify" vertical="center" wrapText="1"/>
      <protection locked="0"/>
    </xf>
  </cellXfs>
  <cellStyles count="7">
    <cellStyle name="Excel Built-in Normal" xfId="3"/>
    <cellStyle name="Normal" xfId="0" builtinId="0"/>
    <cellStyle name="Normal 2" xfId="2"/>
    <cellStyle name="Normal 3" xfId="1"/>
    <cellStyle name="Normal 4" xfId="4"/>
    <cellStyle name="Normal 5" xfId="6"/>
    <cellStyle name="Porcentaje" xfId="5" builtinId="5"/>
  </cellStyles>
  <dxfs count="61">
    <dxf>
      <alignment horizontal="general" vertical="bottom" textRotation="0" wrapText="1" indent="0" justifyLastLine="0" shrinkToFit="0" readingOrder="0"/>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CCCCFF"/>
      <color rgb="FFE2ECFD"/>
      <color rgb="FF3366CC"/>
      <color rgb="FF0000FF"/>
      <color rgb="FF66FF33"/>
      <color rgb="FF00CC99"/>
      <color rgb="FFD7EBF7"/>
      <color rgb="FFD4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51"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calcChain" Target="calcChain.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241481</xdr:colOff>
      <xdr:row>0</xdr:row>
      <xdr:rowOff>0</xdr:rowOff>
    </xdr:from>
    <xdr:to>
      <xdr:col>2</xdr:col>
      <xdr:colOff>1632086</xdr:colOff>
      <xdr:row>1</xdr:row>
      <xdr:rowOff>402465</xdr:rowOff>
    </xdr:to>
    <xdr:pic>
      <xdr:nvPicPr>
        <xdr:cNvPr id="3" name="Imagen 2">
          <a:extLst>
            <a:ext uri="{FF2B5EF4-FFF2-40B4-BE49-F238E27FC236}">
              <a16:creationId xmlns:a16="http://schemas.microsoft.com/office/drawing/2014/main" id="{F8AB148D-9F99-4805-AB9B-7A3BA649A9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481" y="0"/>
          <a:ext cx="3952964" cy="9793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80683</xdr:colOff>
      <xdr:row>1</xdr:row>
      <xdr:rowOff>80683</xdr:rowOff>
    </xdr:from>
    <xdr:to>
      <xdr:col>1</xdr:col>
      <xdr:colOff>1325059</xdr:colOff>
      <xdr:row>2</xdr:row>
      <xdr:rowOff>337970</xdr:rowOff>
    </xdr:to>
    <xdr:pic>
      <xdr:nvPicPr>
        <xdr:cNvPr id="2" name="Imagen 1" descr="Logotipo, nombre de la empresa&#10;&#10;Descripción generada automáticamente">
          <a:extLst>
            <a:ext uri="{FF2B5EF4-FFF2-40B4-BE49-F238E27FC236}">
              <a16:creationId xmlns:a16="http://schemas.microsoft.com/office/drawing/2014/main" id="{A9812486-0999-D18C-72C1-28C4F466A3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68" t="49618" r="30499" b="14895"/>
        <a:stretch/>
      </xdr:blipFill>
      <xdr:spPr bwMode="auto">
        <a:xfrm>
          <a:off x="80683" y="385483"/>
          <a:ext cx="1576070" cy="80413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67076</xdr:colOff>
      <xdr:row>0</xdr:row>
      <xdr:rowOff>0</xdr:rowOff>
    </xdr:from>
    <xdr:to>
      <xdr:col>2</xdr:col>
      <xdr:colOff>1837922</xdr:colOff>
      <xdr:row>2</xdr:row>
      <xdr:rowOff>339426</xdr:rowOff>
    </xdr:to>
    <xdr:pic>
      <xdr:nvPicPr>
        <xdr:cNvPr id="3" name="Imagen 2">
          <a:extLst>
            <a:ext uri="{FF2B5EF4-FFF2-40B4-BE49-F238E27FC236}">
              <a16:creationId xmlns:a16="http://schemas.microsoft.com/office/drawing/2014/main" id="{AE9BFC74-77BB-4278-88DE-11EA0E6FE0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76" y="0"/>
          <a:ext cx="4333205" cy="10906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47626</xdr:colOff>
      <xdr:row>0</xdr:row>
      <xdr:rowOff>0</xdr:rowOff>
    </xdr:from>
    <xdr:to>
      <xdr:col>3</xdr:col>
      <xdr:colOff>600076</xdr:colOff>
      <xdr:row>2</xdr:row>
      <xdr:rowOff>166469</xdr:rowOff>
    </xdr:to>
    <xdr:pic>
      <xdr:nvPicPr>
        <xdr:cNvPr id="2" name="Imagen 1">
          <a:extLst>
            <a:ext uri="{FF2B5EF4-FFF2-40B4-BE49-F238E27FC236}">
              <a16:creationId xmlns:a16="http://schemas.microsoft.com/office/drawing/2014/main" id="{FBE39CC2-E377-43C9-BB90-04EF8AFD2B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1626" y="0"/>
          <a:ext cx="2209800" cy="5474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1047750</xdr:colOff>
      <xdr:row>0</xdr:row>
      <xdr:rowOff>123825</xdr:rowOff>
    </xdr:from>
    <xdr:to>
      <xdr:col>4</xdr:col>
      <xdr:colOff>923925</xdr:colOff>
      <xdr:row>4</xdr:row>
      <xdr:rowOff>131423</xdr:rowOff>
    </xdr:to>
    <xdr:pic>
      <xdr:nvPicPr>
        <xdr:cNvPr id="2" name="Imagen 1">
          <a:extLst>
            <a:ext uri="{FF2B5EF4-FFF2-40B4-BE49-F238E27FC236}">
              <a16:creationId xmlns:a16="http://schemas.microsoft.com/office/drawing/2014/main" id="{4CBE616C-E31D-434D-9F43-D1A300C891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50" y="123825"/>
          <a:ext cx="3057525" cy="7695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justiciagovco-my.sharepoint.com/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justiciagovco-my.sharepoint.com/Users/JOSECAR/Downloads/2.%20Mapa%20de%20riesgos%20DIRyPLA__%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njusticiagovco-my.sharepoint.com/Users/DIGITAL%20EXITO/Downloads/Riesgos%20Gestio&#769;n%20Financiera%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njusticiagovco-my.sharepoint.com/Users/DIGITAL%20EXITO/Downloads/Riesgos%20Asuntos%20Internaciona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pyate\Downloads\MC-FO-07%20MAPA%20DE%20RIEGOS%20DEL%20PROCESO%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a%20sofia\Downloads\RIESGO%20GRUPO%20GESTI&#211;N%20DOCUMENTAL%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iguelito\Downloads\Matriz%20de%20riesgos_Proceso%20GG_2306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iguelito\Downloads\DDDOJ%20190820%20Formato%20de%20Riesgos%20VF1%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iguelito\Downloads\Mapa%20de%20Riesgos_PROCESO%20SEGUIMIENTO%20Y%20EVALUACI&#211;N%20(1)%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iguelito\Downloads\Mapa%20de%20Riesgos%20Seguridad%20jur&#237;dic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iguelito\Downloads\Riesgos%20de%20Formulaci&#243;n%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iguelito\Downloads\Riesgos%20Contractual%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Miguelito\Downloads\Riesgos%20Prensa%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iguelito\Downloads\Riesgos%20Proyectos%20Normativos%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Miguelito\Downloads\10.%20Mapa%20de%20Riesgos%20Gesti&#243;n%20Juridic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Miguelito\Downloads\Gesti&#243;n%20contra%20la%20criminalidad_SRPA-SPenintenciarioC.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Miguelito\Downloads\Riesgos%20Drogas_1%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Miguelito\Downloads\Riesgos%20Gesti&#243;n%20Financiera%20(1)%2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Miguelito\Downloads\Riesgos%20Gesti&#243;n%20Humana%2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Miguelito\Downloads\Formato%20matriz%20de%20riesgos_Gesti&#243;n%20Mejora%20Institucional_0710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iguelito\Downloads\PLANES%20Formato%20de%20Riesgos%20VF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Miguelito\Downloads\Riesgos%20Gesti&#243;n%20Humana%20oct%202020%20(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minjusticiagovco-my.sharepoint.com/personal/mjrodriguez_minjusticia_gov_co/Documents/MATRIZ%20DE%20RIESGOS/VIGENCIA%202022/PRIMER%20CUATRIMESTRE/Riesgos%20OAP%20(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minjusticiagovco-my.sharepoint.com/personal/mjrodriguez_minjusticia_gov_co/Documents/MATRIZ%20DE%20RIESGOS/VIGENCIA%202022/PRIMER%20CUATRIMESTRE/Mapa%20de%20Riesgos%20DIRECCIONAMIENTO%20(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minjusticiagovco-my.sharepoint.com/Users/ana%20sofia/Downloads/RIESGO%20GRUPO%20GESTI&#211;N%20DOCUMENTAL%20(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minjusticiagovco-my.sharepoint.com/Users/mauord/Downloads/Mapa%20de%20Riesgos%20corrupcion%20Ajustada_consolidada.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minjusticiagovco-my.sharepoint.com/Users/mauord/Downloads/Mapa%20de%20Riesgos%20corrupcion%20GGFC%20SEPTIEMBRE%205%20DE%20202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minjusticiagovco-my.sharepoint.com/personal/mjrodriguez_minjusticia_gov_co/Documents/MATRIZ%20DE%20RIESGOS/VIGENCIA%202022/PRIMER%20CUATRIMESTRE/MATRIZ%20RIESGOS%20GESTION%20Y%20CORRUPCI&#211;N%20FINAL%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minjusticiagovco-my.sharepoint.com/C:/Users/DIGITAL%20EXITO/Downloads/Corrupci&#243;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Listados"/>
      <sheetName val="Corrupción"/>
      <sheetName val="Seguridad Información"/>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2"/>
      <sheetName val="Base de Datos"/>
      <sheetName val="Contexto Estratégico MJD"/>
      <sheetName val="Contexto Estratégico (2)"/>
      <sheetName val="Administración de Riesgos de G"/>
      <sheetName val="Administración de Riesgos de C"/>
    </sheetNames>
    <sheetDataSet>
      <sheetData sheetId="0"/>
      <sheetData sheetId="1">
        <row r="4">
          <cell r="A4" t="str">
            <v>ESTRATÉGICO</v>
          </cell>
        </row>
        <row r="5">
          <cell r="A5" t="str">
            <v>MISIONAL</v>
          </cell>
        </row>
        <row r="6">
          <cell r="A6" t="str">
            <v>APOYO</v>
          </cell>
        </row>
        <row r="7">
          <cell r="A7" t="str">
            <v>EVALUACIÓN</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s>
    <sheetDataSet>
      <sheetData sheetId="0">
        <row r="8">
          <cell r="K8" t="str">
            <v>Rara Vez</v>
          </cell>
          <cell r="L8">
            <v>1</v>
          </cell>
        </row>
        <row r="9">
          <cell r="K9" t="str">
            <v>Improbable</v>
          </cell>
          <cell r="L9">
            <v>2</v>
          </cell>
        </row>
        <row r="10">
          <cell r="K10" t="str">
            <v>Posible</v>
          </cell>
          <cell r="L10">
            <v>3</v>
          </cell>
        </row>
        <row r="11">
          <cell r="K11" t="str">
            <v>Probable</v>
          </cell>
          <cell r="L11">
            <v>4</v>
          </cell>
        </row>
        <row r="12">
          <cell r="K12" t="str">
            <v>Casi seguro</v>
          </cell>
          <cell r="L12">
            <v>5</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s>
    <sheetDataSet>
      <sheetData sheetId="0">
        <row r="8">
          <cell r="K8" t="str">
            <v>Rara Vez</v>
          </cell>
          <cell r="L8">
            <v>1</v>
          </cell>
        </row>
        <row r="9">
          <cell r="K9" t="str">
            <v>Improbable</v>
          </cell>
          <cell r="L9">
            <v>2</v>
          </cell>
        </row>
        <row r="10">
          <cell r="K10" t="str">
            <v>Posible</v>
          </cell>
          <cell r="L10">
            <v>3</v>
          </cell>
        </row>
        <row r="11">
          <cell r="K11" t="str">
            <v>Probable</v>
          </cell>
          <cell r="L11">
            <v>4</v>
          </cell>
        </row>
        <row r="12">
          <cell r="K12" t="str">
            <v>Casi seguro</v>
          </cell>
          <cell r="L12">
            <v>5</v>
          </cell>
        </row>
      </sheetData>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Listados"/>
      <sheetName val="Corrupción"/>
      <sheetName val="Seguridad Inform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s>
    <sheetDataSet>
      <sheetData sheetId="0">
        <row r="3">
          <cell r="M3" t="str">
            <v>Rara vezInsignificante</v>
          </cell>
        </row>
      </sheetData>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Matriz Riesgos Corrupción"/>
      <sheetName val="Matriz Riesgos Seg. Digital"/>
      <sheetName val="Riesgo Corrupción"/>
      <sheetName val="Corrupción"/>
      <sheetName val="CONTROLES"/>
      <sheetName val="Matriz de calificación"/>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Corrupción (2)"/>
      <sheetName val="Riesgo Corrupción"/>
      <sheetName val="Corrupción"/>
      <sheetName val="Matriz Riesgos Corrupción"/>
      <sheetName val="Matriz Riesgos Gestión (2)"/>
      <sheetName val="CONTROLES"/>
      <sheetName val="Matriz Riesgos Gestión"/>
      <sheetName val="Matriz Riesgos Seg. Digital (2)"/>
      <sheetName val="Matriz RiesgosSeguridad Digital"/>
      <sheetName val="Matriz de calificación"/>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Corrupción"/>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s>
    <sheetDataSet>
      <sheetData sheetId="0">
        <row r="3">
          <cell r="M3" t="str">
            <v>Rara vezInsignificante</v>
          </cell>
          <cell r="N3" t="str">
            <v>Bajo</v>
          </cell>
          <cell r="P3" t="str">
            <v>Bajo</v>
          </cell>
          <cell r="Q3" t="str">
            <v>Asumir el riesgo</v>
          </cell>
          <cell r="U3" t="str">
            <v>FuerteFuerte</v>
          </cell>
          <cell r="V3" t="str">
            <v>Fuerte</v>
          </cell>
        </row>
        <row r="4">
          <cell r="M4" t="str">
            <v>Rara vezMenor</v>
          </cell>
          <cell r="N4" t="str">
            <v>Bajo</v>
          </cell>
          <cell r="P4" t="str">
            <v>Moderado</v>
          </cell>
          <cell r="Q4" t="str">
            <v xml:space="preserve"> Reducir el riesgo</v>
          </cell>
          <cell r="U4" t="str">
            <v>FuerteModerado</v>
          </cell>
          <cell r="V4" t="str">
            <v>Moderado</v>
          </cell>
        </row>
        <row r="5">
          <cell r="M5" t="str">
            <v>Rara vezModerado</v>
          </cell>
          <cell r="N5" t="str">
            <v>Moderado</v>
          </cell>
          <cell r="P5" t="str">
            <v>Alto</v>
          </cell>
          <cell r="Q5" t="str">
            <v>Reducir el riesgo</v>
          </cell>
          <cell r="U5" t="str">
            <v>FuerteDébil</v>
          </cell>
          <cell r="V5" t="str">
            <v>Débil</v>
          </cell>
        </row>
        <row r="6">
          <cell r="M6" t="str">
            <v>Rara vezMayor</v>
          </cell>
          <cell r="N6" t="str">
            <v>Alto</v>
          </cell>
          <cell r="P6" t="str">
            <v>Extremo</v>
          </cell>
          <cell r="Q6" t="str">
            <v>Evitar el riesgo</v>
          </cell>
          <cell r="U6" t="str">
            <v>ModeradoFuerte</v>
          </cell>
          <cell r="V6" t="str">
            <v>Moderado</v>
          </cell>
        </row>
        <row r="7">
          <cell r="M7" t="str">
            <v>Rara vezCatastrófico</v>
          </cell>
          <cell r="N7" t="str">
            <v>Extremo</v>
          </cell>
          <cell r="U7" t="str">
            <v>ModeradoModerado</v>
          </cell>
          <cell r="V7" t="str">
            <v>Moderado</v>
          </cell>
        </row>
        <row r="8">
          <cell r="M8" t="str">
            <v>ImprobableInsignificante</v>
          </cell>
          <cell r="N8" t="str">
            <v>Bajo</v>
          </cell>
          <cell r="U8" t="str">
            <v>ModeradoDébil</v>
          </cell>
          <cell r="V8" t="str">
            <v>Débil</v>
          </cell>
        </row>
        <row r="9">
          <cell r="M9" t="str">
            <v>ImprobableMenor</v>
          </cell>
          <cell r="N9" t="str">
            <v>Bajo</v>
          </cell>
          <cell r="U9" t="str">
            <v>DébilFuerte</v>
          </cell>
          <cell r="V9" t="str">
            <v>Débil</v>
          </cell>
        </row>
        <row r="10">
          <cell r="M10" t="str">
            <v>ImprobableModerado</v>
          </cell>
          <cell r="N10" t="str">
            <v>Moderado</v>
          </cell>
          <cell r="U10" t="str">
            <v>DébilModerado</v>
          </cell>
          <cell r="V10" t="str">
            <v>Débil</v>
          </cell>
        </row>
        <row r="11">
          <cell r="M11" t="str">
            <v>ImprobableMayor</v>
          </cell>
          <cell r="N11" t="str">
            <v>Alto</v>
          </cell>
          <cell r="U11" t="str">
            <v>DébilDébil</v>
          </cell>
          <cell r="V11" t="str">
            <v>Débil</v>
          </cell>
        </row>
        <row r="12">
          <cell r="M12" t="str">
            <v>ImprobableCatastrófico</v>
          </cell>
          <cell r="N12" t="str">
            <v>Extremo</v>
          </cell>
        </row>
        <row r="13">
          <cell r="M13" t="str">
            <v>PosibleInsignificante</v>
          </cell>
          <cell r="N13" t="str">
            <v>Bajo</v>
          </cell>
        </row>
        <row r="14">
          <cell r="M14" t="str">
            <v>PosibleMenor</v>
          </cell>
          <cell r="N14" t="str">
            <v>Moderado</v>
          </cell>
        </row>
        <row r="15">
          <cell r="M15" t="str">
            <v>PosibleModerado</v>
          </cell>
          <cell r="N15" t="str">
            <v>Alto</v>
          </cell>
        </row>
        <row r="16">
          <cell r="M16" t="str">
            <v>PosibleMayor</v>
          </cell>
          <cell r="N16" t="str">
            <v>Extremo</v>
          </cell>
        </row>
        <row r="17">
          <cell r="M17" t="str">
            <v>PosibleCatastrófico</v>
          </cell>
          <cell r="N17" t="str">
            <v>Extremo</v>
          </cell>
        </row>
        <row r="18">
          <cell r="J18">
            <v>-1</v>
          </cell>
          <cell r="K18" t="str">
            <v>Rara Vez</v>
          </cell>
          <cell r="M18" t="str">
            <v>ProbableInsignificante</v>
          </cell>
          <cell r="N18" t="str">
            <v>Moderado</v>
          </cell>
        </row>
        <row r="19">
          <cell r="J19">
            <v>0</v>
          </cell>
          <cell r="K19" t="str">
            <v>Rara Vez</v>
          </cell>
          <cell r="M19" t="str">
            <v>ProbableMenor</v>
          </cell>
          <cell r="N19" t="str">
            <v>Alto</v>
          </cell>
        </row>
        <row r="20">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M26" t="str">
            <v>Casi seguroMayor</v>
          </cell>
          <cell r="N26" t="str">
            <v>Extremo</v>
          </cell>
        </row>
        <row r="27">
          <cell r="M27" t="str">
            <v>Casi seguroCatastrófico</v>
          </cell>
          <cell r="N27" t="str">
            <v>Extremo</v>
          </cell>
        </row>
      </sheetData>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Matriz Riesgos Corrupción"/>
      <sheetName val="Hoja1"/>
      <sheetName val="Matriz Riesgos Seg. Información"/>
      <sheetName val="Seguridad Información"/>
      <sheetName val="Probabilidad Seguridad Informac"/>
      <sheetName val="Riesgo Corrupción"/>
      <sheetName val="Corrupción"/>
      <sheetName val="CONTROLES"/>
      <sheetName val="Matriz de calificación"/>
      <sheetName val="Matriz de calificación (2)"/>
    </sheetNames>
    <sheetDataSet>
      <sheetData sheetId="0">
        <row r="3">
          <cell r="B3" t="str">
            <v xml:space="preserve">Gestión del Conocimiento </v>
          </cell>
          <cell r="C3" t="str">
            <v xml:space="preserve">Gestión del Conocimiento </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Coordinar y administrar la implementación del Sistema Integrado de Gestión del Ministerio de Justicia y de Derecho, con el fin de 
asegurar su mejora contlnua, conveniencia, eficacia y eficiencia conforme con los estándares adoptados. </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 xml:space="preserve">Orientar la gestion de la entidad y del sector para que las acciones se deriven de una planeación eficiente y articulada que optimice 
el uso de los recursos en el logro de los objetivos institucionales. </v>
          </cell>
          <cell r="M7" t="str">
            <v>Rara vezCatastrófico</v>
          </cell>
          <cell r="N7" t="str">
            <v>Extremo</v>
          </cell>
          <cell r="U7" t="str">
            <v>ModeradoModerado</v>
          </cell>
          <cell r="V7" t="str">
            <v>Moderado</v>
          </cell>
        </row>
        <row r="8">
          <cell r="B8" t="str">
            <v>Gestión contra la Criminalidad y la Reincidencia</v>
          </cell>
          <cell r="C8" t="str">
            <v>Gestión contra la Criminalidad y la Reincidencia</v>
          </cell>
          <cell r="M8" t="str">
            <v>ImprobableInsignificante</v>
          </cell>
          <cell r="N8" t="str">
            <v>Bajo</v>
          </cell>
          <cell r="U8" t="str">
            <v>ModeradoDébil</v>
          </cell>
          <cell r="V8" t="str">
            <v>Débil</v>
          </cell>
        </row>
        <row r="9">
          <cell r="B9" t="str">
            <v>Formulación y Seguimiento de las Políticas Públicas</v>
          </cell>
          <cell r="C9" t="str">
            <v>Formularlos criterios,parámetros o lineamientos generales elegidos para abordar las prioridades de la agenda pública en materia de justicia y del derecho y orientar las decisiones respecto a una necesidad o situación de interés público en las materias de competencia del sector de Justicia y del Derecho;hacer seguimiento a las acciones definidas para su implementación o desarrollo y efectuar los ajustes que se requieran.</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las políticas que orientan el sector Justicia y del Derecho,que sirven de herramienta para cumplir con los objetivos del Ministerio en beneficio de la comunidad y partes interesadas de acuerdo con el ordenamiento jurídico vigente.</v>
          </cell>
          <cell r="M10" t="str">
            <v>ImprobableModerado</v>
          </cell>
          <cell r="N10" t="str">
            <v>Moderado</v>
          </cell>
          <cell r="U10" t="str">
            <v>DébilModerado</v>
          </cell>
          <cell r="V10" t="str">
            <v>Débil</v>
          </cell>
        </row>
        <row r="11">
          <cell r="B11" t="str">
            <v>Acceso a la Justicia</v>
          </cell>
          <cell r="C11" t="str">
            <v>Acceso a la Justicia</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v>
          </cell>
          <cell r="M12" t="str">
            <v>ImprobableCatastrófico</v>
          </cell>
          <cell r="N12" t="str">
            <v>Extremo</v>
          </cell>
        </row>
        <row r="13">
          <cell r="B13" t="str">
            <v>Gestión Administrativa</v>
          </cell>
          <cell r="C13" t="str">
            <v>Fijar los lineamientos, parámetros y actividades requeridas para garantizar la gestión de los servicios administrativos, logísticos y la administración de los bienes necesario para la operación del Ministerio de Justicia y del Derecho.</v>
          </cell>
          <cell r="M13" t="str">
            <v>PosibleInsignificante</v>
          </cell>
          <cell r="N13" t="str">
            <v>Bajo</v>
          </cell>
        </row>
        <row r="14">
          <cell r="B14" t="str">
            <v>Gestión Financiera</v>
          </cell>
          <cell r="C14" t="str">
            <v>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v>
          </cell>
          <cell r="M14" t="str">
            <v>PosibleMenor</v>
          </cell>
          <cell r="N14" t="str">
            <v>Moderado</v>
          </cell>
        </row>
        <row r="15">
          <cell r="B15" t="str">
            <v>Gestión de las Tecnologías y la Información</v>
          </cell>
          <cell r="C15" t="str">
            <v>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M16" t="str">
            <v>PosibleMayor</v>
          </cell>
          <cell r="N16" t="str">
            <v>Extremo</v>
          </cell>
        </row>
        <row r="17">
          <cell r="B17" t="str">
            <v>Gestión Jurídica</v>
          </cell>
          <cell r="C17" t="str">
            <v>Apoyar a las diferentes dependencias de la Entidad y del Sector Justicia en el cumplimiento de su función administrativa, emitir conceptos jurídicos, defender y representar jurídicamente al Ministerio de Justicia y del Derecho</v>
          </cell>
          <cell r="M17" t="str">
            <v>PosibleCatastrófico</v>
          </cell>
          <cell r="N17" t="str">
            <v>Extremo</v>
          </cell>
        </row>
        <row r="18">
          <cell r="B18" t="str">
            <v>Gestión Documental</v>
          </cell>
          <cell r="C18" t="str">
            <v>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v>
          </cell>
          <cell r="J18">
            <v>-1</v>
          </cell>
          <cell r="K18" t="str">
            <v>Rara Vez</v>
          </cell>
          <cell r="M18" t="str">
            <v>ProbableInsignificante</v>
          </cell>
          <cell r="N18" t="str">
            <v>Moderado</v>
          </cell>
        </row>
        <row r="19">
          <cell r="B19" t="str">
            <v>Gestión del Talento Humano</v>
          </cell>
          <cell r="C19" t="str">
            <v>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v>
          </cell>
          <cell r="J19">
            <v>0</v>
          </cell>
          <cell r="K19" t="str">
            <v>Rara Vez</v>
          </cell>
          <cell r="M19" t="str">
            <v>ProbableMenor</v>
          </cell>
          <cell r="N19" t="str">
            <v>Alto</v>
          </cell>
        </row>
        <row r="20">
          <cell r="B20" t="str">
            <v>Seguimiento y Evaluación</v>
          </cell>
          <cell r="C20" t="str">
            <v>Evaluar y/o hacer seguimiento a la planeación, ejecución y control en la gestión de los procesos (SIG), programas, planes y proyectos del Ministerio de Justicia y del Derecho para el mejoramiento continuo de la gestión de la Entidad.</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M26" t="str">
            <v>Casi seguroMayor</v>
          </cell>
          <cell r="N26" t="str">
            <v>Extremo</v>
          </cell>
        </row>
        <row r="27">
          <cell r="M27" t="str">
            <v>Casi seguroCatastrófico</v>
          </cell>
          <cell r="N27" t="str">
            <v>Extremo</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Matriz Riesgos Corrupción"/>
      <sheetName val="Hoja1"/>
      <sheetName val="Matriz Riesgos Seg. Información"/>
      <sheetName val="Seguridad Información"/>
      <sheetName val="Probabilidad Seguridad Informac"/>
      <sheetName val="Riesgo Corrupción"/>
      <sheetName val="Corrupción"/>
      <sheetName val="CONTROLES"/>
      <sheetName val="Matriz de calificación"/>
      <sheetName val="Matriz de calificación (2)"/>
    </sheetNames>
    <sheetDataSet>
      <sheetData sheetId="0">
        <row r="3">
          <cell r="M3" t="str">
            <v>Rara vezInsignificante</v>
          </cell>
          <cell r="N3" t="str">
            <v>Bajo</v>
          </cell>
          <cell r="P3" t="str">
            <v>Bajo</v>
          </cell>
          <cell r="Q3" t="str">
            <v>Asumir el riesgo</v>
          </cell>
          <cell r="U3" t="str">
            <v>FuerteFuerte</v>
          </cell>
          <cell r="V3" t="str">
            <v>Fuerte</v>
          </cell>
        </row>
        <row r="4">
          <cell r="M4" t="str">
            <v>Rara vezMenor</v>
          </cell>
          <cell r="N4" t="str">
            <v>Bajo</v>
          </cell>
          <cell r="P4" t="str">
            <v>Moderado</v>
          </cell>
          <cell r="Q4" t="str">
            <v xml:space="preserve"> Reducir el riesgo</v>
          </cell>
          <cell r="U4" t="str">
            <v>FuerteModerado</v>
          </cell>
          <cell r="V4" t="str">
            <v>Moderado</v>
          </cell>
        </row>
        <row r="5">
          <cell r="M5" t="str">
            <v>Rara vezModerado</v>
          </cell>
          <cell r="N5" t="str">
            <v>Moderado</v>
          </cell>
          <cell r="P5" t="str">
            <v>Alto</v>
          </cell>
          <cell r="Q5" t="str">
            <v>Reducir el riesgo</v>
          </cell>
          <cell r="U5" t="str">
            <v>FuerteDébil</v>
          </cell>
          <cell r="V5" t="str">
            <v>Débil</v>
          </cell>
        </row>
        <row r="6">
          <cell r="M6" t="str">
            <v>Rara vezMayor</v>
          </cell>
          <cell r="N6" t="str">
            <v>Alto</v>
          </cell>
          <cell r="P6" t="str">
            <v>Extremo</v>
          </cell>
          <cell r="Q6" t="str">
            <v>Evitar el riesgo</v>
          </cell>
          <cell r="U6" t="str">
            <v>ModeradoFuerte</v>
          </cell>
          <cell r="V6" t="str">
            <v>Moderado</v>
          </cell>
        </row>
        <row r="7">
          <cell r="M7" t="str">
            <v>Rara vezCatastrófico</v>
          </cell>
          <cell r="N7" t="str">
            <v>Extremo</v>
          </cell>
          <cell r="U7" t="str">
            <v>ModeradoModerado</v>
          </cell>
          <cell r="V7" t="str">
            <v>Moderado</v>
          </cell>
        </row>
        <row r="8">
          <cell r="M8" t="str">
            <v>ImprobableInsignificante</v>
          </cell>
          <cell r="N8" t="str">
            <v>Bajo</v>
          </cell>
          <cell r="U8" t="str">
            <v>ModeradoDébil</v>
          </cell>
          <cell r="V8" t="str">
            <v>Débil</v>
          </cell>
        </row>
        <row r="9">
          <cell r="M9" t="str">
            <v>ImprobableMenor</v>
          </cell>
          <cell r="N9" t="str">
            <v>Bajo</v>
          </cell>
          <cell r="U9" t="str">
            <v>DébilFuerte</v>
          </cell>
          <cell r="V9" t="str">
            <v>Débil</v>
          </cell>
        </row>
        <row r="10">
          <cell r="M10" t="str">
            <v>ImprobableModerado</v>
          </cell>
          <cell r="N10" t="str">
            <v>Moderado</v>
          </cell>
          <cell r="U10" t="str">
            <v>DébilModerado</v>
          </cell>
          <cell r="V10" t="str">
            <v>Débil</v>
          </cell>
        </row>
        <row r="11">
          <cell r="M11" t="str">
            <v>ImprobableMayor</v>
          </cell>
          <cell r="N11" t="str">
            <v>Alto</v>
          </cell>
          <cell r="U11" t="str">
            <v>DébilDébil</v>
          </cell>
          <cell r="V11" t="str">
            <v>Débil</v>
          </cell>
        </row>
        <row r="12">
          <cell r="M12" t="str">
            <v>ImprobableCatastrófico</v>
          </cell>
          <cell r="N12" t="str">
            <v>Extremo</v>
          </cell>
        </row>
        <row r="13">
          <cell r="M13" t="str">
            <v>PosibleInsignificante</v>
          </cell>
          <cell r="N13" t="str">
            <v>Bajo</v>
          </cell>
        </row>
        <row r="14">
          <cell r="M14" t="str">
            <v>PosibleMenor</v>
          </cell>
          <cell r="N14" t="str">
            <v>Moderado</v>
          </cell>
        </row>
        <row r="15">
          <cell r="M15" t="str">
            <v>PosibleModerado</v>
          </cell>
          <cell r="N15" t="str">
            <v>Alto</v>
          </cell>
        </row>
        <row r="16">
          <cell r="M16" t="str">
            <v>PosibleMayor</v>
          </cell>
          <cell r="N16" t="str">
            <v>Extremo</v>
          </cell>
        </row>
        <row r="17">
          <cell r="M17" t="str">
            <v>PosibleCatastrófico</v>
          </cell>
          <cell r="N17" t="str">
            <v>Extremo</v>
          </cell>
        </row>
        <row r="18">
          <cell r="J18">
            <v>-1</v>
          </cell>
          <cell r="K18" t="str">
            <v>Rara Vez</v>
          </cell>
          <cell r="M18" t="str">
            <v>ProbableInsignificante</v>
          </cell>
          <cell r="N18" t="str">
            <v>Moderado</v>
          </cell>
        </row>
        <row r="19">
          <cell r="J19">
            <v>0</v>
          </cell>
          <cell r="K19" t="str">
            <v>Rara Vez</v>
          </cell>
          <cell r="M19" t="str">
            <v>ProbableMenor</v>
          </cell>
          <cell r="N19" t="str">
            <v>Alto</v>
          </cell>
        </row>
        <row r="20">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M26" t="str">
            <v>Casi seguroMayor</v>
          </cell>
          <cell r="N26" t="str">
            <v>Extremo</v>
          </cell>
        </row>
        <row r="27">
          <cell r="M27" t="str">
            <v>Casi seguroCatastrófico</v>
          </cell>
          <cell r="N27" t="str">
            <v>Extremo</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DIEGO ORLANDO BUSTOS FORERO" id="{ABA70EB3-29B5-4A00-8F4A-3C5590E9CFFA}" userId="S::diego.bustos@minjusticia.gov.co::bf49b6c9-b274-4c56-9108-b99a4fbcc57e" providerId="AD"/>
</personList>
</file>

<file path=xl/tables/table1.xml><?xml version="1.0" encoding="utf-8"?>
<table xmlns="http://schemas.openxmlformats.org/spreadsheetml/2006/main" id="1" name="Tabla2" displayName="Tabla2" ref="C7:G11" totalsRowShown="0">
  <autoFilter ref="C7:G11"/>
  <tableColumns count="5">
    <tableColumn id="1" name="Descripción" dataDxfId="0"/>
    <tableColumn id="2" name="Acción u omisión"/>
    <tableColumn id="3" name="Uso del poder"/>
    <tableColumn id="4" name="Desviar la gestión de lo público"/>
    <tableColumn id="5" name="Beneficio privado"/>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V9" dT="2024-09-05T14:20:24.79" personId="{ABA70EB3-29B5-4A00-8F4A-3C5590E9CFFA}" id="{A746D9C2-D2ED-400F-8664-9D1B789B2E1A}">
    <text xml:space="preserve">La transferencia del riesgo es una modalidad de administración a través de la cual la entidad relega en otro dicha administración. V.gr. La entidad transfiere a una aseguradora el riesgo de la pérdida de bienes. No se da cuando entre dependencias internas se administra el riesgo. En este caso, lo que cambia es el responsable de asumir los controles.  </text>
  </threadedComment>
  <threadedComment ref="BV36" dT="2024-09-05T14:36:20.53" personId="{ABA70EB3-29B5-4A00-8F4A-3C5590E9CFFA}" id="{EBB2A77E-906B-4006-8D92-4C7A104F0DF3}">
    <text xml:space="preserve">No se puede transferir el riesgo a un contratista si la acción es de competencia misional del MJD. En este caso, el contratista actúa como un colaborador del Estado quien debe cumplir con sus propósitos institucionales y, mucho más aun, si se trata de un riesgo asociado a la “pérdida de recursos al seleccionar una iniciativa asociada a Justicia étnica que no cumpla con los requisitos aprovechando la concentración de la información a fin de que esta sea favorecida con recursos públicos permitiendo la recepción de un beneficio o beneficiando a un tercero”, que constituyen actuaciones propias del MJD que no pueden ser administradas por un tercero.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2"/>
  <sheetViews>
    <sheetView topLeftCell="A10" zoomScaleNormal="100" workbookViewId="0">
      <selection activeCell="F13" sqref="F13"/>
    </sheetView>
  </sheetViews>
  <sheetFormatPr baseColWidth="10" defaultColWidth="11.42578125" defaultRowHeight="15"/>
  <cols>
    <col min="1" max="1" width="15" bestFit="1" customWidth="1"/>
    <col min="2" max="2" width="48.7109375" bestFit="1" customWidth="1"/>
    <col min="3" max="3" width="48.7109375" customWidth="1"/>
    <col min="4" max="4" width="11.42578125" customWidth="1"/>
    <col min="5" max="5" width="13.28515625" customWidth="1"/>
    <col min="6" max="6" width="12.28515625" bestFit="1" customWidth="1"/>
    <col min="7" max="7" width="23.5703125" customWidth="1"/>
    <col min="8" max="8" width="24.85546875" customWidth="1"/>
    <col min="9" max="9" width="17.7109375" customWidth="1"/>
    <col min="11" max="11" width="17.140625" customWidth="1"/>
    <col min="12" max="12" width="19.5703125" customWidth="1"/>
    <col min="13" max="13" width="37.28515625" customWidth="1"/>
    <col min="14" max="14" width="21.42578125" customWidth="1"/>
    <col min="21" max="21" width="19.42578125" bestFit="1" customWidth="1"/>
  </cols>
  <sheetData>
    <row r="2" spans="1:24" ht="15.75" thickBot="1">
      <c r="A2" s="10" t="s">
        <v>0</v>
      </c>
      <c r="B2" s="10" t="s">
        <v>1</v>
      </c>
      <c r="C2" s="10" t="s">
        <v>2</v>
      </c>
      <c r="D2" s="10" t="s">
        <v>3</v>
      </c>
      <c r="E2" s="10" t="s">
        <v>4</v>
      </c>
      <c r="F2" s="10" t="s">
        <v>5</v>
      </c>
      <c r="G2" s="10" t="s">
        <v>6</v>
      </c>
      <c r="H2" s="10" t="s">
        <v>7</v>
      </c>
      <c r="I2" s="10" t="s">
        <v>8</v>
      </c>
      <c r="K2" s="10" t="s">
        <v>5</v>
      </c>
      <c r="L2" s="10" t="s">
        <v>6</v>
      </c>
      <c r="M2" s="10" t="s">
        <v>9</v>
      </c>
      <c r="P2" s="10" t="s">
        <v>10</v>
      </c>
      <c r="S2" s="386" t="s">
        <v>11</v>
      </c>
      <c r="T2" s="386"/>
      <c r="U2" s="386"/>
      <c r="V2" s="386"/>
      <c r="W2" t="s">
        <v>12</v>
      </c>
    </row>
    <row r="3" spans="1:24" ht="144" thickBot="1">
      <c r="A3" s="25" t="s">
        <v>13</v>
      </c>
      <c r="B3" s="113" t="s">
        <v>14</v>
      </c>
      <c r="C3" s="113" t="s">
        <v>14</v>
      </c>
      <c r="D3" s="25" t="s">
        <v>15</v>
      </c>
      <c r="E3" s="25" t="s">
        <v>16</v>
      </c>
      <c r="F3" s="11" t="s">
        <v>17</v>
      </c>
      <c r="G3" s="11" t="s">
        <v>18</v>
      </c>
      <c r="H3" t="s">
        <v>19</v>
      </c>
      <c r="I3" t="s">
        <v>20</v>
      </c>
      <c r="K3" s="11" t="s">
        <v>21</v>
      </c>
      <c r="L3" s="11" t="s">
        <v>18</v>
      </c>
      <c r="M3" t="s">
        <v>22</v>
      </c>
      <c r="N3" t="s">
        <v>23</v>
      </c>
      <c r="P3" t="s">
        <v>23</v>
      </c>
      <c r="Q3" t="s">
        <v>24</v>
      </c>
      <c r="S3" t="s">
        <v>25</v>
      </c>
      <c r="T3" t="s">
        <v>25</v>
      </c>
      <c r="U3" t="str">
        <f>+CONCATENATE(S3,T3)</f>
        <v>FuerteFuerte</v>
      </c>
      <c r="V3" t="s">
        <v>25</v>
      </c>
      <c r="W3" s="46" t="s">
        <v>26</v>
      </c>
      <c r="X3" s="45"/>
    </row>
    <row r="4" spans="1:24" ht="201" thickBot="1">
      <c r="A4" s="25" t="s">
        <v>13</v>
      </c>
      <c r="B4" s="113" t="s">
        <v>27</v>
      </c>
      <c r="C4" s="114" t="s">
        <v>28</v>
      </c>
      <c r="D4" s="25" t="s">
        <v>29</v>
      </c>
      <c r="E4" s="25" t="s">
        <v>30</v>
      </c>
      <c r="F4" s="11" t="s">
        <v>31</v>
      </c>
      <c r="G4" s="11" t="s">
        <v>32</v>
      </c>
      <c r="H4" s="11" t="s">
        <v>33</v>
      </c>
      <c r="I4" t="s">
        <v>34</v>
      </c>
      <c r="K4" s="11" t="s">
        <v>31</v>
      </c>
      <c r="L4" s="11" t="s">
        <v>32</v>
      </c>
      <c r="M4" t="s">
        <v>35</v>
      </c>
      <c r="N4" t="s">
        <v>23</v>
      </c>
      <c r="P4" t="s">
        <v>36</v>
      </c>
      <c r="Q4" t="s">
        <v>37</v>
      </c>
      <c r="S4" t="s">
        <v>25</v>
      </c>
      <c r="T4" t="s">
        <v>36</v>
      </c>
      <c r="U4" t="str">
        <f t="shared" ref="U4:U11" si="0">+CONCATENATE(S4,T4)</f>
        <v>FuerteModerado</v>
      </c>
      <c r="V4" t="s">
        <v>36</v>
      </c>
      <c r="W4" s="46" t="s">
        <v>38</v>
      </c>
    </row>
    <row r="5" spans="1:24" ht="273.75" thickBot="1">
      <c r="A5" s="25" t="s">
        <v>13</v>
      </c>
      <c r="B5" s="113" t="s">
        <v>39</v>
      </c>
      <c r="C5" s="115" t="s">
        <v>40</v>
      </c>
      <c r="D5" s="25" t="s">
        <v>41</v>
      </c>
      <c r="E5" s="25"/>
      <c r="F5" s="11" t="s">
        <v>42</v>
      </c>
      <c r="G5" s="11" t="s">
        <v>36</v>
      </c>
      <c r="H5" t="s">
        <v>43</v>
      </c>
      <c r="K5" s="11" t="s">
        <v>44</v>
      </c>
      <c r="L5" s="11" t="s">
        <v>36</v>
      </c>
      <c r="M5" t="s">
        <v>45</v>
      </c>
      <c r="N5" t="s">
        <v>36</v>
      </c>
      <c r="P5" t="s">
        <v>46</v>
      </c>
      <c r="Q5" t="s">
        <v>47</v>
      </c>
      <c r="S5" t="s">
        <v>25</v>
      </c>
      <c r="T5" t="s">
        <v>48</v>
      </c>
      <c r="U5" t="str">
        <f t="shared" si="0"/>
        <v>FuerteDébil</v>
      </c>
      <c r="V5" t="s">
        <v>48</v>
      </c>
      <c r="W5" s="46" t="s">
        <v>49</v>
      </c>
    </row>
    <row r="6" spans="1:24" ht="168.75" thickBot="1">
      <c r="A6" s="25" t="s">
        <v>13</v>
      </c>
      <c r="B6" s="113" t="s">
        <v>50</v>
      </c>
      <c r="C6" s="115" t="s">
        <v>51</v>
      </c>
      <c r="D6" s="25" t="s">
        <v>52</v>
      </c>
      <c r="E6" s="25"/>
      <c r="F6" s="11" t="s">
        <v>53</v>
      </c>
      <c r="G6" s="11" t="s">
        <v>54</v>
      </c>
      <c r="H6" t="s">
        <v>55</v>
      </c>
      <c r="K6" s="11" t="s">
        <v>53</v>
      </c>
      <c r="L6" s="11" t="s">
        <v>54</v>
      </c>
      <c r="M6" t="s">
        <v>56</v>
      </c>
      <c r="N6" t="s">
        <v>46</v>
      </c>
      <c r="P6" t="s">
        <v>57</v>
      </c>
      <c r="Q6" t="s">
        <v>58</v>
      </c>
      <c r="S6" t="s">
        <v>36</v>
      </c>
      <c r="T6" t="s">
        <v>25</v>
      </c>
      <c r="U6" t="str">
        <f t="shared" si="0"/>
        <v>ModeradoFuerte</v>
      </c>
      <c r="V6" t="s">
        <v>36</v>
      </c>
      <c r="W6" s="46" t="s">
        <v>59</v>
      </c>
    </row>
    <row r="7" spans="1:24" ht="214.5">
      <c r="A7" s="25" t="s">
        <v>13</v>
      </c>
      <c r="B7" s="113" t="s">
        <v>60</v>
      </c>
      <c r="C7" s="115" t="s">
        <v>61</v>
      </c>
      <c r="D7" s="25" t="s">
        <v>62</v>
      </c>
      <c r="E7" s="25"/>
      <c r="F7" s="11" t="s">
        <v>63</v>
      </c>
      <c r="G7" s="11" t="s">
        <v>64</v>
      </c>
      <c r="H7" s="11"/>
      <c r="K7" s="11" t="s">
        <v>63</v>
      </c>
      <c r="L7" s="11" t="s">
        <v>64</v>
      </c>
      <c r="M7" t="s">
        <v>65</v>
      </c>
      <c r="N7" t="s">
        <v>57</v>
      </c>
      <c r="S7" t="s">
        <v>36</v>
      </c>
      <c r="T7" t="s">
        <v>36</v>
      </c>
      <c r="U7" t="str">
        <f t="shared" si="0"/>
        <v>ModeradoModerado</v>
      </c>
      <c r="V7" t="s">
        <v>36</v>
      </c>
      <c r="W7" s="46" t="s">
        <v>66</v>
      </c>
    </row>
    <row r="8" spans="1:24" ht="21">
      <c r="A8" s="25" t="s">
        <v>67</v>
      </c>
      <c r="B8" s="113" t="s">
        <v>68</v>
      </c>
      <c r="C8" s="113" t="s">
        <v>1315</v>
      </c>
      <c r="D8" s="25" t="s">
        <v>69</v>
      </c>
      <c r="E8" s="25"/>
      <c r="K8" s="11" t="s">
        <v>21</v>
      </c>
      <c r="L8">
        <v>1</v>
      </c>
      <c r="M8" t="s">
        <v>70</v>
      </c>
      <c r="N8" t="s">
        <v>23</v>
      </c>
      <c r="S8" t="s">
        <v>36</v>
      </c>
      <c r="T8" t="s">
        <v>48</v>
      </c>
      <c r="U8" t="str">
        <f t="shared" si="0"/>
        <v>ModeradoDébil</v>
      </c>
      <c r="V8" t="s">
        <v>48</v>
      </c>
    </row>
    <row r="9" spans="1:24" ht="252">
      <c r="A9" s="25" t="s">
        <v>67</v>
      </c>
      <c r="B9" s="113" t="s">
        <v>71</v>
      </c>
      <c r="C9" s="116" t="s">
        <v>72</v>
      </c>
      <c r="D9" s="25"/>
      <c r="E9" s="25"/>
      <c r="K9" s="11" t="s">
        <v>31</v>
      </c>
      <c r="L9">
        <v>2</v>
      </c>
      <c r="M9" t="s">
        <v>73</v>
      </c>
      <c r="N9" t="s">
        <v>23</v>
      </c>
      <c r="S9" t="s">
        <v>48</v>
      </c>
      <c r="T9" t="s">
        <v>25</v>
      </c>
      <c r="U9" t="str">
        <f t="shared" si="0"/>
        <v>DébilFuerte</v>
      </c>
      <c r="V9" t="s">
        <v>48</v>
      </c>
    </row>
    <row r="10" spans="1:24" ht="189">
      <c r="A10" s="25" t="s">
        <v>67</v>
      </c>
      <c r="B10" s="113" t="s">
        <v>74</v>
      </c>
      <c r="C10" s="116" t="s">
        <v>75</v>
      </c>
      <c r="D10" s="25"/>
      <c r="E10" s="25"/>
      <c r="K10" s="11" t="s">
        <v>44</v>
      </c>
      <c r="L10">
        <v>3</v>
      </c>
      <c r="M10" t="s">
        <v>76</v>
      </c>
      <c r="N10" t="s">
        <v>36</v>
      </c>
      <c r="S10" t="s">
        <v>48</v>
      </c>
      <c r="T10" t="s">
        <v>36</v>
      </c>
      <c r="U10" t="str">
        <f t="shared" si="0"/>
        <v>DébilModerado</v>
      </c>
      <c r="V10" t="s">
        <v>48</v>
      </c>
    </row>
    <row r="11" spans="1:24" ht="21">
      <c r="A11" s="25" t="s">
        <v>67</v>
      </c>
      <c r="B11" s="25" t="s">
        <v>77</v>
      </c>
      <c r="C11" s="25" t="s">
        <v>1317</v>
      </c>
      <c r="D11" s="25"/>
      <c r="E11" s="25"/>
      <c r="K11" s="11" t="s">
        <v>53</v>
      </c>
      <c r="L11">
        <v>4</v>
      </c>
      <c r="M11" t="s">
        <v>78</v>
      </c>
      <c r="N11" t="s">
        <v>46</v>
      </c>
      <c r="S11" t="s">
        <v>48</v>
      </c>
      <c r="T11" t="s">
        <v>48</v>
      </c>
      <c r="U11" t="str">
        <f t="shared" si="0"/>
        <v>DébilDébil</v>
      </c>
      <c r="V11" t="s">
        <v>48</v>
      </c>
    </row>
    <row r="12" spans="1:24" ht="210">
      <c r="A12" s="25" t="s">
        <v>67</v>
      </c>
      <c r="B12" s="25" t="s">
        <v>79</v>
      </c>
      <c r="C12" s="26" t="s">
        <v>80</v>
      </c>
      <c r="D12" s="25"/>
      <c r="E12" s="25"/>
      <c r="K12" s="11" t="s">
        <v>63</v>
      </c>
      <c r="L12">
        <v>5</v>
      </c>
      <c r="M12" t="s">
        <v>81</v>
      </c>
      <c r="N12" t="s">
        <v>57</v>
      </c>
    </row>
    <row r="13" spans="1:24" ht="147">
      <c r="A13" s="25" t="s">
        <v>82</v>
      </c>
      <c r="B13" s="25" t="s">
        <v>83</v>
      </c>
      <c r="C13" s="104" t="s">
        <v>84</v>
      </c>
      <c r="D13" s="25"/>
      <c r="E13" s="25"/>
      <c r="K13" s="11" t="s">
        <v>18</v>
      </c>
      <c r="L13">
        <v>1</v>
      </c>
      <c r="M13" t="s">
        <v>85</v>
      </c>
      <c r="N13" t="s">
        <v>23</v>
      </c>
    </row>
    <row r="14" spans="1:24" ht="231">
      <c r="A14" s="25" t="s">
        <v>82</v>
      </c>
      <c r="B14" s="25" t="s">
        <v>86</v>
      </c>
      <c r="C14" s="104" t="s">
        <v>87</v>
      </c>
      <c r="D14" s="25"/>
      <c r="E14" s="25"/>
      <c r="K14" s="11" t="s">
        <v>32</v>
      </c>
      <c r="L14">
        <v>2</v>
      </c>
      <c r="M14" t="s">
        <v>88</v>
      </c>
      <c r="N14" t="s">
        <v>36</v>
      </c>
    </row>
    <row r="15" spans="1:24" ht="231">
      <c r="A15" s="25" t="s">
        <v>82</v>
      </c>
      <c r="B15" s="25" t="s">
        <v>89</v>
      </c>
      <c r="C15" s="104" t="s">
        <v>90</v>
      </c>
      <c r="D15" s="25"/>
      <c r="E15" s="25"/>
      <c r="K15" s="11" t="s">
        <v>36</v>
      </c>
      <c r="L15">
        <v>3</v>
      </c>
      <c r="M15" t="s">
        <v>91</v>
      </c>
      <c r="N15" t="s">
        <v>46</v>
      </c>
    </row>
    <row r="16" spans="1:24" ht="210">
      <c r="A16" s="25" t="s">
        <v>82</v>
      </c>
      <c r="B16" s="25" t="s">
        <v>92</v>
      </c>
      <c r="C16" s="104" t="s">
        <v>93</v>
      </c>
      <c r="D16" s="25"/>
      <c r="E16" s="25"/>
      <c r="K16" s="11" t="s">
        <v>54</v>
      </c>
      <c r="L16">
        <v>4</v>
      </c>
      <c r="M16" t="s">
        <v>94</v>
      </c>
      <c r="N16" t="s">
        <v>57</v>
      </c>
    </row>
    <row r="17" spans="1:14" ht="147">
      <c r="A17" s="25" t="s">
        <v>82</v>
      </c>
      <c r="B17" s="25" t="s">
        <v>95</v>
      </c>
      <c r="C17" s="104" t="s">
        <v>96</v>
      </c>
      <c r="D17" s="25"/>
      <c r="E17" s="25"/>
      <c r="K17" s="11" t="s">
        <v>64</v>
      </c>
      <c r="L17">
        <v>5</v>
      </c>
      <c r="M17" t="s">
        <v>97</v>
      </c>
      <c r="N17" t="s">
        <v>57</v>
      </c>
    </row>
    <row r="18" spans="1:14" ht="189">
      <c r="A18" s="25" t="s">
        <v>82</v>
      </c>
      <c r="B18" s="25" t="s">
        <v>98</v>
      </c>
      <c r="C18" s="104" t="s">
        <v>99</v>
      </c>
      <c r="D18" s="25"/>
      <c r="E18" s="25"/>
      <c r="J18">
        <v>-1</v>
      </c>
      <c r="K18" s="11" t="s">
        <v>21</v>
      </c>
      <c r="M18" t="s">
        <v>100</v>
      </c>
      <c r="N18" t="s">
        <v>36</v>
      </c>
    </row>
    <row r="19" spans="1:14" ht="189">
      <c r="A19" s="25" t="s">
        <v>13</v>
      </c>
      <c r="B19" s="25" t="s">
        <v>101</v>
      </c>
      <c r="C19" s="104" t="s">
        <v>102</v>
      </c>
      <c r="D19" s="25"/>
      <c r="E19" s="25"/>
      <c r="J19">
        <v>0</v>
      </c>
      <c r="K19" s="11" t="s">
        <v>21</v>
      </c>
      <c r="M19" t="s">
        <v>103</v>
      </c>
      <c r="N19" t="s">
        <v>46</v>
      </c>
    </row>
    <row r="20" spans="1:14" ht="147">
      <c r="A20" s="25" t="s">
        <v>9</v>
      </c>
      <c r="B20" s="25" t="s">
        <v>104</v>
      </c>
      <c r="C20" s="104" t="s">
        <v>105</v>
      </c>
      <c r="D20" s="25"/>
      <c r="E20" s="25"/>
      <c r="J20">
        <v>1</v>
      </c>
      <c r="K20" s="11" t="s">
        <v>21</v>
      </c>
      <c r="M20" t="s">
        <v>106</v>
      </c>
      <c r="N20" t="s">
        <v>46</v>
      </c>
    </row>
    <row r="21" spans="1:14" ht="21">
      <c r="B21" s="25" t="s">
        <v>1314</v>
      </c>
      <c r="J21">
        <v>2</v>
      </c>
      <c r="K21" s="11" t="s">
        <v>31</v>
      </c>
      <c r="M21" t="s">
        <v>107</v>
      </c>
      <c r="N21" t="s">
        <v>57</v>
      </c>
    </row>
    <row r="22" spans="1:14">
      <c r="J22">
        <v>3</v>
      </c>
      <c r="K22" s="11" t="s">
        <v>44</v>
      </c>
      <c r="M22" t="s">
        <v>108</v>
      </c>
      <c r="N22" t="s">
        <v>57</v>
      </c>
    </row>
    <row r="23" spans="1:14">
      <c r="J23">
        <v>4</v>
      </c>
      <c r="K23" s="11" t="s">
        <v>53</v>
      </c>
      <c r="M23" t="s">
        <v>109</v>
      </c>
      <c r="N23" t="s">
        <v>46</v>
      </c>
    </row>
    <row r="24" spans="1:14">
      <c r="J24">
        <v>5</v>
      </c>
      <c r="K24" s="11" t="s">
        <v>63</v>
      </c>
      <c r="M24" t="s">
        <v>110</v>
      </c>
      <c r="N24" t="s">
        <v>46</v>
      </c>
    </row>
    <row r="25" spans="1:14">
      <c r="B25" s="10" t="s">
        <v>111</v>
      </c>
      <c r="C25" s="10" t="s">
        <v>112</v>
      </c>
      <c r="E25" s="10" t="s">
        <v>113</v>
      </c>
      <c r="G25" s="10" t="s">
        <v>114</v>
      </c>
      <c r="M25" t="s">
        <v>115</v>
      </c>
      <c r="N25" t="s">
        <v>57</v>
      </c>
    </row>
    <row r="26" spans="1:14">
      <c r="B26" t="s">
        <v>116</v>
      </c>
      <c r="C26" t="s">
        <v>117</v>
      </c>
      <c r="E26" t="s">
        <v>118</v>
      </c>
      <c r="G26" t="s">
        <v>20</v>
      </c>
      <c r="J26">
        <v>-1</v>
      </c>
      <c r="K26" s="11" t="s">
        <v>18</v>
      </c>
      <c r="M26" t="s">
        <v>119</v>
      </c>
      <c r="N26" t="s">
        <v>57</v>
      </c>
    </row>
    <row r="27" spans="1:14">
      <c r="B27" t="s">
        <v>120</v>
      </c>
      <c r="C27" t="s">
        <v>121</v>
      </c>
      <c r="E27" t="s">
        <v>122</v>
      </c>
      <c r="G27" t="s">
        <v>123</v>
      </c>
      <c r="J27">
        <v>0</v>
      </c>
      <c r="K27" s="11" t="s">
        <v>18</v>
      </c>
      <c r="M27" t="s">
        <v>124</v>
      </c>
      <c r="N27" t="s">
        <v>57</v>
      </c>
    </row>
    <row r="28" spans="1:14">
      <c r="C28" t="s">
        <v>125</v>
      </c>
      <c r="E28" t="s">
        <v>126</v>
      </c>
      <c r="J28">
        <v>1</v>
      </c>
      <c r="K28" s="11" t="s">
        <v>18</v>
      </c>
    </row>
    <row r="29" spans="1:14">
      <c r="G29" t="s">
        <v>20</v>
      </c>
      <c r="J29">
        <v>2</v>
      </c>
      <c r="K29" s="11" t="s">
        <v>32</v>
      </c>
    </row>
    <row r="30" spans="1:14">
      <c r="G30" t="s">
        <v>127</v>
      </c>
      <c r="J30">
        <v>3</v>
      </c>
      <c r="K30" s="11" t="s">
        <v>36</v>
      </c>
    </row>
    <row r="31" spans="1:14">
      <c r="J31">
        <v>4</v>
      </c>
      <c r="K31" s="11" t="s">
        <v>54</v>
      </c>
    </row>
    <row r="32" spans="1:14">
      <c r="J32">
        <v>5</v>
      </c>
      <c r="K32" s="11" t="s">
        <v>64</v>
      </c>
    </row>
  </sheetData>
  <sheetProtection selectLockedCells="1"/>
  <mergeCells count="1">
    <mergeCell ref="S2:V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66"/>
  <sheetViews>
    <sheetView showGridLines="0" topLeftCell="J90" zoomScale="90" zoomScaleNormal="90" zoomScaleSheetLayoutView="50" workbookViewId="0">
      <selection activeCell="P91" sqref="P91"/>
    </sheetView>
  </sheetViews>
  <sheetFormatPr baseColWidth="10" defaultColWidth="11.42578125" defaultRowHeight="15"/>
  <cols>
    <col min="1" max="1" width="4.85546875" style="18" customWidth="1"/>
    <col min="2" max="2" width="33.5703125" style="130" customWidth="1"/>
    <col min="3" max="3" width="47" style="15" customWidth="1"/>
    <col min="4" max="6" width="28.85546875" style="19" customWidth="1"/>
    <col min="7" max="7" width="26.28515625" style="19" bestFit="1" customWidth="1"/>
    <col min="8" max="8" width="27.28515625" style="19" customWidth="1"/>
    <col min="9" max="9" width="27.7109375" style="15" customWidth="1"/>
    <col min="10" max="10" width="9.28515625" style="20" customWidth="1"/>
    <col min="11" max="11" width="10.42578125" style="20" hidden="1" customWidth="1"/>
    <col min="12" max="12" width="12.42578125" style="20" customWidth="1"/>
    <col min="13" max="13" width="10.42578125" style="20" hidden="1" customWidth="1"/>
    <col min="14" max="14" width="10.140625" style="20" customWidth="1"/>
    <col min="15" max="15" width="74.140625" style="15" customWidth="1"/>
    <col min="16" max="16" width="52.7109375" style="15" customWidth="1"/>
    <col min="17" max="17" width="16.42578125" style="15" customWidth="1"/>
    <col min="18" max="18" width="20" style="15" customWidth="1"/>
    <col min="19" max="19" width="20" style="15" hidden="1" customWidth="1"/>
    <col min="20" max="20" width="22.85546875" style="15" customWidth="1"/>
    <col min="21" max="21" width="22.85546875" style="15" hidden="1" customWidth="1"/>
    <col min="22" max="22" width="28.140625" style="15" bestFit="1" customWidth="1"/>
    <col min="23" max="23" width="28.140625" style="15" hidden="1" customWidth="1"/>
    <col min="24" max="24" width="34.7109375" style="15" bestFit="1" customWidth="1"/>
    <col min="25" max="25" width="34.7109375" style="15" hidden="1" customWidth="1"/>
    <col min="26" max="26" width="24.140625" style="15" bestFit="1" customWidth="1"/>
    <col min="27" max="27" width="24.140625" style="15" hidden="1" customWidth="1"/>
    <col min="28" max="28" width="27.85546875" style="15" bestFit="1" customWidth="1"/>
    <col min="29" max="29" width="27.85546875" style="15" hidden="1" customWidth="1"/>
    <col min="30" max="30" width="23.85546875" style="15" bestFit="1" customWidth="1"/>
    <col min="31" max="31" width="23.85546875" style="15" hidden="1" customWidth="1"/>
    <col min="32" max="32" width="15.85546875" style="15" customWidth="1"/>
    <col min="33" max="33" width="18.5703125" style="15" customWidth="1"/>
    <col min="34" max="35" width="20.5703125" style="15" customWidth="1"/>
    <col min="36" max="38" width="15.5703125" style="15" customWidth="1"/>
    <col min="39" max="39" width="18.85546875" style="15" customWidth="1"/>
    <col min="40" max="41" width="15.5703125" style="15" customWidth="1"/>
    <col min="42" max="43" width="15.5703125" style="15" hidden="1" customWidth="1"/>
    <col min="44" max="44" width="22.28515625" style="20" customWidth="1"/>
    <col min="45" max="45" width="11.85546875" style="20" customWidth="1"/>
    <col min="46" max="46" width="19.42578125" style="15" customWidth="1"/>
    <col min="47" max="47" width="17.140625" style="15" customWidth="1"/>
  </cols>
  <sheetData>
    <row r="1" spans="1:56" ht="45.75" customHeight="1">
      <c r="A1" s="415" t="s">
        <v>128</v>
      </c>
      <c r="B1" s="416"/>
      <c r="C1" s="416"/>
      <c r="D1" s="416"/>
      <c r="E1" s="416"/>
      <c r="F1" s="417"/>
      <c r="G1" s="401" t="s">
        <v>129</v>
      </c>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row>
    <row r="2" spans="1:56" ht="40.5" customHeight="1">
      <c r="A2" s="415"/>
      <c r="B2" s="416"/>
      <c r="C2" s="416"/>
      <c r="D2" s="416"/>
      <c r="E2" s="416"/>
      <c r="F2" s="417"/>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row>
    <row r="3" spans="1:56" ht="13.5" customHeight="1" thickBot="1">
      <c r="A3" s="418"/>
      <c r="B3" s="419"/>
      <c r="C3" s="419"/>
      <c r="D3" s="419"/>
      <c r="E3" s="419"/>
      <c r="F3" s="420"/>
      <c r="G3" s="402" t="s">
        <v>130</v>
      </c>
      <c r="H3" s="402"/>
      <c r="I3" s="117">
        <v>2020</v>
      </c>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row>
    <row r="4" spans="1:56" ht="29.25" customHeight="1">
      <c r="A4" s="410" t="s">
        <v>131</v>
      </c>
      <c r="B4" s="411"/>
      <c r="C4" s="411"/>
      <c r="D4" s="411"/>
      <c r="E4" s="411"/>
      <c r="F4" s="411"/>
      <c r="G4" s="411"/>
      <c r="H4" s="411"/>
      <c r="I4" s="411"/>
      <c r="J4" s="414" t="s">
        <v>132</v>
      </c>
      <c r="K4" s="414"/>
      <c r="L4" s="414"/>
      <c r="M4" s="414"/>
      <c r="N4" s="414"/>
      <c r="O4" s="414" t="s">
        <v>133</v>
      </c>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394" t="s">
        <v>134</v>
      </c>
    </row>
    <row r="5" spans="1:56" ht="14.25" customHeight="1" thickBot="1">
      <c r="A5" s="412"/>
      <c r="B5" s="413"/>
      <c r="C5" s="413"/>
      <c r="D5" s="413"/>
      <c r="E5" s="413"/>
      <c r="F5" s="413"/>
      <c r="G5" s="413"/>
      <c r="H5" s="413"/>
      <c r="I5" s="413"/>
      <c r="J5" s="394" t="s">
        <v>135</v>
      </c>
      <c r="K5" s="394"/>
      <c r="L5" s="394"/>
      <c r="M5" s="394"/>
      <c r="N5" s="394"/>
      <c r="O5" s="395" t="s">
        <v>136</v>
      </c>
      <c r="P5" s="396"/>
      <c r="Q5" s="397"/>
      <c r="R5" s="395" t="s">
        <v>137</v>
      </c>
      <c r="S5" s="396"/>
      <c r="T5" s="396"/>
      <c r="U5" s="396"/>
      <c r="V5" s="396"/>
      <c r="W5" s="396"/>
      <c r="X5" s="396"/>
      <c r="Y5" s="396"/>
      <c r="Z5" s="396"/>
      <c r="AA5" s="396"/>
      <c r="AB5" s="396"/>
      <c r="AC5" s="396"/>
      <c r="AD5" s="396"/>
      <c r="AE5" s="396"/>
      <c r="AF5" s="396"/>
      <c r="AG5" s="397"/>
      <c r="AH5" s="398" t="s">
        <v>113</v>
      </c>
      <c r="AI5" s="399"/>
      <c r="AJ5" s="398" t="s">
        <v>138</v>
      </c>
      <c r="AK5" s="400"/>
      <c r="AL5" s="398" t="s">
        <v>139</v>
      </c>
      <c r="AM5" s="400"/>
      <c r="AN5" s="159"/>
      <c r="AO5" s="159"/>
      <c r="AP5" s="159"/>
      <c r="AQ5" s="159"/>
      <c r="AR5" s="394" t="s">
        <v>140</v>
      </c>
      <c r="AS5" s="394"/>
      <c r="AT5" s="394"/>
      <c r="AU5" s="394"/>
      <c r="AV5" s="390" t="s">
        <v>141</v>
      </c>
      <c r="AW5" s="391"/>
      <c r="AX5" s="391"/>
      <c r="AY5" s="391" t="s">
        <v>142</v>
      </c>
      <c r="AZ5" s="391"/>
      <c r="BA5" s="391"/>
      <c r="BB5" s="391" t="s">
        <v>143</v>
      </c>
      <c r="BC5" s="391"/>
      <c r="BD5" s="391"/>
    </row>
    <row r="6" spans="1:56" ht="111.75" customHeight="1" thickBot="1">
      <c r="A6" s="16" t="s">
        <v>144</v>
      </c>
      <c r="B6" s="49" t="s">
        <v>145</v>
      </c>
      <c r="C6" s="49" t="s">
        <v>146</v>
      </c>
      <c r="D6" s="49" t="s">
        <v>147</v>
      </c>
      <c r="E6" s="49" t="s">
        <v>148</v>
      </c>
      <c r="F6" s="49" t="s">
        <v>149</v>
      </c>
      <c r="G6" s="49" t="s">
        <v>150</v>
      </c>
      <c r="H6" s="49" t="s">
        <v>151</v>
      </c>
      <c r="I6" s="49" t="s">
        <v>152</v>
      </c>
      <c r="J6" s="160" t="s">
        <v>153</v>
      </c>
      <c r="K6" s="161"/>
      <c r="L6" s="161" t="s">
        <v>154</v>
      </c>
      <c r="M6" s="161"/>
      <c r="N6" s="161" t="s">
        <v>155</v>
      </c>
      <c r="O6" s="144" t="s">
        <v>156</v>
      </c>
      <c r="P6" s="162" t="s">
        <v>157</v>
      </c>
      <c r="Q6" s="144" t="s">
        <v>158</v>
      </c>
      <c r="R6" s="144" t="s">
        <v>159</v>
      </c>
      <c r="S6" s="144"/>
      <c r="T6" s="144" t="s">
        <v>160</v>
      </c>
      <c r="U6" s="144"/>
      <c r="V6" s="144" t="s">
        <v>161</v>
      </c>
      <c r="W6" s="144"/>
      <c r="X6" s="144" t="s">
        <v>162</v>
      </c>
      <c r="Y6" s="144"/>
      <c r="Z6" s="144" t="s">
        <v>163</v>
      </c>
      <c r="AA6" s="144"/>
      <c r="AB6" s="144" t="s">
        <v>164</v>
      </c>
      <c r="AC6" s="144"/>
      <c r="AD6" s="144" t="s">
        <v>165</v>
      </c>
      <c r="AE6" s="144"/>
      <c r="AF6" s="144" t="s">
        <v>166</v>
      </c>
      <c r="AG6" s="144" t="s">
        <v>167</v>
      </c>
      <c r="AH6" s="144" t="s">
        <v>168</v>
      </c>
      <c r="AI6" s="144" t="s">
        <v>169</v>
      </c>
      <c r="AJ6" s="144" t="s">
        <v>170</v>
      </c>
      <c r="AK6" s="144" t="s">
        <v>171</v>
      </c>
      <c r="AL6" s="144" t="s">
        <v>172</v>
      </c>
      <c r="AM6" s="144" t="s">
        <v>173</v>
      </c>
      <c r="AN6" s="144" t="s">
        <v>174</v>
      </c>
      <c r="AO6" s="144" t="s">
        <v>175</v>
      </c>
      <c r="AP6" s="144"/>
      <c r="AQ6" s="144"/>
      <c r="AR6" s="144" t="s">
        <v>153</v>
      </c>
      <c r="AS6" s="144" t="s">
        <v>154</v>
      </c>
      <c r="AT6" s="144" t="s">
        <v>155</v>
      </c>
      <c r="AU6" s="144" t="s">
        <v>176</v>
      </c>
      <c r="AV6" s="392"/>
      <c r="AW6" s="393"/>
      <c r="AX6" s="393"/>
      <c r="AY6" s="393"/>
      <c r="AZ6" s="393"/>
      <c r="BA6" s="393"/>
      <c r="BB6" s="393"/>
      <c r="BC6" s="393"/>
      <c r="BD6" s="393"/>
    </row>
    <row r="7" spans="1:56" ht="201" thickBot="1">
      <c r="A7" s="404">
        <v>1</v>
      </c>
      <c r="B7" s="407" t="s">
        <v>68</v>
      </c>
      <c r="C7" s="408" t="str">
        <f>IFERROR(VLOOKUP(B7,Listados!B$3:C$20,2,FALSE),"")</f>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
      <c r="D7" s="409" t="s">
        <v>177</v>
      </c>
      <c r="E7" s="164" t="s">
        <v>15</v>
      </c>
      <c r="F7" s="164" t="s">
        <v>178</v>
      </c>
      <c r="G7" s="165" t="s">
        <v>179</v>
      </c>
      <c r="H7" s="165" t="s">
        <v>16</v>
      </c>
      <c r="I7" s="165" t="s">
        <v>180</v>
      </c>
      <c r="J7" s="407" t="s">
        <v>21</v>
      </c>
      <c r="K7" s="424">
        <f>+VLOOKUP(J7,Listados!$K$8:$L$12,2,0)</f>
        <v>1</v>
      </c>
      <c r="L7" s="427" t="s">
        <v>64</v>
      </c>
      <c r="M7" s="424">
        <f>+VLOOKUP(L7,Listados!$K$13:$L$17,2,0)</f>
        <v>5</v>
      </c>
      <c r="N7" s="423" t="str">
        <f>IF(AND(J7&lt;&gt;"",L7&lt;&gt;""),VLOOKUP(J7&amp;L7,Listados!$M$3:$N$27,2,FALSE),"")</f>
        <v>Extremo</v>
      </c>
      <c r="O7" s="166" t="s">
        <v>181</v>
      </c>
      <c r="P7" s="167" t="s">
        <v>179</v>
      </c>
      <c r="Q7" s="168" t="s">
        <v>123</v>
      </c>
      <c r="R7" s="150"/>
      <c r="S7" s="27" t="str">
        <f>+IF(R7="si",15,"")</f>
        <v/>
      </c>
      <c r="T7" s="150"/>
      <c r="U7" s="27" t="str">
        <f>+IF(T7="si",15,"")</f>
        <v/>
      </c>
      <c r="V7" s="150"/>
      <c r="W7" s="27" t="str">
        <f>+IF(V7="si",15,"")</f>
        <v/>
      </c>
      <c r="X7" s="150"/>
      <c r="Y7" s="27" t="str">
        <f>+IF(X7="Preventivo",15,IF(X7="Detectivo",10,""))</f>
        <v/>
      </c>
      <c r="Z7" s="150"/>
      <c r="AA7" s="27" t="str">
        <f>+IF(Z7="si",15,"")</f>
        <v/>
      </c>
      <c r="AB7" s="150"/>
      <c r="AC7" s="27" t="str">
        <f>+IF(AB7="si",15,"")</f>
        <v/>
      </c>
      <c r="AD7" s="150"/>
      <c r="AE7" s="27" t="str">
        <f>+IF(AD7="Completa",10,IF(AD7="Incompleta",5,""))</f>
        <v/>
      </c>
      <c r="AF7" s="48" t="str">
        <f>IF((SUM(S7,U7,W7,Y7,AA7,AC7,AE7)=0),"",(SUM(S7,U7,W7,Y7,AA7,AC7,AE7)))</f>
        <v/>
      </c>
      <c r="AG7" s="48" t="str">
        <f>IF(AF7&lt;=85,"Débil",IF(AF7&lt;=95,"Moderado",IF(AF7=100,"Fuerte","")))</f>
        <v/>
      </c>
      <c r="AH7" s="131"/>
      <c r="AI7" s="149" t="str">
        <f>+IF(AH7="siempre","Fuerte",IF(AH7="Algunas veces","Moderado","Débil"))</f>
        <v>Débil</v>
      </c>
      <c r="AJ7" s="21" t="str">
        <f>IFERROR(VLOOKUP((CONCATENATE(AG7,AI7)),Listados!$U$3:$V$11,2,FALSE),"")</f>
        <v/>
      </c>
      <c r="AK7" s="48">
        <f>IF(ISBLANK(AJ7),"",IF(AJ7="Débil", 0, IF(AJ7="Moderado",50,100)))</f>
        <v>100</v>
      </c>
      <c r="AL7" s="430">
        <f>AVERAGE(AK7:AK12)</f>
        <v>100</v>
      </c>
      <c r="AM7" s="432" t="str">
        <f>IF(AL7&lt;=50, "Débil", IF(AL7&lt;=99,"Moderado","Fuerte"))</f>
        <v>Fuerte</v>
      </c>
      <c r="AN7" s="169">
        <f>+IF(AND(Q7="Preventivo",AM7="Fuerte"),2,IF(AND(Q7="Preventivo",AM7="Moderado"),1,0))</f>
        <v>0</v>
      </c>
      <c r="AO7" s="169">
        <f>+IF(AND(Q7="Detectivo",$AM7="Fuerte"),2,IF(AND(Q7="Detectivo",$AM7="Moderado"),1,IF(AND(Q7="Preventivo",$AM7="Fuerte"),1,0)))</f>
        <v>2</v>
      </c>
      <c r="AP7" s="169">
        <f>+K7-AN7</f>
        <v>1</v>
      </c>
      <c r="AQ7" s="169">
        <f>+M7-AO7</f>
        <v>3</v>
      </c>
      <c r="AR7" s="421" t="str">
        <f>+VLOOKUP(MIN(AP7,AP8,AP9,AP10,AP11,AP12),Listados!$J$18:$K$24,2,TRUE)</f>
        <v>Rara Vez</v>
      </c>
      <c r="AS7" s="421" t="str">
        <f>+VLOOKUP(MIN(AQ7,AQ8,AQ9,AQ10,AQ11,AQ12),Listados!$J$26:$K$32,2,TRUE)</f>
        <v>Moderado</v>
      </c>
      <c r="AT7" s="421" t="str">
        <f>IF(AND(AR7&lt;&gt;"",AS7&lt;&gt;""),VLOOKUP(AR7&amp;AS7,Listados!$M$3:$N$27,2,FALSE),"")</f>
        <v>Moderado</v>
      </c>
      <c r="AU7" s="421" t="str">
        <f>+VLOOKUP(AT7,Listados!$P$3:$Q$6,2,FALSE)</f>
        <v xml:space="preserve"> Reducir el riesgo</v>
      </c>
      <c r="AV7" s="387"/>
      <c r="AW7" s="388"/>
      <c r="AX7" s="389"/>
      <c r="AY7" s="387"/>
      <c r="AZ7" s="388"/>
      <c r="BA7" s="389"/>
      <c r="BB7" s="387"/>
      <c r="BC7" s="388"/>
      <c r="BD7" s="389"/>
    </row>
    <row r="8" spans="1:56" ht="201" thickBot="1">
      <c r="A8" s="405"/>
      <c r="B8" s="407"/>
      <c r="C8" s="408"/>
      <c r="D8" s="409"/>
      <c r="E8" s="164"/>
      <c r="F8" s="164"/>
      <c r="G8" s="165" t="s">
        <v>182</v>
      </c>
      <c r="H8" s="165" t="s">
        <v>30</v>
      </c>
      <c r="I8" s="165" t="s">
        <v>183</v>
      </c>
      <c r="J8" s="407"/>
      <c r="K8" s="425"/>
      <c r="L8" s="428"/>
      <c r="M8" s="425"/>
      <c r="N8" s="429"/>
      <c r="O8" s="166" t="s">
        <v>184</v>
      </c>
      <c r="P8" s="167" t="s">
        <v>182</v>
      </c>
      <c r="Q8" s="168" t="s">
        <v>123</v>
      </c>
      <c r="R8" s="150"/>
      <c r="S8" s="27" t="str">
        <f t="shared" ref="S8:S71" si="0">+IF(R8="si",15,"")</f>
        <v/>
      </c>
      <c r="T8" s="150"/>
      <c r="U8" s="27" t="str">
        <f t="shared" ref="U8:U71" si="1">+IF(T8="si",15,"")</f>
        <v/>
      </c>
      <c r="V8" s="150"/>
      <c r="W8" s="27" t="str">
        <f t="shared" ref="W8:W71" si="2">+IF(V8="si",15,"")</f>
        <v/>
      </c>
      <c r="X8" s="150"/>
      <c r="Y8" s="27" t="str">
        <f t="shared" ref="Y8:Y71" si="3">+IF(X8="Preventivo",15,IF(X8="Detectivo",10,""))</f>
        <v/>
      </c>
      <c r="Z8" s="150"/>
      <c r="AA8" s="27" t="str">
        <f t="shared" ref="AA8:AA71" si="4">+IF(Z8="si",15,"")</f>
        <v/>
      </c>
      <c r="AB8" s="150"/>
      <c r="AC8" s="27" t="str">
        <f t="shared" ref="AC8:AC71" si="5">+IF(AB8="si",15,"")</f>
        <v/>
      </c>
      <c r="AD8" s="150"/>
      <c r="AE8" s="27" t="str">
        <f t="shared" ref="AE8:AE71" si="6">+IF(AD8="Completa",10,IF(AD8="Incompleta",5,""))</f>
        <v/>
      </c>
      <c r="AF8" s="48" t="str">
        <f t="shared" ref="AF8:AF71" si="7">IF((SUM(S8,U8,W8,Y8,AA8,AC8,AE8)=0),"",(SUM(S8,U8,W8,Y8,AA8,AC8,AE8)))</f>
        <v/>
      </c>
      <c r="AG8" s="48" t="str">
        <f t="shared" ref="AG8:AG71" si="8">IF(AF8&lt;=85,"Débil",IF(AF8&lt;=95,"Moderado",IF(AF8=100,"Fuerte","")))</f>
        <v/>
      </c>
      <c r="AH8" s="131"/>
      <c r="AI8" s="149" t="str">
        <f>+IF(AH8="siempre","Fuerte",IF(AH8="Algunas veces","Moderado","Débil"))</f>
        <v>Débil</v>
      </c>
      <c r="AJ8" s="21" t="str">
        <f>IFERROR(VLOOKUP((CONCATENATE(AG8,AI8)),Listados!$U$3:$V$11,2,FALSE),"")</f>
        <v/>
      </c>
      <c r="AK8" s="48">
        <f>IF(ISBLANK(AJ8),"",IF(AJ8="Débil", 0, IF(AJ8="Moderado",50,100)))</f>
        <v>100</v>
      </c>
      <c r="AL8" s="431"/>
      <c r="AM8" s="433"/>
      <c r="AN8" s="169">
        <f>+IF(AND(Q8="Preventivo",AM7="Fuerte"),2,IF(AND(Q8="Preventivo",AM7="Moderado"),1,0))</f>
        <v>0</v>
      </c>
      <c r="AO8" s="169">
        <f>+IF(AND(Q8="Detectivo",$AM7="Fuerte"),2,IF(AND(Q8="Detectivo",$AM7="Moderado"),1,IF(AND(Q8="Preventivo",$AM7="Fuerte"),1,0)))</f>
        <v>2</v>
      </c>
      <c r="AP8" s="169">
        <f>+K7-AN8</f>
        <v>1</v>
      </c>
      <c r="AQ8" s="169">
        <f>+M7-AO8</f>
        <v>3</v>
      </c>
      <c r="AR8" s="422"/>
      <c r="AS8" s="422"/>
      <c r="AT8" s="422"/>
      <c r="AU8" s="422"/>
      <c r="AV8" s="387"/>
      <c r="AW8" s="388"/>
      <c r="AX8" s="389"/>
      <c r="AY8" s="387"/>
      <c r="AZ8" s="388"/>
      <c r="BA8" s="389"/>
      <c r="BB8" s="387"/>
      <c r="BC8" s="388"/>
      <c r="BD8" s="389"/>
    </row>
    <row r="9" spans="1:56" ht="43.5" thickBot="1">
      <c r="A9" s="405"/>
      <c r="B9" s="407"/>
      <c r="C9" s="408"/>
      <c r="D9" s="409"/>
      <c r="E9" s="164"/>
      <c r="F9" s="164"/>
      <c r="G9" s="165"/>
      <c r="H9" s="165"/>
      <c r="I9" s="165" t="s">
        <v>185</v>
      </c>
      <c r="J9" s="407"/>
      <c r="K9" s="425"/>
      <c r="L9" s="428"/>
      <c r="M9" s="425"/>
      <c r="N9" s="429"/>
      <c r="O9" s="47"/>
      <c r="P9" s="170"/>
      <c r="Q9" s="145"/>
      <c r="R9" s="150"/>
      <c r="S9" s="27" t="str">
        <f t="shared" si="0"/>
        <v/>
      </c>
      <c r="T9" s="150"/>
      <c r="U9" s="27" t="str">
        <f t="shared" si="1"/>
        <v/>
      </c>
      <c r="V9" s="150"/>
      <c r="W9" s="27" t="str">
        <f t="shared" si="2"/>
        <v/>
      </c>
      <c r="X9" s="150"/>
      <c r="Y9" s="27" t="str">
        <f t="shared" si="3"/>
        <v/>
      </c>
      <c r="Z9" s="150"/>
      <c r="AA9" s="27" t="str">
        <f t="shared" si="4"/>
        <v/>
      </c>
      <c r="AB9" s="150"/>
      <c r="AC9" s="27" t="str">
        <f t="shared" si="5"/>
        <v/>
      </c>
      <c r="AD9" s="150"/>
      <c r="AE9" s="27" t="str">
        <f t="shared" si="6"/>
        <v/>
      </c>
      <c r="AF9" s="48" t="str">
        <f>IF((SUM(S9,U9,W9,Y9,AA9,AC9,AE9)=0),"",(SUM(S9,U9,W9,Y9,AA9,AC9,AE9)))</f>
        <v/>
      </c>
      <c r="AG9" s="48" t="str">
        <f t="shared" si="8"/>
        <v/>
      </c>
      <c r="AH9" s="131"/>
      <c r="AI9" s="149" t="str">
        <f t="shared" ref="AI9:AI72" si="9">+IF(AH9="siempre","Fuerte",IF(AH9="Algunas veces","Moderado","Débil"))</f>
        <v>Débil</v>
      </c>
      <c r="AJ9" s="21" t="str">
        <f>IFERROR(VLOOKUP((CONCATENATE(AG9,AI9)),Listados!$U$3:$V$11,2,FALSE),"")</f>
        <v/>
      </c>
      <c r="AK9" s="48">
        <f t="shared" ref="AK9:AK72" si="10">IF(ISBLANK(AJ9),"",IF(AJ9="Débil", 0, IF(AJ9="Moderado",50,100)))</f>
        <v>100</v>
      </c>
      <c r="AL9" s="431"/>
      <c r="AM9" s="433"/>
      <c r="AN9" s="169">
        <f>+IF(AND(Q9="Preventivo",AM7="Fuerte"),2,IF(AND(Q9="Preventivo",AM7="Moderado"),1,0))</f>
        <v>0</v>
      </c>
      <c r="AO9" s="169">
        <f>+IF(AND(Q9="Detectivo",$AM7="Fuerte"),2,IF(AND(Q9="Detectivo",$AM7="Moderado"),1,IF(AND(Q9="Preventivo",$AM7="Fuerte"),1,0)))</f>
        <v>0</v>
      </c>
      <c r="AP9" s="169">
        <f>+K7-AN9</f>
        <v>1</v>
      </c>
      <c r="AQ9" s="169">
        <f>+M7-AO9</f>
        <v>5</v>
      </c>
      <c r="AR9" s="422"/>
      <c r="AS9" s="422"/>
      <c r="AT9" s="422"/>
      <c r="AU9" s="422"/>
      <c r="AV9" s="387"/>
      <c r="AW9" s="388"/>
      <c r="AX9" s="389"/>
      <c r="AY9" s="387"/>
      <c r="AZ9" s="388"/>
      <c r="BA9" s="389"/>
      <c r="BB9" s="387"/>
      <c r="BC9" s="388"/>
      <c r="BD9" s="389"/>
    </row>
    <row r="10" spans="1:56" ht="78.75" customHeight="1" thickBot="1">
      <c r="A10" s="405"/>
      <c r="B10" s="407"/>
      <c r="C10" s="408"/>
      <c r="D10" s="409"/>
      <c r="E10" s="164"/>
      <c r="F10" s="164"/>
      <c r="G10" s="165"/>
      <c r="H10" s="165"/>
      <c r="I10" s="165"/>
      <c r="J10" s="407"/>
      <c r="K10" s="425"/>
      <c r="L10" s="428"/>
      <c r="M10" s="425"/>
      <c r="N10" s="429"/>
      <c r="O10" s="47"/>
      <c r="P10" s="170"/>
      <c r="Q10" s="145"/>
      <c r="R10" s="150"/>
      <c r="S10" s="27" t="str">
        <f t="shared" si="0"/>
        <v/>
      </c>
      <c r="T10" s="150"/>
      <c r="U10" s="27" t="str">
        <f t="shared" si="1"/>
        <v/>
      </c>
      <c r="V10" s="150"/>
      <c r="W10" s="27" t="str">
        <f t="shared" si="2"/>
        <v/>
      </c>
      <c r="X10" s="150"/>
      <c r="Y10" s="27" t="str">
        <f t="shared" si="3"/>
        <v/>
      </c>
      <c r="Z10" s="150"/>
      <c r="AA10" s="27" t="str">
        <f t="shared" si="4"/>
        <v/>
      </c>
      <c r="AB10" s="150"/>
      <c r="AC10" s="27" t="str">
        <f t="shared" si="5"/>
        <v/>
      </c>
      <c r="AD10" s="150"/>
      <c r="AE10" s="27" t="str">
        <f t="shared" si="6"/>
        <v/>
      </c>
      <c r="AF10" s="48" t="str">
        <f t="shared" si="7"/>
        <v/>
      </c>
      <c r="AG10" s="48" t="str">
        <f t="shared" si="8"/>
        <v/>
      </c>
      <c r="AH10" s="131"/>
      <c r="AI10" s="149" t="str">
        <f t="shared" si="9"/>
        <v>Débil</v>
      </c>
      <c r="AJ10" s="21" t="str">
        <f>IFERROR(VLOOKUP((CONCATENATE(AG10,AI10)),Listados!$U$3:$V$11,2,FALSE),"")</f>
        <v/>
      </c>
      <c r="AK10" s="48">
        <f t="shared" si="10"/>
        <v>100</v>
      </c>
      <c r="AL10" s="431"/>
      <c r="AM10" s="433"/>
      <c r="AN10" s="169">
        <f>+IF(AND(Q10="Preventivo",AM7="Fuerte"),2,IF(AND(Q10="Preventivo",AM7="Moderado"),1,0))</f>
        <v>0</v>
      </c>
      <c r="AO10" s="169">
        <f>+IF(AND(Q10="Detectivo",$AM7="Fuerte"),2,IF(AND(Q10="Detectivo",$AM7="Moderado"),1,IF(AND(Q10="Preventivo",$AM7="Fuerte"),1,0)))</f>
        <v>0</v>
      </c>
      <c r="AP10" s="169">
        <f>+K7-AN10</f>
        <v>1</v>
      </c>
      <c r="AQ10" s="169">
        <f>+M7-AO10</f>
        <v>5</v>
      </c>
      <c r="AR10" s="422"/>
      <c r="AS10" s="422"/>
      <c r="AT10" s="422"/>
      <c r="AU10" s="422"/>
      <c r="AV10" s="387"/>
      <c r="AW10" s="388"/>
      <c r="AX10" s="389"/>
      <c r="AY10" s="387"/>
      <c r="AZ10" s="388"/>
      <c r="BA10" s="389"/>
      <c r="BB10" s="387"/>
      <c r="BC10" s="388"/>
      <c r="BD10" s="389"/>
    </row>
    <row r="11" spans="1:56" ht="26.25" customHeight="1" thickBot="1">
      <c r="A11" s="405"/>
      <c r="B11" s="407"/>
      <c r="C11" s="408"/>
      <c r="D11" s="409"/>
      <c r="E11" s="164"/>
      <c r="F11" s="164"/>
      <c r="G11" s="165"/>
      <c r="H11" s="165"/>
      <c r="I11" s="165"/>
      <c r="J11" s="407"/>
      <c r="K11" s="425"/>
      <c r="L11" s="428"/>
      <c r="M11" s="425"/>
      <c r="N11" s="429"/>
      <c r="O11" s="47"/>
      <c r="P11" s="170"/>
      <c r="Q11" s="145"/>
      <c r="R11" s="150"/>
      <c r="S11" s="27" t="str">
        <f t="shared" si="0"/>
        <v/>
      </c>
      <c r="T11" s="150"/>
      <c r="U11" s="27" t="str">
        <f t="shared" si="1"/>
        <v/>
      </c>
      <c r="V11" s="150"/>
      <c r="W11" s="27" t="str">
        <f t="shared" si="2"/>
        <v/>
      </c>
      <c r="X11" s="150"/>
      <c r="Y11" s="27" t="str">
        <f t="shared" si="3"/>
        <v/>
      </c>
      <c r="Z11" s="150"/>
      <c r="AA11" s="27" t="str">
        <f t="shared" si="4"/>
        <v/>
      </c>
      <c r="AB11" s="150"/>
      <c r="AC11" s="27" t="str">
        <f t="shared" si="5"/>
        <v/>
      </c>
      <c r="AD11" s="150"/>
      <c r="AE11" s="27" t="str">
        <f t="shared" si="6"/>
        <v/>
      </c>
      <c r="AF11" s="48" t="str">
        <f t="shared" si="7"/>
        <v/>
      </c>
      <c r="AG11" s="48" t="str">
        <f t="shared" si="8"/>
        <v/>
      </c>
      <c r="AH11" s="131"/>
      <c r="AI11" s="149" t="str">
        <f t="shared" si="9"/>
        <v>Débil</v>
      </c>
      <c r="AJ11" s="21" t="str">
        <f>IFERROR(VLOOKUP((CONCATENATE(AG11,AI11)),Listados!$U$3:$V$11,2,FALSE),"")</f>
        <v/>
      </c>
      <c r="AK11" s="48">
        <f t="shared" si="10"/>
        <v>100</v>
      </c>
      <c r="AL11" s="431"/>
      <c r="AM11" s="433"/>
      <c r="AN11" s="169">
        <f>+IF(AND(Q11="Preventivo",AM7="Fuerte"),2,IF(AND(Q11="Preventivo",AM7="Moderado"),1,0))</f>
        <v>0</v>
      </c>
      <c r="AO11" s="169">
        <f>+IF(AND(Q11="Detectivo",$AM7="Fuerte"),2,IF(AND(Q11="Detectivo",$AM7="Moderado"),1,IF(AND(Q11="Preventivo",$AM7="Fuerte"),1,0)))</f>
        <v>0</v>
      </c>
      <c r="AP11" s="169">
        <f>+K7-AN11</f>
        <v>1</v>
      </c>
      <c r="AQ11" s="169">
        <f>+M7-AO11</f>
        <v>5</v>
      </c>
      <c r="AR11" s="422"/>
      <c r="AS11" s="422"/>
      <c r="AT11" s="422"/>
      <c r="AU11" s="422"/>
      <c r="AV11" s="387"/>
      <c r="AW11" s="388"/>
      <c r="AX11" s="389"/>
      <c r="AY11" s="387"/>
      <c r="AZ11" s="388"/>
      <c r="BA11" s="389"/>
      <c r="BB11" s="387"/>
      <c r="BC11" s="388"/>
      <c r="BD11" s="389"/>
    </row>
    <row r="12" spans="1:56" ht="15.75" thickBot="1">
      <c r="A12" s="406"/>
      <c r="B12" s="407"/>
      <c r="C12" s="408"/>
      <c r="D12" s="409"/>
      <c r="E12" s="164"/>
      <c r="F12" s="164"/>
      <c r="G12" s="165"/>
      <c r="H12" s="165"/>
      <c r="I12" s="165"/>
      <c r="J12" s="407"/>
      <c r="K12" s="426"/>
      <c r="L12" s="428"/>
      <c r="M12" s="426"/>
      <c r="N12" s="429"/>
      <c r="O12" s="47"/>
      <c r="P12" s="170"/>
      <c r="Q12" s="145"/>
      <c r="R12" s="150"/>
      <c r="S12" s="27" t="str">
        <f t="shared" si="0"/>
        <v/>
      </c>
      <c r="T12" s="150"/>
      <c r="U12" s="27" t="str">
        <f t="shared" si="1"/>
        <v/>
      </c>
      <c r="V12" s="150"/>
      <c r="W12" s="27" t="str">
        <f t="shared" si="2"/>
        <v/>
      </c>
      <c r="X12" s="150"/>
      <c r="Y12" s="27" t="str">
        <f t="shared" si="3"/>
        <v/>
      </c>
      <c r="Z12" s="150"/>
      <c r="AA12" s="27" t="str">
        <f t="shared" si="4"/>
        <v/>
      </c>
      <c r="AB12" s="150"/>
      <c r="AC12" s="27" t="str">
        <f t="shared" si="5"/>
        <v/>
      </c>
      <c r="AD12" s="150"/>
      <c r="AE12" s="27" t="str">
        <f t="shared" si="6"/>
        <v/>
      </c>
      <c r="AF12" s="48" t="str">
        <f t="shared" si="7"/>
        <v/>
      </c>
      <c r="AG12" s="48" t="str">
        <f t="shared" si="8"/>
        <v/>
      </c>
      <c r="AH12" s="131"/>
      <c r="AI12" s="149" t="str">
        <f t="shared" si="9"/>
        <v>Débil</v>
      </c>
      <c r="AJ12" s="21" t="str">
        <f>IFERROR(VLOOKUP((CONCATENATE(AG12,AI12)),Listados!$U$3:$V$11,2,FALSE),"")</f>
        <v/>
      </c>
      <c r="AK12" s="48">
        <f t="shared" si="10"/>
        <v>100</v>
      </c>
      <c r="AL12" s="432"/>
      <c r="AM12" s="433"/>
      <c r="AN12" s="169">
        <f>+IF(AND(Q12="Preventivo",AM7="Fuerte"),2,IF(AND(Q12="Preventivo",AM7="Moderado"),1,0))</f>
        <v>0</v>
      </c>
      <c r="AO12" s="169">
        <f>+IF(AND(Q12="Detectivo",$AM7="Fuerte"),2,IF(AND(Q12="Detectivo",$AM7="Moderado"),1,IF(AND(Q12="Preventivo",$AM7="Fuerte"),1,0)))</f>
        <v>0</v>
      </c>
      <c r="AP12" s="169">
        <f>+K7-AN12</f>
        <v>1</v>
      </c>
      <c r="AQ12" s="169">
        <f>+M7-AO12</f>
        <v>5</v>
      </c>
      <c r="AR12" s="423"/>
      <c r="AS12" s="423"/>
      <c r="AT12" s="423"/>
      <c r="AU12" s="423"/>
      <c r="AV12" s="387"/>
      <c r="AW12" s="388"/>
      <c r="AX12" s="389"/>
      <c r="AY12" s="387"/>
      <c r="AZ12" s="388"/>
      <c r="BA12" s="389"/>
      <c r="BB12" s="387"/>
      <c r="BC12" s="388"/>
      <c r="BD12" s="389"/>
    </row>
    <row r="13" spans="1:56" ht="158.25" thickBot="1">
      <c r="A13" s="404">
        <v>2</v>
      </c>
      <c r="B13" s="407" t="s">
        <v>86</v>
      </c>
      <c r="C13" s="408" t="str">
        <f>IFERROR(VLOOKUP(B13,Listados!B$3:C$20,2,FALSE),"")</f>
        <v>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v>
      </c>
      <c r="D13" s="409" t="s">
        <v>186</v>
      </c>
      <c r="E13" s="164" t="s">
        <v>41</v>
      </c>
      <c r="F13" s="164"/>
      <c r="G13" s="171" t="s">
        <v>187</v>
      </c>
      <c r="H13" s="165" t="s">
        <v>16</v>
      </c>
      <c r="I13" s="165" t="s">
        <v>188</v>
      </c>
      <c r="J13" s="407" t="s">
        <v>21</v>
      </c>
      <c r="K13" s="424">
        <f>+VLOOKUP(J13,[3]Listados!$K$8:$L$12,2,0)</f>
        <v>1</v>
      </c>
      <c r="L13" s="427" t="s">
        <v>18</v>
      </c>
      <c r="M13" s="424">
        <f>+VLOOKUP(L13,Listados!$K$13:$L$17,2,0)</f>
        <v>1</v>
      </c>
      <c r="N13" s="421" t="str">
        <f>IF(AND(J13&lt;&gt;"",L13&lt;&gt;""),VLOOKUP(J13&amp;L13,Listados!$M$3:$N$27,2,FALSE),"")</f>
        <v>Bajo</v>
      </c>
      <c r="O13" s="166" t="s">
        <v>189</v>
      </c>
      <c r="P13" s="167" t="s">
        <v>187</v>
      </c>
      <c r="Q13" s="168" t="s">
        <v>20</v>
      </c>
      <c r="R13" s="172"/>
      <c r="S13" s="27" t="str">
        <f t="shared" si="0"/>
        <v/>
      </c>
      <c r="T13" s="172"/>
      <c r="U13" s="27" t="str">
        <f t="shared" si="1"/>
        <v/>
      </c>
      <c r="V13" s="150"/>
      <c r="W13" s="27" t="str">
        <f t="shared" si="2"/>
        <v/>
      </c>
      <c r="X13" s="150"/>
      <c r="Y13" s="27" t="str">
        <f t="shared" si="3"/>
        <v/>
      </c>
      <c r="Z13" s="150"/>
      <c r="AA13" s="27" t="str">
        <f t="shared" si="4"/>
        <v/>
      </c>
      <c r="AB13" s="150"/>
      <c r="AC13" s="27" t="str">
        <f t="shared" si="5"/>
        <v/>
      </c>
      <c r="AD13" s="150"/>
      <c r="AE13" s="27" t="str">
        <f t="shared" si="6"/>
        <v/>
      </c>
      <c r="AF13" s="48" t="str">
        <f t="shared" si="7"/>
        <v/>
      </c>
      <c r="AG13" s="48" t="str">
        <f t="shared" si="8"/>
        <v/>
      </c>
      <c r="AH13" s="131"/>
      <c r="AI13" s="149" t="str">
        <f t="shared" si="9"/>
        <v>Débil</v>
      </c>
      <c r="AJ13" s="21" t="str">
        <f>IFERROR(VLOOKUP((CONCATENATE(AG13,AI13)),Listados!$U$3:$V$11,2,FALSE),"")</f>
        <v/>
      </c>
      <c r="AK13" s="48">
        <f t="shared" si="10"/>
        <v>100</v>
      </c>
      <c r="AL13" s="430">
        <f>AVERAGE(AK13:AK18)</f>
        <v>100</v>
      </c>
      <c r="AM13" s="432" t="str">
        <f>IF(AL13&lt;=50, "Débil", IF(AL13&lt;=99,"Moderado","Fuerte"))</f>
        <v>Fuerte</v>
      </c>
      <c r="AN13" s="169">
        <f>+IF(AND(Q13="Preventivo",AM13="Fuerte"),2,IF(AND(Q13="Preventivo",AM13="Moderado"),1,0))</f>
        <v>2</v>
      </c>
      <c r="AO13" s="169">
        <f>+IF(AND(Q13="Detectivo",$AM13="Fuerte"),2,IF(AND(Q13="Detectivo",$AM13="Moderado"),1,IF(AND(Q13="Preventivo",$AM13="Fuerte"),1,0)))</f>
        <v>1</v>
      </c>
      <c r="AP13" s="169">
        <f>+K13-AN13</f>
        <v>-1</v>
      </c>
      <c r="AQ13" s="169">
        <f>+M13-AO13</f>
        <v>0</v>
      </c>
      <c r="AR13" s="421" t="str">
        <f>+VLOOKUP(MIN(AP13,AP14,AP15,AP16,AP17,AP18),Listados!$J$18:$K$24,2,TRUE)</f>
        <v>Rara Vez</v>
      </c>
      <c r="AS13" s="421" t="str">
        <f>+VLOOKUP(MIN(AQ13,AQ14,AQ15,AQ16,AQ17,AQ18),Listados!$J$26:$K$32,2,TRUE)</f>
        <v>Insignificante</v>
      </c>
      <c r="AT13" s="421" t="str">
        <f>IF(AND(AR13&lt;&gt;"",AS13&lt;&gt;""),VLOOKUP(AR13&amp;AS13,Listados!$M$3:$N$27,2,FALSE),"")</f>
        <v>Bajo</v>
      </c>
      <c r="AU13" s="421" t="str">
        <f>+VLOOKUP(AT13,Listados!$P$3:$Q$6,2,FALSE)</f>
        <v>Asumir el riesgo</v>
      </c>
      <c r="AV13" s="387"/>
      <c r="AW13" s="388"/>
      <c r="AX13" s="389"/>
      <c r="AY13" s="387"/>
      <c r="AZ13" s="388"/>
      <c r="BA13" s="389"/>
      <c r="BB13" s="387"/>
      <c r="BC13" s="388"/>
      <c r="BD13" s="389"/>
    </row>
    <row r="14" spans="1:56" ht="186.75" thickBot="1">
      <c r="A14" s="405"/>
      <c r="B14" s="407"/>
      <c r="C14" s="408"/>
      <c r="D14" s="409"/>
      <c r="E14" s="164"/>
      <c r="F14" s="164"/>
      <c r="G14" s="171" t="s">
        <v>190</v>
      </c>
      <c r="H14" s="165" t="s">
        <v>16</v>
      </c>
      <c r="I14" s="165" t="s">
        <v>191</v>
      </c>
      <c r="J14" s="407"/>
      <c r="K14" s="425"/>
      <c r="L14" s="428"/>
      <c r="M14" s="425"/>
      <c r="N14" s="422"/>
      <c r="O14" s="166" t="s">
        <v>192</v>
      </c>
      <c r="P14" s="167" t="s">
        <v>190</v>
      </c>
      <c r="Q14" s="168" t="s">
        <v>20</v>
      </c>
      <c r="R14" s="172"/>
      <c r="S14" s="27" t="str">
        <f t="shared" si="0"/>
        <v/>
      </c>
      <c r="T14" s="172"/>
      <c r="U14" s="27" t="str">
        <f t="shared" si="1"/>
        <v/>
      </c>
      <c r="V14" s="150"/>
      <c r="W14" s="27" t="str">
        <f t="shared" si="2"/>
        <v/>
      </c>
      <c r="X14" s="150"/>
      <c r="Y14" s="27" t="str">
        <f t="shared" si="3"/>
        <v/>
      </c>
      <c r="Z14" s="150"/>
      <c r="AA14" s="27" t="str">
        <f t="shared" si="4"/>
        <v/>
      </c>
      <c r="AB14" s="150"/>
      <c r="AC14" s="27" t="str">
        <f t="shared" si="5"/>
        <v/>
      </c>
      <c r="AD14" s="150"/>
      <c r="AE14" s="27" t="str">
        <f t="shared" si="6"/>
        <v/>
      </c>
      <c r="AF14" s="48" t="str">
        <f t="shared" si="7"/>
        <v/>
      </c>
      <c r="AG14" s="48" t="str">
        <f t="shared" si="8"/>
        <v/>
      </c>
      <c r="AH14" s="131"/>
      <c r="AI14" s="149" t="str">
        <f t="shared" si="9"/>
        <v>Débil</v>
      </c>
      <c r="AJ14" s="21" t="str">
        <f>IFERROR(VLOOKUP((CONCATENATE(AG14,AI14)),Listados!$U$3:$V$11,2,FALSE),"")</f>
        <v/>
      </c>
      <c r="AK14" s="48">
        <f t="shared" si="10"/>
        <v>100</v>
      </c>
      <c r="AL14" s="431"/>
      <c r="AM14" s="433"/>
      <c r="AN14" s="169">
        <f>+IF(AND(Q14="Preventivo",AM13="Fuerte"),2,IF(AND(Q14="Preventivo",AM13="Moderado"),1,0))</f>
        <v>2</v>
      </c>
      <c r="AO14" s="169">
        <f>+IF(AND(Q14="Detectivo",$AM13="Fuerte"),2,IF(AND(Q14="Detectivo",$AM13="Moderado"),1,IF(AND(Q14="Preventivo",$AM13="Fuerte"),1,0)))</f>
        <v>1</v>
      </c>
      <c r="AP14" s="169">
        <f>+K13-AN14</f>
        <v>-1</v>
      </c>
      <c r="AQ14" s="169">
        <f>+M13-AO14</f>
        <v>0</v>
      </c>
      <c r="AR14" s="422"/>
      <c r="AS14" s="422"/>
      <c r="AT14" s="422"/>
      <c r="AU14" s="422"/>
      <c r="AV14" s="387"/>
      <c r="AW14" s="388"/>
      <c r="AX14" s="389"/>
      <c r="AY14" s="387"/>
      <c r="AZ14" s="388"/>
      <c r="BA14" s="389"/>
      <c r="BB14" s="387"/>
      <c r="BC14" s="388"/>
      <c r="BD14" s="389"/>
    </row>
    <row r="15" spans="1:56" ht="186.75" thickBot="1">
      <c r="A15" s="405"/>
      <c r="B15" s="407"/>
      <c r="C15" s="408"/>
      <c r="D15" s="409"/>
      <c r="E15" s="164"/>
      <c r="F15" s="164"/>
      <c r="G15" s="171" t="s">
        <v>193</v>
      </c>
      <c r="H15" s="165" t="s">
        <v>30</v>
      </c>
      <c r="I15" s="165" t="s">
        <v>194</v>
      </c>
      <c r="J15" s="407"/>
      <c r="K15" s="425"/>
      <c r="L15" s="428"/>
      <c r="M15" s="425"/>
      <c r="N15" s="422"/>
      <c r="O15" s="166" t="s">
        <v>195</v>
      </c>
      <c r="P15" s="167" t="s">
        <v>193</v>
      </c>
      <c r="Q15" s="168" t="s">
        <v>20</v>
      </c>
      <c r="R15" s="172"/>
      <c r="S15" s="27" t="str">
        <f t="shared" si="0"/>
        <v/>
      </c>
      <c r="T15" s="172"/>
      <c r="U15" s="27" t="str">
        <f t="shared" si="1"/>
        <v/>
      </c>
      <c r="V15" s="150"/>
      <c r="W15" s="27" t="str">
        <f t="shared" si="2"/>
        <v/>
      </c>
      <c r="X15" s="150"/>
      <c r="Y15" s="27" t="str">
        <f t="shared" si="3"/>
        <v/>
      </c>
      <c r="Z15" s="150"/>
      <c r="AA15" s="27" t="str">
        <f t="shared" si="4"/>
        <v/>
      </c>
      <c r="AB15" s="150"/>
      <c r="AC15" s="27" t="str">
        <f t="shared" si="5"/>
        <v/>
      </c>
      <c r="AD15" s="150"/>
      <c r="AE15" s="27" t="str">
        <f t="shared" si="6"/>
        <v/>
      </c>
      <c r="AF15" s="48" t="str">
        <f t="shared" si="7"/>
        <v/>
      </c>
      <c r="AG15" s="48" t="str">
        <f t="shared" si="8"/>
        <v/>
      </c>
      <c r="AH15" s="131"/>
      <c r="AI15" s="149" t="str">
        <f t="shared" si="9"/>
        <v>Débil</v>
      </c>
      <c r="AJ15" s="21" t="str">
        <f>IFERROR(VLOOKUP((CONCATENATE(AG15,AI15)),Listados!$U$3:$V$11,2,FALSE),"")</f>
        <v/>
      </c>
      <c r="AK15" s="48">
        <f t="shared" si="10"/>
        <v>100</v>
      </c>
      <c r="AL15" s="431"/>
      <c r="AM15" s="433"/>
      <c r="AN15" s="169">
        <f>+IF(AND(Q15="Preventivo",AM13="Fuerte"),2,IF(AND(Q15="Preventivo",AM13="Moderado"),1,0))</f>
        <v>2</v>
      </c>
      <c r="AO15" s="169">
        <f>+IF(AND(Q15="Detectivo",$AM13="Fuerte"),2,IF(AND(Q15="Detectivo",$AM13="Moderado"),1,IF(AND(Q15="Preventivo",$AM13="Fuerte"),1,0)))</f>
        <v>1</v>
      </c>
      <c r="AP15" s="169">
        <f>+K13-AN15</f>
        <v>-1</v>
      </c>
      <c r="AQ15" s="169">
        <f>+M13-AO15</f>
        <v>0</v>
      </c>
      <c r="AR15" s="422"/>
      <c r="AS15" s="422"/>
      <c r="AT15" s="422"/>
      <c r="AU15" s="422"/>
      <c r="AV15" s="387"/>
      <c r="AW15" s="388"/>
      <c r="AX15" s="389"/>
      <c r="AY15" s="387"/>
      <c r="AZ15" s="388"/>
      <c r="BA15" s="389"/>
      <c r="BB15" s="387"/>
      <c r="BC15" s="388"/>
      <c r="BD15" s="389"/>
    </row>
    <row r="16" spans="1:56" ht="326.25" customHeight="1" thickBot="1">
      <c r="A16" s="405"/>
      <c r="B16" s="407"/>
      <c r="C16" s="408"/>
      <c r="D16" s="409"/>
      <c r="E16" s="164"/>
      <c r="F16" s="164"/>
      <c r="G16" s="171" t="s">
        <v>196</v>
      </c>
      <c r="H16" s="165" t="s">
        <v>16</v>
      </c>
      <c r="I16" s="165"/>
      <c r="J16" s="407"/>
      <c r="K16" s="425"/>
      <c r="L16" s="428"/>
      <c r="M16" s="425"/>
      <c r="N16" s="422"/>
      <c r="O16" s="166" t="s">
        <v>197</v>
      </c>
      <c r="P16" s="167" t="s">
        <v>196</v>
      </c>
      <c r="Q16" s="168" t="s">
        <v>20</v>
      </c>
      <c r="R16" s="172"/>
      <c r="S16" s="27" t="str">
        <f t="shared" si="0"/>
        <v/>
      </c>
      <c r="T16" s="172"/>
      <c r="U16" s="27" t="str">
        <f t="shared" si="1"/>
        <v/>
      </c>
      <c r="V16" s="150"/>
      <c r="W16" s="27" t="str">
        <f t="shared" si="2"/>
        <v/>
      </c>
      <c r="X16" s="150"/>
      <c r="Y16" s="27" t="str">
        <f t="shared" si="3"/>
        <v/>
      </c>
      <c r="Z16" s="150"/>
      <c r="AA16" s="27" t="str">
        <f t="shared" si="4"/>
        <v/>
      </c>
      <c r="AB16" s="150"/>
      <c r="AC16" s="27" t="str">
        <f t="shared" si="5"/>
        <v/>
      </c>
      <c r="AD16" s="150"/>
      <c r="AE16" s="27" t="str">
        <f t="shared" si="6"/>
        <v/>
      </c>
      <c r="AF16" s="48" t="str">
        <f t="shared" si="7"/>
        <v/>
      </c>
      <c r="AG16" s="48" t="str">
        <f t="shared" si="8"/>
        <v/>
      </c>
      <c r="AH16" s="131"/>
      <c r="AI16" s="149" t="str">
        <f t="shared" si="9"/>
        <v>Débil</v>
      </c>
      <c r="AJ16" s="21" t="str">
        <f>IFERROR(VLOOKUP((CONCATENATE(AG16,AI16)),Listados!$U$3:$V$11,2,FALSE),"")</f>
        <v/>
      </c>
      <c r="AK16" s="48">
        <f t="shared" si="10"/>
        <v>100</v>
      </c>
      <c r="AL16" s="431"/>
      <c r="AM16" s="433"/>
      <c r="AN16" s="169">
        <f>+IF(AND(Q16="Preventivo",AM13="Fuerte"),2,IF(AND(Q16="Preventivo",AM13="Moderado"),1,0))</f>
        <v>2</v>
      </c>
      <c r="AO16" s="169">
        <f>+IF(AND(Q16="Detectivo",$AM13="Fuerte"),2,IF(AND(Q16="Detectivo",$AM13="Moderado"),1,IF(AND(Q16="Preventivo",$AM13="Fuerte"),1,0)))</f>
        <v>1</v>
      </c>
      <c r="AP16" s="169">
        <f>+K13-AN16</f>
        <v>-1</v>
      </c>
      <c r="AQ16" s="169">
        <f>+M13-AO16</f>
        <v>0</v>
      </c>
      <c r="AR16" s="422"/>
      <c r="AS16" s="422"/>
      <c r="AT16" s="422"/>
      <c r="AU16" s="422"/>
      <c r="AV16" s="387"/>
      <c r="AW16" s="388"/>
      <c r="AX16" s="389"/>
      <c r="AY16" s="387"/>
      <c r="AZ16" s="388"/>
      <c r="BA16" s="389"/>
      <c r="BB16" s="387"/>
      <c r="BC16" s="388"/>
      <c r="BD16" s="389"/>
    </row>
    <row r="17" spans="1:56" ht="15.75" thickBot="1">
      <c r="A17" s="405"/>
      <c r="B17" s="407"/>
      <c r="C17" s="408"/>
      <c r="D17" s="409"/>
      <c r="E17" s="164"/>
      <c r="F17" s="164"/>
      <c r="G17" s="165"/>
      <c r="H17" s="165"/>
      <c r="I17" s="165"/>
      <c r="J17" s="407"/>
      <c r="K17" s="425"/>
      <c r="L17" s="428"/>
      <c r="M17" s="425"/>
      <c r="N17" s="422"/>
      <c r="O17" s="47"/>
      <c r="P17" s="172"/>
      <c r="Q17" s="172"/>
      <c r="R17" s="172"/>
      <c r="S17" s="27" t="str">
        <f t="shared" si="0"/>
        <v/>
      </c>
      <c r="T17" s="172"/>
      <c r="U17" s="27" t="str">
        <f t="shared" si="1"/>
        <v/>
      </c>
      <c r="V17" s="150"/>
      <c r="W17" s="27" t="str">
        <f t="shared" si="2"/>
        <v/>
      </c>
      <c r="X17" s="150"/>
      <c r="Y17" s="27" t="str">
        <f t="shared" si="3"/>
        <v/>
      </c>
      <c r="Z17" s="150"/>
      <c r="AA17" s="27" t="str">
        <f t="shared" si="4"/>
        <v/>
      </c>
      <c r="AB17" s="150"/>
      <c r="AC17" s="27" t="str">
        <f t="shared" si="5"/>
        <v/>
      </c>
      <c r="AD17" s="150"/>
      <c r="AE17" s="27" t="str">
        <f t="shared" si="6"/>
        <v/>
      </c>
      <c r="AF17" s="48" t="str">
        <f t="shared" si="7"/>
        <v/>
      </c>
      <c r="AG17" s="48" t="str">
        <f t="shared" si="8"/>
        <v/>
      </c>
      <c r="AH17" s="131"/>
      <c r="AI17" s="149" t="str">
        <f t="shared" si="9"/>
        <v>Débil</v>
      </c>
      <c r="AJ17" s="21" t="str">
        <f>IFERROR(VLOOKUP((CONCATENATE(AG17,AI17)),Listados!$U$3:$V$11,2,FALSE),"")</f>
        <v/>
      </c>
      <c r="AK17" s="48">
        <f t="shared" si="10"/>
        <v>100</v>
      </c>
      <c r="AL17" s="431"/>
      <c r="AM17" s="433"/>
      <c r="AN17" s="169">
        <f>+IF(AND(Q17="Preventivo",AM13="Fuerte"),2,IF(AND(Q17="Preventivo",AM13="Moderado"),1,0))</f>
        <v>0</v>
      </c>
      <c r="AO17" s="169">
        <f>+IF(AND(Q17="Detectivo",$AM13="Fuerte"),2,IF(AND(Q17="Detectivo",$AM13="Moderado"),1,IF(AND(Q17="Preventivo",$AM13="Fuerte"),1,0)))</f>
        <v>0</v>
      </c>
      <c r="AP17" s="169">
        <f>+K13-AN17</f>
        <v>1</v>
      </c>
      <c r="AQ17" s="169">
        <f>+M13-AO17</f>
        <v>1</v>
      </c>
      <c r="AR17" s="422"/>
      <c r="AS17" s="422"/>
      <c r="AT17" s="422"/>
      <c r="AU17" s="422"/>
      <c r="AV17" s="387"/>
      <c r="AW17" s="388"/>
      <c r="AX17" s="389"/>
      <c r="AY17" s="387"/>
      <c r="AZ17" s="388"/>
      <c r="BA17" s="389"/>
      <c r="BB17" s="387"/>
      <c r="BC17" s="388"/>
      <c r="BD17" s="389"/>
    </row>
    <row r="18" spans="1:56" ht="15.75" thickBot="1">
      <c r="A18" s="406"/>
      <c r="B18" s="407"/>
      <c r="C18" s="408"/>
      <c r="D18" s="409"/>
      <c r="E18" s="164"/>
      <c r="F18" s="164"/>
      <c r="G18" s="165"/>
      <c r="H18" s="165"/>
      <c r="I18" s="165"/>
      <c r="J18" s="407"/>
      <c r="K18" s="426"/>
      <c r="L18" s="428"/>
      <c r="M18" s="426"/>
      <c r="N18" s="423"/>
      <c r="O18" s="101"/>
      <c r="P18" s="172"/>
      <c r="Q18" s="172"/>
      <c r="R18" s="172"/>
      <c r="S18" s="27" t="str">
        <f t="shared" si="0"/>
        <v/>
      </c>
      <c r="T18" s="172"/>
      <c r="U18" s="27" t="str">
        <f t="shared" si="1"/>
        <v/>
      </c>
      <c r="V18" s="150"/>
      <c r="W18" s="27" t="str">
        <f t="shared" si="2"/>
        <v/>
      </c>
      <c r="X18" s="150"/>
      <c r="Y18" s="27" t="str">
        <f t="shared" si="3"/>
        <v/>
      </c>
      <c r="Z18" s="150"/>
      <c r="AA18" s="27" t="str">
        <f t="shared" si="4"/>
        <v/>
      </c>
      <c r="AB18" s="150"/>
      <c r="AC18" s="27" t="str">
        <f t="shared" si="5"/>
        <v/>
      </c>
      <c r="AD18" s="150"/>
      <c r="AE18" s="27" t="str">
        <f t="shared" si="6"/>
        <v/>
      </c>
      <c r="AF18" s="48" t="str">
        <f t="shared" si="7"/>
        <v/>
      </c>
      <c r="AG18" s="48" t="str">
        <f t="shared" si="8"/>
        <v/>
      </c>
      <c r="AH18" s="131"/>
      <c r="AI18" s="149" t="str">
        <f t="shared" si="9"/>
        <v>Débil</v>
      </c>
      <c r="AJ18" s="21" t="str">
        <f>IFERROR(VLOOKUP((CONCATENATE(AG18,AI18)),Listados!$U$3:$V$11,2,FALSE),"")</f>
        <v/>
      </c>
      <c r="AK18" s="48">
        <f t="shared" si="10"/>
        <v>100</v>
      </c>
      <c r="AL18" s="432"/>
      <c r="AM18" s="433"/>
      <c r="AN18" s="169">
        <f>+IF(AND(Q18="Preventivo",AM13="Fuerte"),2,IF(AND(Q18="Preventivo",AM13="Moderado"),1,0))</f>
        <v>0</v>
      </c>
      <c r="AO18" s="169">
        <f>+IF(AND(Q18="Detectivo",$AM13="Fuerte"),2,IF(AND(Q18="Detectivo",$AM13="Moderado"),1,IF(AND(Q18="Preventivo",$AM13="Fuerte"),1,0)))</f>
        <v>0</v>
      </c>
      <c r="AP18" s="169">
        <f>+K13-AN18</f>
        <v>1</v>
      </c>
      <c r="AQ18" s="169">
        <f>+M13-AO18</f>
        <v>1</v>
      </c>
      <c r="AR18" s="423"/>
      <c r="AS18" s="423"/>
      <c r="AT18" s="423"/>
      <c r="AU18" s="423"/>
      <c r="AV18" s="387"/>
      <c r="AW18" s="388"/>
      <c r="AX18" s="389"/>
      <c r="AY18" s="387"/>
      <c r="AZ18" s="388"/>
      <c r="BA18" s="389"/>
      <c r="BB18" s="387"/>
      <c r="BC18" s="388"/>
      <c r="BD18" s="389"/>
    </row>
    <row r="19" spans="1:56" ht="201" thickBot="1">
      <c r="A19" s="404">
        <v>3</v>
      </c>
      <c r="B19" s="407" t="s">
        <v>86</v>
      </c>
      <c r="C19" s="408" t="str">
        <f>IFERROR(VLOOKUP(B19,Listados!B$3:C$20,2,FALSE),"")</f>
        <v>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v>
      </c>
      <c r="D19" s="409" t="s">
        <v>198</v>
      </c>
      <c r="E19" s="164" t="s">
        <v>52</v>
      </c>
      <c r="F19" s="164"/>
      <c r="G19" s="165" t="s">
        <v>199</v>
      </c>
      <c r="H19" s="165" t="s">
        <v>30</v>
      </c>
      <c r="I19" s="165" t="s">
        <v>200</v>
      </c>
      <c r="J19" s="407" t="s">
        <v>53</v>
      </c>
      <c r="K19" s="424">
        <f>+VLOOKUP(J19,[3]Listados!$K$8:$L$12,2,0)</f>
        <v>4</v>
      </c>
      <c r="L19" s="427" t="s">
        <v>36</v>
      </c>
      <c r="M19" s="424">
        <f>+VLOOKUP(L19,Listados!$K$13:$L$17,2,0)</f>
        <v>3</v>
      </c>
      <c r="N19" s="423" t="str">
        <f>IF(AND(J19&lt;&gt;"",L19&lt;&gt;""),VLOOKUP(J19&amp;L19,Listados!$M$3:$N$27,2,FALSE),"")</f>
        <v>Alto</v>
      </c>
      <c r="O19" s="166" t="s">
        <v>201</v>
      </c>
      <c r="P19" s="166" t="s">
        <v>199</v>
      </c>
      <c r="Q19" s="166" t="s">
        <v>20</v>
      </c>
      <c r="R19" s="172"/>
      <c r="S19" s="27" t="str">
        <f t="shared" si="0"/>
        <v/>
      </c>
      <c r="T19" s="172"/>
      <c r="U19" s="27" t="str">
        <f t="shared" si="1"/>
        <v/>
      </c>
      <c r="V19" s="150"/>
      <c r="W19" s="27" t="str">
        <f t="shared" si="2"/>
        <v/>
      </c>
      <c r="X19" s="150"/>
      <c r="Y19" s="27" t="str">
        <f t="shared" si="3"/>
        <v/>
      </c>
      <c r="Z19" s="150"/>
      <c r="AA19" s="27" t="str">
        <f t="shared" si="4"/>
        <v/>
      </c>
      <c r="AB19" s="150"/>
      <c r="AC19" s="27" t="str">
        <f t="shared" si="5"/>
        <v/>
      </c>
      <c r="AD19" s="150"/>
      <c r="AE19" s="27" t="str">
        <f t="shared" si="6"/>
        <v/>
      </c>
      <c r="AF19" s="48" t="str">
        <f t="shared" si="7"/>
        <v/>
      </c>
      <c r="AG19" s="48" t="str">
        <f t="shared" si="8"/>
        <v/>
      </c>
      <c r="AH19" s="131"/>
      <c r="AI19" s="149" t="str">
        <f t="shared" si="9"/>
        <v>Débil</v>
      </c>
      <c r="AJ19" s="21" t="str">
        <f>IFERROR(VLOOKUP((CONCATENATE(AG19,AI19)),Listados!$U$3:$V$11,2,FALSE),"")</f>
        <v/>
      </c>
      <c r="AK19" s="48">
        <f t="shared" si="10"/>
        <v>100</v>
      </c>
      <c r="AL19" s="430">
        <f>AVERAGE(AK19:AK24)</f>
        <v>100</v>
      </c>
      <c r="AM19" s="432" t="str">
        <f>IF(AL19&lt;=50, "Débil", IF(AL19&lt;=99,"Moderado","Fuerte"))</f>
        <v>Fuerte</v>
      </c>
      <c r="AN19" s="169">
        <f>+IF(AND(Q19="Preventivo",AM19="Fuerte"),2,IF(AND(Q19="Preventivo",AM19="Moderado"),1,0))</f>
        <v>2</v>
      </c>
      <c r="AO19" s="169">
        <f>+IF(AND(Q19="Detectivo",$AM19="Fuerte"),2,IF(AND(Q19="Detectivo",$AM19="Moderado"),1,IF(AND(Q19="Preventivo",$AM19="Fuerte"),1,0)))</f>
        <v>1</v>
      </c>
      <c r="AP19" s="169">
        <f>+K19-AN19</f>
        <v>2</v>
      </c>
      <c r="AQ19" s="169">
        <f>+M19-AO19</f>
        <v>2</v>
      </c>
      <c r="AR19" s="421" t="str">
        <f>+VLOOKUP(MIN(AP19,AP20,AP21,AP22,AP23,AP24),Listados!$J$18:$K$24,2,TRUE)</f>
        <v>Improbable</v>
      </c>
      <c r="AS19" s="421" t="str">
        <f>+VLOOKUP(MIN(AQ19,AQ20,AQ21,AQ22,AQ23,AQ24),Listados!$J$26:$K$32,2,TRUE)</f>
        <v>Menor</v>
      </c>
      <c r="AT19" s="421" t="str">
        <f>IF(AND(AR19&lt;&gt;"",AS19&lt;&gt;""),VLOOKUP(AR19&amp;AS19,Listados!$M$3:$N$27,2,FALSE),"")</f>
        <v>Bajo</v>
      </c>
      <c r="AU19" s="421" t="str">
        <f>+VLOOKUP(AT19,Listados!$P$3:$Q$6,2,FALSE)</f>
        <v>Asumir el riesgo</v>
      </c>
      <c r="AV19" s="387"/>
      <c r="AW19" s="388"/>
      <c r="AX19" s="389"/>
      <c r="AY19" s="387"/>
      <c r="AZ19" s="388"/>
      <c r="BA19" s="389"/>
      <c r="BB19" s="387"/>
      <c r="BC19" s="388"/>
      <c r="BD19" s="389"/>
    </row>
    <row r="20" spans="1:56" ht="158.25" thickBot="1">
      <c r="A20" s="405"/>
      <c r="B20" s="407"/>
      <c r="C20" s="408"/>
      <c r="D20" s="409"/>
      <c r="E20" s="164"/>
      <c r="F20" s="164"/>
      <c r="G20" s="165" t="s">
        <v>202</v>
      </c>
      <c r="H20" s="165" t="s">
        <v>30</v>
      </c>
      <c r="I20" s="165" t="s">
        <v>203</v>
      </c>
      <c r="J20" s="407"/>
      <c r="K20" s="425"/>
      <c r="L20" s="428"/>
      <c r="M20" s="425"/>
      <c r="N20" s="429"/>
      <c r="O20" s="166" t="s">
        <v>204</v>
      </c>
      <c r="P20" s="166" t="s">
        <v>202</v>
      </c>
      <c r="Q20" s="166" t="s">
        <v>20</v>
      </c>
      <c r="R20" s="172"/>
      <c r="S20" s="27" t="str">
        <f t="shared" si="0"/>
        <v/>
      </c>
      <c r="T20" s="172"/>
      <c r="U20" s="27" t="str">
        <f t="shared" si="1"/>
        <v/>
      </c>
      <c r="V20" s="150"/>
      <c r="W20" s="27" t="str">
        <f t="shared" si="2"/>
        <v/>
      </c>
      <c r="X20" s="150"/>
      <c r="Y20" s="27" t="str">
        <f t="shared" si="3"/>
        <v/>
      </c>
      <c r="Z20" s="150"/>
      <c r="AA20" s="27" t="str">
        <f t="shared" si="4"/>
        <v/>
      </c>
      <c r="AB20" s="150"/>
      <c r="AC20" s="27" t="str">
        <f t="shared" si="5"/>
        <v/>
      </c>
      <c r="AD20" s="150"/>
      <c r="AE20" s="27" t="str">
        <f t="shared" si="6"/>
        <v/>
      </c>
      <c r="AF20" s="48" t="str">
        <f t="shared" si="7"/>
        <v/>
      </c>
      <c r="AG20" s="48" t="str">
        <f t="shared" si="8"/>
        <v/>
      </c>
      <c r="AH20" s="131"/>
      <c r="AI20" s="149" t="str">
        <f t="shared" si="9"/>
        <v>Débil</v>
      </c>
      <c r="AJ20" s="21" t="str">
        <f>IFERROR(VLOOKUP((CONCATENATE(AG20,AI20)),Listados!$U$3:$V$11,2,FALSE),"")</f>
        <v/>
      </c>
      <c r="AK20" s="48">
        <f t="shared" si="10"/>
        <v>100</v>
      </c>
      <c r="AL20" s="431"/>
      <c r="AM20" s="433"/>
      <c r="AN20" s="169">
        <f>+IF(AND(Q20="Preventivo",AM19="Fuerte"),2,IF(AND(Q20="Preventivo",AM19="Moderado"),1,0))</f>
        <v>2</v>
      </c>
      <c r="AO20" s="169">
        <f>+IF(AND(Q20="Detectivo",$AM19="Fuerte"),2,IF(AND(Q20="Detectivo",$AM19="Moderado"),1,IF(AND(Q20="Preventivo",$AM19="Fuerte"),1,0)))</f>
        <v>1</v>
      </c>
      <c r="AP20" s="169">
        <f>+K19-AN20</f>
        <v>2</v>
      </c>
      <c r="AQ20" s="169">
        <f>+M19-AO20</f>
        <v>2</v>
      </c>
      <c r="AR20" s="422"/>
      <c r="AS20" s="422"/>
      <c r="AT20" s="422"/>
      <c r="AU20" s="422"/>
      <c r="AV20" s="387"/>
      <c r="AW20" s="388"/>
      <c r="AX20" s="389"/>
      <c r="AY20" s="387"/>
      <c r="AZ20" s="388"/>
      <c r="BA20" s="389"/>
      <c r="BB20" s="387"/>
      <c r="BC20" s="388"/>
      <c r="BD20" s="389"/>
    </row>
    <row r="21" spans="1:56" ht="15.75" thickBot="1">
      <c r="A21" s="405"/>
      <c r="B21" s="407"/>
      <c r="C21" s="408"/>
      <c r="D21" s="409"/>
      <c r="E21" s="164"/>
      <c r="F21" s="164"/>
      <c r="G21" s="165"/>
      <c r="H21" s="165"/>
      <c r="I21" s="165"/>
      <c r="J21" s="407"/>
      <c r="K21" s="425"/>
      <c r="L21" s="428"/>
      <c r="M21" s="425"/>
      <c r="N21" s="429"/>
      <c r="O21" s="47"/>
      <c r="P21" s="172"/>
      <c r="Q21" s="172"/>
      <c r="R21" s="172"/>
      <c r="S21" s="27" t="str">
        <f t="shared" si="0"/>
        <v/>
      </c>
      <c r="T21" s="172"/>
      <c r="U21" s="27" t="str">
        <f t="shared" si="1"/>
        <v/>
      </c>
      <c r="V21" s="150"/>
      <c r="W21" s="27" t="str">
        <f t="shared" si="2"/>
        <v/>
      </c>
      <c r="X21" s="150"/>
      <c r="Y21" s="27" t="str">
        <f t="shared" si="3"/>
        <v/>
      </c>
      <c r="Z21" s="150"/>
      <c r="AA21" s="27" t="str">
        <f t="shared" si="4"/>
        <v/>
      </c>
      <c r="AB21" s="150"/>
      <c r="AC21" s="27" t="str">
        <f t="shared" si="5"/>
        <v/>
      </c>
      <c r="AD21" s="150"/>
      <c r="AE21" s="27" t="str">
        <f t="shared" si="6"/>
        <v/>
      </c>
      <c r="AF21" s="48" t="str">
        <f t="shared" si="7"/>
        <v/>
      </c>
      <c r="AG21" s="48" t="str">
        <f t="shared" si="8"/>
        <v/>
      </c>
      <c r="AH21" s="131"/>
      <c r="AI21" s="149" t="str">
        <f t="shared" si="9"/>
        <v>Débil</v>
      </c>
      <c r="AJ21" s="21" t="str">
        <f>IFERROR(VLOOKUP((CONCATENATE(AG21,AI21)),Listados!$U$3:$V$11,2,FALSE),"")</f>
        <v/>
      </c>
      <c r="AK21" s="48">
        <f t="shared" si="10"/>
        <v>100</v>
      </c>
      <c r="AL21" s="431"/>
      <c r="AM21" s="433"/>
      <c r="AN21" s="169">
        <f>+IF(AND(Q21="Preventivo",AM19="Fuerte"),2,IF(AND(Q21="Preventivo",AM19="Moderado"),1,0))</f>
        <v>0</v>
      </c>
      <c r="AO21" s="169">
        <f>+IF(AND(Q21="Detectivo",$AM19="Fuerte"),2,IF(AND(Q21="Detectivo",$AM19="Moderado"),1,IF(AND(Q21="Preventivo",$AM19="Fuerte"),1,0)))</f>
        <v>0</v>
      </c>
      <c r="AP21" s="169">
        <f>+K19-AN21</f>
        <v>4</v>
      </c>
      <c r="AQ21" s="169">
        <f>+M19-AO21</f>
        <v>3</v>
      </c>
      <c r="AR21" s="422"/>
      <c r="AS21" s="422"/>
      <c r="AT21" s="422"/>
      <c r="AU21" s="422"/>
      <c r="AV21" s="387"/>
      <c r="AW21" s="388"/>
      <c r="AX21" s="389"/>
      <c r="AY21" s="387"/>
      <c r="AZ21" s="388"/>
      <c r="BA21" s="389"/>
      <c r="BB21" s="387"/>
      <c r="BC21" s="388"/>
      <c r="BD21" s="389"/>
    </row>
    <row r="22" spans="1:56" ht="15.75" thickBot="1">
      <c r="A22" s="405"/>
      <c r="B22" s="407"/>
      <c r="C22" s="408"/>
      <c r="D22" s="409"/>
      <c r="E22" s="164"/>
      <c r="F22" s="164"/>
      <c r="G22" s="165"/>
      <c r="H22" s="165"/>
      <c r="I22" s="165"/>
      <c r="J22" s="407"/>
      <c r="K22" s="425"/>
      <c r="L22" s="428"/>
      <c r="M22" s="425"/>
      <c r="N22" s="429"/>
      <c r="O22" s="47"/>
      <c r="P22" s="172"/>
      <c r="Q22" s="172"/>
      <c r="R22" s="172"/>
      <c r="S22" s="27" t="str">
        <f t="shared" si="0"/>
        <v/>
      </c>
      <c r="T22" s="172"/>
      <c r="U22" s="27" t="str">
        <f t="shared" si="1"/>
        <v/>
      </c>
      <c r="V22" s="150"/>
      <c r="W22" s="27" t="str">
        <f t="shared" si="2"/>
        <v/>
      </c>
      <c r="X22" s="150"/>
      <c r="Y22" s="27" t="str">
        <f t="shared" si="3"/>
        <v/>
      </c>
      <c r="Z22" s="150"/>
      <c r="AA22" s="27" t="str">
        <f t="shared" si="4"/>
        <v/>
      </c>
      <c r="AB22" s="150"/>
      <c r="AC22" s="27" t="str">
        <f t="shared" si="5"/>
        <v/>
      </c>
      <c r="AD22" s="150"/>
      <c r="AE22" s="27" t="str">
        <f t="shared" si="6"/>
        <v/>
      </c>
      <c r="AF22" s="48" t="str">
        <f t="shared" si="7"/>
        <v/>
      </c>
      <c r="AG22" s="48" t="str">
        <f t="shared" si="8"/>
        <v/>
      </c>
      <c r="AH22" s="131"/>
      <c r="AI22" s="149" t="str">
        <f t="shared" si="9"/>
        <v>Débil</v>
      </c>
      <c r="AJ22" s="21" t="str">
        <f>IFERROR(VLOOKUP((CONCATENATE(AG22,AI22)),Listados!$U$3:$V$11,2,FALSE),"")</f>
        <v/>
      </c>
      <c r="AK22" s="48">
        <f t="shared" si="10"/>
        <v>100</v>
      </c>
      <c r="AL22" s="431"/>
      <c r="AM22" s="433"/>
      <c r="AN22" s="169">
        <f>+IF(AND(Q22="Preventivo",AM19="Fuerte"),2,IF(AND(Q22="Preventivo",AM19="Moderado"),1,0))</f>
        <v>0</v>
      </c>
      <c r="AO22" s="169">
        <f>+IF(AND(Q22="Detectivo",$AM19="Fuerte"),2,IF(AND(Q22="Detectivo",$AM19="Moderado"),1,IF(AND(Q22="Preventivo",$AM19="Fuerte"),1,0)))</f>
        <v>0</v>
      </c>
      <c r="AP22" s="169">
        <f>+K19-AN22</f>
        <v>4</v>
      </c>
      <c r="AQ22" s="169">
        <f>+M19-AO22</f>
        <v>3</v>
      </c>
      <c r="AR22" s="422"/>
      <c r="AS22" s="422"/>
      <c r="AT22" s="422"/>
      <c r="AU22" s="422"/>
      <c r="AV22" s="387"/>
      <c r="AW22" s="388"/>
      <c r="AX22" s="389"/>
      <c r="AY22" s="387"/>
      <c r="AZ22" s="388"/>
      <c r="BA22" s="389"/>
      <c r="BB22" s="387"/>
      <c r="BC22" s="388"/>
      <c r="BD22" s="389"/>
    </row>
    <row r="23" spans="1:56" ht="15.75" thickBot="1">
      <c r="A23" s="405"/>
      <c r="B23" s="407"/>
      <c r="C23" s="408"/>
      <c r="D23" s="409"/>
      <c r="E23" s="164"/>
      <c r="F23" s="164"/>
      <c r="G23" s="165"/>
      <c r="H23" s="165"/>
      <c r="I23" s="165"/>
      <c r="J23" s="407"/>
      <c r="K23" s="425"/>
      <c r="L23" s="428"/>
      <c r="M23" s="425"/>
      <c r="N23" s="429"/>
      <c r="O23" s="47"/>
      <c r="P23" s="172"/>
      <c r="Q23" s="172"/>
      <c r="R23" s="172"/>
      <c r="S23" s="27" t="str">
        <f t="shared" si="0"/>
        <v/>
      </c>
      <c r="T23" s="172"/>
      <c r="U23" s="27" t="str">
        <f t="shared" si="1"/>
        <v/>
      </c>
      <c r="V23" s="150"/>
      <c r="W23" s="27" t="str">
        <f t="shared" si="2"/>
        <v/>
      </c>
      <c r="X23" s="150"/>
      <c r="Y23" s="27" t="str">
        <f t="shared" si="3"/>
        <v/>
      </c>
      <c r="Z23" s="150"/>
      <c r="AA23" s="27" t="str">
        <f t="shared" si="4"/>
        <v/>
      </c>
      <c r="AB23" s="150"/>
      <c r="AC23" s="27" t="str">
        <f t="shared" si="5"/>
        <v/>
      </c>
      <c r="AD23" s="150"/>
      <c r="AE23" s="27" t="str">
        <f t="shared" si="6"/>
        <v/>
      </c>
      <c r="AF23" s="48" t="str">
        <f t="shared" si="7"/>
        <v/>
      </c>
      <c r="AG23" s="48" t="str">
        <f t="shared" si="8"/>
        <v/>
      </c>
      <c r="AH23" s="131"/>
      <c r="AI23" s="149" t="str">
        <f t="shared" si="9"/>
        <v>Débil</v>
      </c>
      <c r="AJ23" s="21" t="str">
        <f>IFERROR(VLOOKUP((CONCATENATE(AG23,AI23)),Listados!$U$3:$V$11,2,FALSE),"")</f>
        <v/>
      </c>
      <c r="AK23" s="48">
        <f t="shared" si="10"/>
        <v>100</v>
      </c>
      <c r="AL23" s="431"/>
      <c r="AM23" s="433"/>
      <c r="AN23" s="169">
        <f>+IF(AND(Q23="Preventivo",AM19="Fuerte"),2,IF(AND(Q23="Preventivo",AM19="Moderado"),1,0))</f>
        <v>0</v>
      </c>
      <c r="AO23" s="169">
        <f>+IF(AND(Q23="Detectivo",$AM19="Fuerte"),2,IF(AND(Q23="Detectivo",$AM19="Moderado"),1,IF(AND(Q23="Preventivo",$AM19="Fuerte"),1,0)))</f>
        <v>0</v>
      </c>
      <c r="AP23" s="169">
        <f>+K19-AN23</f>
        <v>4</v>
      </c>
      <c r="AQ23" s="169">
        <f>+M19-AO23</f>
        <v>3</v>
      </c>
      <c r="AR23" s="422"/>
      <c r="AS23" s="422"/>
      <c r="AT23" s="422"/>
      <c r="AU23" s="422"/>
      <c r="AV23" s="387"/>
      <c r="AW23" s="388"/>
      <c r="AX23" s="389"/>
      <c r="AY23" s="387"/>
      <c r="AZ23" s="388"/>
      <c r="BA23" s="389"/>
      <c r="BB23" s="387"/>
      <c r="BC23" s="388"/>
      <c r="BD23" s="389"/>
    </row>
    <row r="24" spans="1:56" ht="15.75" thickBot="1">
      <c r="A24" s="406"/>
      <c r="B24" s="407"/>
      <c r="C24" s="408"/>
      <c r="D24" s="409"/>
      <c r="E24" s="164"/>
      <c r="F24" s="164"/>
      <c r="G24" s="165"/>
      <c r="H24" s="165"/>
      <c r="I24" s="165"/>
      <c r="J24" s="407"/>
      <c r="K24" s="426"/>
      <c r="L24" s="428"/>
      <c r="M24" s="426"/>
      <c r="N24" s="429"/>
      <c r="O24" s="101"/>
      <c r="P24" s="172"/>
      <c r="Q24" s="172"/>
      <c r="R24" s="172"/>
      <c r="S24" s="27" t="str">
        <f t="shared" si="0"/>
        <v/>
      </c>
      <c r="T24" s="172"/>
      <c r="U24" s="27" t="str">
        <f t="shared" si="1"/>
        <v/>
      </c>
      <c r="V24" s="150"/>
      <c r="W24" s="27" t="str">
        <f t="shared" si="2"/>
        <v/>
      </c>
      <c r="X24" s="150"/>
      <c r="Y24" s="27" t="str">
        <f t="shared" si="3"/>
        <v/>
      </c>
      <c r="Z24" s="150"/>
      <c r="AA24" s="27" t="str">
        <f t="shared" si="4"/>
        <v/>
      </c>
      <c r="AB24" s="150"/>
      <c r="AC24" s="27" t="str">
        <f t="shared" si="5"/>
        <v/>
      </c>
      <c r="AD24" s="150"/>
      <c r="AE24" s="27" t="str">
        <f t="shared" si="6"/>
        <v/>
      </c>
      <c r="AF24" s="48" t="str">
        <f t="shared" si="7"/>
        <v/>
      </c>
      <c r="AG24" s="48" t="str">
        <f t="shared" si="8"/>
        <v/>
      </c>
      <c r="AH24" s="131"/>
      <c r="AI24" s="149" t="str">
        <f t="shared" si="9"/>
        <v>Débil</v>
      </c>
      <c r="AJ24" s="21" t="str">
        <f>IFERROR(VLOOKUP((CONCATENATE(AG24,AI24)),Listados!$U$3:$V$11,2,FALSE),"")</f>
        <v/>
      </c>
      <c r="AK24" s="48">
        <f t="shared" si="10"/>
        <v>100</v>
      </c>
      <c r="AL24" s="432"/>
      <c r="AM24" s="433"/>
      <c r="AN24" s="169">
        <f>+IF(AND(Q24="Preventivo",AM19="Fuerte"),2,IF(AND(Q24="Preventivo",AM19="Moderado"),1,0))</f>
        <v>0</v>
      </c>
      <c r="AO24" s="169">
        <f>+IF(AND(Q24="Detectivo",$AM19="Fuerte"),2,IF(AND(Q24="Detectivo",$AM19="Moderado"),1,IF(AND(Q24="Preventivo",$AM19="Fuerte"),1,0)))</f>
        <v>0</v>
      </c>
      <c r="AP24" s="169">
        <f>+K19-AN24</f>
        <v>4</v>
      </c>
      <c r="AQ24" s="169">
        <f>+M19-AO24</f>
        <v>3</v>
      </c>
      <c r="AR24" s="423"/>
      <c r="AS24" s="423"/>
      <c r="AT24" s="423"/>
      <c r="AU24" s="423"/>
      <c r="AV24" s="387"/>
      <c r="AW24" s="388"/>
      <c r="AX24" s="389"/>
      <c r="AY24" s="387"/>
      <c r="AZ24" s="388"/>
      <c r="BA24" s="389"/>
      <c r="BB24" s="387"/>
      <c r="BC24" s="388"/>
      <c r="BD24" s="389"/>
    </row>
    <row r="25" spans="1:56" ht="129.75" thickBot="1">
      <c r="A25" s="404">
        <v>4</v>
      </c>
      <c r="B25" s="407" t="s">
        <v>27</v>
      </c>
      <c r="C25" s="408" t="str">
        <f>IFERROR(VLOOKUP(B25,Listados!B$3:C$20,2,FALSE),"")</f>
        <v>Proveer información oportuna, confiable, veraz y accesible a clientes internos y externos del Ministerio de Justicia y del Derecho.</v>
      </c>
      <c r="D25" s="409" t="s">
        <v>205</v>
      </c>
      <c r="E25" s="164" t="s">
        <v>15</v>
      </c>
      <c r="F25" s="164" t="s">
        <v>178</v>
      </c>
      <c r="G25" s="165" t="s">
        <v>206</v>
      </c>
      <c r="H25" s="165" t="s">
        <v>16</v>
      </c>
      <c r="I25" s="165" t="s">
        <v>207</v>
      </c>
      <c r="J25" s="407" t="s">
        <v>21</v>
      </c>
      <c r="K25" s="424">
        <f>+VLOOKUP(J25,Listados!$K$8:$L$12,2,0)</f>
        <v>1</v>
      </c>
      <c r="L25" s="427" t="s">
        <v>64</v>
      </c>
      <c r="M25" s="424">
        <f>+VLOOKUP(L25,Listados!$K$13:$L$17,2,0)</f>
        <v>5</v>
      </c>
      <c r="N25" s="423" t="str">
        <f>IF(AND(J25&lt;&gt;"",L25&lt;&gt;""),VLOOKUP(J25&amp;L25,Listados!$M$3:$N$27,2,FALSE),"")</f>
        <v>Extremo</v>
      </c>
      <c r="O25" s="166" t="s">
        <v>208</v>
      </c>
      <c r="P25" s="173" t="s">
        <v>206</v>
      </c>
      <c r="Q25" s="165" t="s">
        <v>123</v>
      </c>
      <c r="R25" s="172"/>
      <c r="S25" s="27" t="str">
        <f t="shared" si="0"/>
        <v/>
      </c>
      <c r="T25" s="172"/>
      <c r="U25" s="27" t="str">
        <f t="shared" si="1"/>
        <v/>
      </c>
      <c r="V25" s="150"/>
      <c r="W25" s="27" t="str">
        <f t="shared" si="2"/>
        <v/>
      </c>
      <c r="X25" s="150"/>
      <c r="Y25" s="27" t="str">
        <f t="shared" si="3"/>
        <v/>
      </c>
      <c r="Z25" s="150"/>
      <c r="AA25" s="27" t="str">
        <f t="shared" si="4"/>
        <v/>
      </c>
      <c r="AB25" s="150"/>
      <c r="AC25" s="27" t="str">
        <f t="shared" si="5"/>
        <v/>
      </c>
      <c r="AD25" s="150"/>
      <c r="AE25" s="27" t="str">
        <f t="shared" si="6"/>
        <v/>
      </c>
      <c r="AF25" s="48" t="str">
        <f t="shared" si="7"/>
        <v/>
      </c>
      <c r="AG25" s="48" t="str">
        <f t="shared" si="8"/>
        <v/>
      </c>
      <c r="AH25" s="131"/>
      <c r="AI25" s="149" t="str">
        <f t="shared" si="9"/>
        <v>Débil</v>
      </c>
      <c r="AJ25" s="21" t="str">
        <f>IFERROR(VLOOKUP((CONCATENATE(AG25,AI25)),Listados!$U$3:$V$11,2,FALSE),"")</f>
        <v/>
      </c>
      <c r="AK25" s="48">
        <f t="shared" si="10"/>
        <v>100</v>
      </c>
      <c r="AL25" s="430">
        <f>AVERAGE(AK25:AK30)</f>
        <v>100</v>
      </c>
      <c r="AM25" s="432" t="str">
        <f>IF(AL25&lt;=50, "Débil", IF(AL25&lt;=99,"Moderado","Fuerte"))</f>
        <v>Fuerte</v>
      </c>
      <c r="AN25" s="169">
        <f>+IF(AND(Q25="Preventivo",AM25="Fuerte"),2,IF(AND(Q25="Preventivo",AM25="Moderado"),1,0))</f>
        <v>0</v>
      </c>
      <c r="AO25" s="169">
        <f>+IF(AND(Q25="Detectivo",$AM25="Fuerte"),2,IF(AND(Q25="Detectivo",$AM25="Moderado"),1,IF(AND(Q25="Preventivo",$AM25="Fuerte"),1,0)))</f>
        <v>2</v>
      </c>
      <c r="AP25" s="169">
        <f>+K25-AN25</f>
        <v>1</v>
      </c>
      <c r="AQ25" s="169">
        <f>+M25-AO25</f>
        <v>3</v>
      </c>
      <c r="AR25" s="421" t="str">
        <f>+VLOOKUP(MIN(AP25,AP26,AP27,AP28,AP29,AP30),Listados!$J$18:$K$24,2,TRUE)</f>
        <v>Rara Vez</v>
      </c>
      <c r="AS25" s="421" t="str">
        <f>+VLOOKUP(MIN(AQ25,AQ26,AQ27,AQ28,AQ29,AQ30),Listados!$J$26:$K$32,2,TRUE)</f>
        <v>Moderado</v>
      </c>
      <c r="AT25" s="421" t="str">
        <f>IF(AND(AR25&lt;&gt;"",AS25&lt;&gt;""),VLOOKUP(AR25&amp;AS25,Listados!$M$3:$N$27,2,FALSE),"")</f>
        <v>Moderado</v>
      </c>
      <c r="AU25" s="421" t="str">
        <f>+VLOOKUP(AT25,Listados!$P$3:$Q$6,2,FALSE)</f>
        <v xml:space="preserve"> Reducir el riesgo</v>
      </c>
      <c r="AV25" s="387"/>
      <c r="AW25" s="388"/>
      <c r="AX25" s="389"/>
      <c r="AY25" s="387"/>
      <c r="AZ25" s="388"/>
      <c r="BA25" s="389"/>
      <c r="BB25" s="387"/>
      <c r="BC25" s="388"/>
      <c r="BD25" s="389"/>
    </row>
    <row r="26" spans="1:56" ht="129.75" thickBot="1">
      <c r="A26" s="405"/>
      <c r="B26" s="407"/>
      <c r="C26" s="408"/>
      <c r="D26" s="409"/>
      <c r="E26" s="164"/>
      <c r="F26" s="164" t="s">
        <v>209</v>
      </c>
      <c r="G26" s="165" t="s">
        <v>210</v>
      </c>
      <c r="H26" s="165" t="s">
        <v>16</v>
      </c>
      <c r="I26" s="165" t="s">
        <v>211</v>
      </c>
      <c r="J26" s="407"/>
      <c r="K26" s="425"/>
      <c r="L26" s="428"/>
      <c r="M26" s="425"/>
      <c r="N26" s="429"/>
      <c r="O26" s="166" t="s">
        <v>212</v>
      </c>
      <c r="P26" s="173" t="s">
        <v>210</v>
      </c>
      <c r="Q26" s="165" t="s">
        <v>20</v>
      </c>
      <c r="R26" s="172"/>
      <c r="S26" s="27" t="str">
        <f t="shared" si="0"/>
        <v/>
      </c>
      <c r="T26" s="172"/>
      <c r="U26" s="27" t="str">
        <f t="shared" si="1"/>
        <v/>
      </c>
      <c r="V26" s="150"/>
      <c r="W26" s="27" t="str">
        <f t="shared" si="2"/>
        <v/>
      </c>
      <c r="X26" s="150"/>
      <c r="Y26" s="27" t="str">
        <f t="shared" si="3"/>
        <v/>
      </c>
      <c r="Z26" s="150"/>
      <c r="AA26" s="27" t="str">
        <f t="shared" si="4"/>
        <v/>
      </c>
      <c r="AB26" s="150"/>
      <c r="AC26" s="27" t="str">
        <f t="shared" si="5"/>
        <v/>
      </c>
      <c r="AD26" s="150"/>
      <c r="AE26" s="27" t="str">
        <f t="shared" si="6"/>
        <v/>
      </c>
      <c r="AF26" s="48" t="str">
        <f t="shared" si="7"/>
        <v/>
      </c>
      <c r="AG26" s="48" t="str">
        <f t="shared" si="8"/>
        <v/>
      </c>
      <c r="AH26" s="131"/>
      <c r="AI26" s="149" t="str">
        <f t="shared" si="9"/>
        <v>Débil</v>
      </c>
      <c r="AJ26" s="21" t="str">
        <f>IFERROR(VLOOKUP((CONCATENATE(AG26,AI26)),Listados!$U$3:$V$11,2,FALSE),"")</f>
        <v/>
      </c>
      <c r="AK26" s="48">
        <f t="shared" si="10"/>
        <v>100</v>
      </c>
      <c r="AL26" s="431"/>
      <c r="AM26" s="433"/>
      <c r="AN26" s="169">
        <f>+IF(AND(Q26="Preventivo",AM25="Fuerte"),2,IF(AND(Q26="Preventivo",AM25="Moderado"),1,0))</f>
        <v>2</v>
      </c>
      <c r="AO26" s="169">
        <f>+IF(AND(Q26="Detectivo",$AM25="Fuerte"),2,IF(AND(Q26="Detectivo",$AM25="Moderado"),1,IF(AND(Q26="Preventivo",$AM25="Fuerte"),1,0)))</f>
        <v>1</v>
      </c>
      <c r="AP26" s="169">
        <f>+K25-AN26</f>
        <v>-1</v>
      </c>
      <c r="AQ26" s="169">
        <f>+M25-AO26</f>
        <v>4</v>
      </c>
      <c r="AR26" s="422"/>
      <c r="AS26" s="422"/>
      <c r="AT26" s="422"/>
      <c r="AU26" s="422"/>
      <c r="AV26" s="387"/>
      <c r="AW26" s="388"/>
      <c r="AX26" s="389"/>
      <c r="AY26" s="387"/>
      <c r="AZ26" s="388"/>
      <c r="BA26" s="389"/>
      <c r="BB26" s="387"/>
      <c r="BC26" s="388"/>
      <c r="BD26" s="389"/>
    </row>
    <row r="27" spans="1:56" ht="129" thickBot="1">
      <c r="A27" s="405"/>
      <c r="B27" s="407"/>
      <c r="C27" s="408"/>
      <c r="D27" s="409"/>
      <c r="E27" s="164"/>
      <c r="F27" s="164"/>
      <c r="G27" s="165" t="s">
        <v>213</v>
      </c>
      <c r="H27" s="165" t="s">
        <v>16</v>
      </c>
      <c r="I27" s="165" t="s">
        <v>214</v>
      </c>
      <c r="J27" s="407"/>
      <c r="K27" s="425"/>
      <c r="L27" s="428"/>
      <c r="M27" s="425"/>
      <c r="N27" s="429"/>
      <c r="O27" s="165" t="s">
        <v>208</v>
      </c>
      <c r="P27" s="173" t="s">
        <v>213</v>
      </c>
      <c r="Q27" s="165" t="s">
        <v>123</v>
      </c>
      <c r="R27" s="172"/>
      <c r="S27" s="27" t="str">
        <f t="shared" si="0"/>
        <v/>
      </c>
      <c r="T27" s="172"/>
      <c r="U27" s="27" t="str">
        <f t="shared" si="1"/>
        <v/>
      </c>
      <c r="V27" s="150"/>
      <c r="W27" s="27" t="str">
        <f t="shared" si="2"/>
        <v/>
      </c>
      <c r="X27" s="150"/>
      <c r="Y27" s="27" t="str">
        <f t="shared" si="3"/>
        <v/>
      </c>
      <c r="Z27" s="150"/>
      <c r="AA27" s="27" t="str">
        <f t="shared" si="4"/>
        <v/>
      </c>
      <c r="AB27" s="150"/>
      <c r="AC27" s="27" t="str">
        <f t="shared" si="5"/>
        <v/>
      </c>
      <c r="AD27" s="150"/>
      <c r="AE27" s="27" t="str">
        <f t="shared" si="6"/>
        <v/>
      </c>
      <c r="AF27" s="48" t="str">
        <f t="shared" si="7"/>
        <v/>
      </c>
      <c r="AG27" s="48" t="str">
        <f t="shared" si="8"/>
        <v/>
      </c>
      <c r="AH27" s="131"/>
      <c r="AI27" s="149" t="str">
        <f t="shared" si="9"/>
        <v>Débil</v>
      </c>
      <c r="AJ27" s="21" t="str">
        <f>IFERROR(VLOOKUP((CONCATENATE(AG27,AI27)),Listados!$U$3:$V$11,2,FALSE),"")</f>
        <v/>
      </c>
      <c r="AK27" s="48">
        <f t="shared" si="10"/>
        <v>100</v>
      </c>
      <c r="AL27" s="431"/>
      <c r="AM27" s="433"/>
      <c r="AN27" s="169">
        <f>+IF(AND(Q27="Preventivo",AM25="Fuerte"),2,IF(AND(Q27="Preventivo",AM25="Moderado"),1,0))</f>
        <v>0</v>
      </c>
      <c r="AO27" s="169">
        <f>+IF(AND(Q27="Detectivo",$AM25="Fuerte"),2,IF(AND(Q27="Detectivo",$AM25="Moderado"),1,IF(AND(Q27="Preventivo",$AM25="Fuerte"),1,0)))</f>
        <v>2</v>
      </c>
      <c r="AP27" s="169">
        <f>+K25-AN27</f>
        <v>1</v>
      </c>
      <c r="AQ27" s="169">
        <f>+M25-AO27</f>
        <v>3</v>
      </c>
      <c r="AR27" s="422"/>
      <c r="AS27" s="422"/>
      <c r="AT27" s="422"/>
      <c r="AU27" s="422"/>
      <c r="AV27" s="387"/>
      <c r="AW27" s="388"/>
      <c r="AX27" s="389"/>
      <c r="AY27" s="387"/>
      <c r="AZ27" s="388"/>
      <c r="BA27" s="389"/>
      <c r="BB27" s="387"/>
      <c r="BC27" s="388"/>
      <c r="BD27" s="389"/>
    </row>
    <row r="28" spans="1:56" ht="172.5" thickBot="1">
      <c r="A28" s="405"/>
      <c r="B28" s="407"/>
      <c r="C28" s="408"/>
      <c r="D28" s="409"/>
      <c r="E28" s="164"/>
      <c r="F28" s="164"/>
      <c r="G28" s="165" t="s">
        <v>215</v>
      </c>
      <c r="H28" s="165" t="s">
        <v>16</v>
      </c>
      <c r="I28" s="165" t="s">
        <v>214</v>
      </c>
      <c r="J28" s="407"/>
      <c r="K28" s="425"/>
      <c r="L28" s="428"/>
      <c r="M28" s="425"/>
      <c r="N28" s="429"/>
      <c r="O28" s="166" t="s">
        <v>216</v>
      </c>
      <c r="P28" s="173" t="s">
        <v>210</v>
      </c>
      <c r="Q28" s="165" t="s">
        <v>20</v>
      </c>
      <c r="R28" s="172"/>
      <c r="S28" s="27" t="str">
        <f t="shared" si="0"/>
        <v/>
      </c>
      <c r="T28" s="172"/>
      <c r="U28" s="27" t="str">
        <f t="shared" si="1"/>
        <v/>
      </c>
      <c r="V28" s="150"/>
      <c r="W28" s="27" t="str">
        <f t="shared" si="2"/>
        <v/>
      </c>
      <c r="X28" s="150"/>
      <c r="Y28" s="27" t="str">
        <f t="shared" si="3"/>
        <v/>
      </c>
      <c r="Z28" s="150"/>
      <c r="AA28" s="27" t="str">
        <f t="shared" si="4"/>
        <v/>
      </c>
      <c r="AB28" s="150"/>
      <c r="AC28" s="27" t="str">
        <f t="shared" si="5"/>
        <v/>
      </c>
      <c r="AD28" s="150"/>
      <c r="AE28" s="27" t="str">
        <f t="shared" si="6"/>
        <v/>
      </c>
      <c r="AF28" s="48" t="str">
        <f t="shared" si="7"/>
        <v/>
      </c>
      <c r="AG28" s="48" t="str">
        <f t="shared" si="8"/>
        <v/>
      </c>
      <c r="AH28" s="131"/>
      <c r="AI28" s="149" t="str">
        <f t="shared" si="9"/>
        <v>Débil</v>
      </c>
      <c r="AJ28" s="21" t="str">
        <f>IFERROR(VLOOKUP((CONCATENATE(AG28,AI28)),Listados!$U$3:$V$11,2,FALSE),"")</f>
        <v/>
      </c>
      <c r="AK28" s="48">
        <f t="shared" si="10"/>
        <v>100</v>
      </c>
      <c r="AL28" s="431"/>
      <c r="AM28" s="433"/>
      <c r="AN28" s="169">
        <f>+IF(AND(Q28="Preventivo",AM25="Fuerte"),2,IF(AND(Q28="Preventivo",AM25="Moderado"),1,0))</f>
        <v>2</v>
      </c>
      <c r="AO28" s="169">
        <f>+IF(AND(Q28="Detectivo",$AM25="Fuerte"),2,IF(AND(Q28="Detectivo",$AM25="Moderado"),1,IF(AND(Q28="Preventivo",$AM25="Fuerte"),1,0)))</f>
        <v>1</v>
      </c>
      <c r="AP28" s="169">
        <f>+K25-AN28</f>
        <v>-1</v>
      </c>
      <c r="AQ28" s="169">
        <f>+M25-AO28</f>
        <v>4</v>
      </c>
      <c r="AR28" s="422"/>
      <c r="AS28" s="422"/>
      <c r="AT28" s="422"/>
      <c r="AU28" s="422"/>
      <c r="AV28" s="387"/>
      <c r="AW28" s="388"/>
      <c r="AX28" s="389"/>
      <c r="AY28" s="387"/>
      <c r="AZ28" s="388"/>
      <c r="BA28" s="389"/>
      <c r="BB28" s="387"/>
      <c r="BC28" s="388"/>
      <c r="BD28" s="389"/>
    </row>
    <row r="29" spans="1:56" ht="15.75" thickBot="1">
      <c r="A29" s="405"/>
      <c r="B29" s="407"/>
      <c r="C29" s="408"/>
      <c r="D29" s="409"/>
      <c r="E29" s="164"/>
      <c r="F29" s="164"/>
      <c r="G29" s="165"/>
      <c r="H29" s="165"/>
      <c r="I29" s="165"/>
      <c r="J29" s="407"/>
      <c r="K29" s="425"/>
      <c r="L29" s="428"/>
      <c r="M29" s="425"/>
      <c r="N29" s="429"/>
      <c r="O29" s="164"/>
      <c r="P29" s="174"/>
      <c r="Q29" s="174"/>
      <c r="R29" s="172"/>
      <c r="S29" s="27" t="str">
        <f t="shared" si="0"/>
        <v/>
      </c>
      <c r="T29" s="172"/>
      <c r="U29" s="27" t="str">
        <f t="shared" si="1"/>
        <v/>
      </c>
      <c r="V29" s="150"/>
      <c r="W29" s="27" t="str">
        <f t="shared" si="2"/>
        <v/>
      </c>
      <c r="X29" s="150"/>
      <c r="Y29" s="27" t="str">
        <f t="shared" si="3"/>
        <v/>
      </c>
      <c r="Z29" s="150"/>
      <c r="AA29" s="27" t="str">
        <f t="shared" si="4"/>
        <v/>
      </c>
      <c r="AB29" s="150"/>
      <c r="AC29" s="27" t="str">
        <f t="shared" si="5"/>
        <v/>
      </c>
      <c r="AD29" s="150"/>
      <c r="AE29" s="27" t="str">
        <f t="shared" si="6"/>
        <v/>
      </c>
      <c r="AF29" s="48" t="str">
        <f t="shared" si="7"/>
        <v/>
      </c>
      <c r="AG29" s="48" t="str">
        <f t="shared" si="8"/>
        <v/>
      </c>
      <c r="AH29" s="131"/>
      <c r="AI29" s="149" t="str">
        <f t="shared" si="9"/>
        <v>Débil</v>
      </c>
      <c r="AJ29" s="21" t="str">
        <f>IFERROR(VLOOKUP((CONCATENATE(AG29,AI29)),Listados!$U$3:$V$11,2,FALSE),"")</f>
        <v/>
      </c>
      <c r="AK29" s="48">
        <f t="shared" si="10"/>
        <v>100</v>
      </c>
      <c r="AL29" s="431"/>
      <c r="AM29" s="433"/>
      <c r="AN29" s="169">
        <f>+IF(AND(Q29="Preventivo",AM25="Fuerte"),2,IF(AND(Q29="Preventivo",AM25="Moderado"),1,0))</f>
        <v>0</v>
      </c>
      <c r="AO29" s="169">
        <f>+IF(AND(Q29="Detectivo",$AM25="Fuerte"),2,IF(AND(Q29="Detectivo",$AM25="Moderado"),1,IF(AND(Q29="Preventivo",$AM25="Fuerte"),1,0)))</f>
        <v>0</v>
      </c>
      <c r="AP29" s="169">
        <f>+K25-AN29</f>
        <v>1</v>
      </c>
      <c r="AQ29" s="169">
        <f>+M25-AO29</f>
        <v>5</v>
      </c>
      <c r="AR29" s="422"/>
      <c r="AS29" s="422"/>
      <c r="AT29" s="422"/>
      <c r="AU29" s="422"/>
      <c r="AV29" s="387"/>
      <c r="AW29" s="388"/>
      <c r="AX29" s="389"/>
      <c r="AY29" s="387"/>
      <c r="AZ29" s="388"/>
      <c r="BA29" s="389"/>
      <c r="BB29" s="387"/>
      <c r="BC29" s="388"/>
      <c r="BD29" s="389"/>
    </row>
    <row r="30" spans="1:56" ht="15.75" thickBot="1">
      <c r="A30" s="406"/>
      <c r="B30" s="407"/>
      <c r="C30" s="408"/>
      <c r="D30" s="409"/>
      <c r="E30" s="164"/>
      <c r="F30" s="164"/>
      <c r="G30" s="165"/>
      <c r="H30" s="165"/>
      <c r="I30" s="165"/>
      <c r="J30" s="407"/>
      <c r="K30" s="426"/>
      <c r="L30" s="428"/>
      <c r="M30" s="426"/>
      <c r="N30" s="429"/>
      <c r="O30" s="164"/>
      <c r="P30" s="174"/>
      <c r="Q30" s="174"/>
      <c r="R30" s="172"/>
      <c r="S30" s="27" t="str">
        <f t="shared" si="0"/>
        <v/>
      </c>
      <c r="T30" s="172"/>
      <c r="U30" s="27" t="str">
        <f t="shared" si="1"/>
        <v/>
      </c>
      <c r="V30" s="150"/>
      <c r="W30" s="27" t="str">
        <f t="shared" si="2"/>
        <v/>
      </c>
      <c r="X30" s="150"/>
      <c r="Y30" s="27" t="str">
        <f t="shared" si="3"/>
        <v/>
      </c>
      <c r="Z30" s="150"/>
      <c r="AA30" s="27" t="str">
        <f t="shared" si="4"/>
        <v/>
      </c>
      <c r="AB30" s="150"/>
      <c r="AC30" s="27" t="str">
        <f t="shared" si="5"/>
        <v/>
      </c>
      <c r="AD30" s="150"/>
      <c r="AE30" s="27" t="str">
        <f t="shared" si="6"/>
        <v/>
      </c>
      <c r="AF30" s="48" t="str">
        <f t="shared" si="7"/>
        <v/>
      </c>
      <c r="AG30" s="48" t="str">
        <f t="shared" si="8"/>
        <v/>
      </c>
      <c r="AH30" s="131"/>
      <c r="AI30" s="149" t="str">
        <f t="shared" si="9"/>
        <v>Débil</v>
      </c>
      <c r="AJ30" s="21" t="str">
        <f>IFERROR(VLOOKUP((CONCATENATE(AG30,AI30)),Listados!$U$3:$V$11,2,FALSE),"")</f>
        <v/>
      </c>
      <c r="AK30" s="48">
        <f t="shared" si="10"/>
        <v>100</v>
      </c>
      <c r="AL30" s="432"/>
      <c r="AM30" s="433"/>
      <c r="AN30" s="169">
        <f>+IF(AND(Q30="Preventivo",AM25="Fuerte"),2,IF(AND(Q30="Preventivo",AM25="Moderado"),1,0))</f>
        <v>0</v>
      </c>
      <c r="AO30" s="169">
        <f>+IF(AND(Q30="Detectivo",$AM25="Fuerte"),2,IF(AND(Q30="Detectivo",$AM25="Moderado"),1,IF(AND(Q30="Preventivo",$AM25="Fuerte"),1,0)))</f>
        <v>0</v>
      </c>
      <c r="AP30" s="169">
        <f>+K25-AN30</f>
        <v>1</v>
      </c>
      <c r="AQ30" s="169">
        <f>+M25-AO30</f>
        <v>5</v>
      </c>
      <c r="AR30" s="423"/>
      <c r="AS30" s="423"/>
      <c r="AT30" s="423"/>
      <c r="AU30" s="423"/>
      <c r="AV30" s="387"/>
      <c r="AW30" s="388"/>
      <c r="AX30" s="389"/>
      <c r="AY30" s="387"/>
      <c r="AZ30" s="388"/>
      <c r="BA30" s="389"/>
      <c r="BB30" s="387"/>
      <c r="BC30" s="388"/>
      <c r="BD30" s="389"/>
    </row>
    <row r="31" spans="1:56" ht="197.25" customHeight="1" thickBot="1">
      <c r="A31" s="404">
        <v>5</v>
      </c>
      <c r="B31" s="407" t="s">
        <v>89</v>
      </c>
      <c r="C31" s="408" t="str">
        <f>IFERROR(VLOOKUP(B31,Listados!B$3:C$20,2,FALSE),"")</f>
        <v>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v>
      </c>
      <c r="D31" s="409" t="s">
        <v>217</v>
      </c>
      <c r="E31" s="164" t="s">
        <v>62</v>
      </c>
      <c r="F31" s="164"/>
      <c r="G31" s="165" t="s">
        <v>218</v>
      </c>
      <c r="H31" s="165" t="s">
        <v>16</v>
      </c>
      <c r="I31" s="165" t="s">
        <v>219</v>
      </c>
      <c r="J31" s="407" t="s">
        <v>21</v>
      </c>
      <c r="K31" s="424">
        <f>+VLOOKUP(J31,Listados!$K$8:$L$12,2,0)</f>
        <v>1</v>
      </c>
      <c r="L31" s="427" t="s">
        <v>54</v>
      </c>
      <c r="M31" s="424">
        <f>+VLOOKUP(L31,Listados!$K$13:$L$17,2,0)</f>
        <v>4</v>
      </c>
      <c r="N31" s="423" t="str">
        <f>IF(AND(J31&lt;&gt;"",L31&lt;&gt;""),VLOOKUP(J31&amp;L31,Listados!$M$3:$N$27,2,FALSE),"")</f>
        <v>Alto</v>
      </c>
      <c r="O31" s="175" t="s">
        <v>220</v>
      </c>
      <c r="P31" s="173" t="s">
        <v>218</v>
      </c>
      <c r="Q31" s="165" t="s">
        <v>20</v>
      </c>
      <c r="R31" s="172"/>
      <c r="S31" s="27" t="str">
        <f t="shared" si="0"/>
        <v/>
      </c>
      <c r="T31" s="172"/>
      <c r="U31" s="27" t="str">
        <f t="shared" si="1"/>
        <v/>
      </c>
      <c r="V31" s="150"/>
      <c r="W31" s="27" t="str">
        <f t="shared" si="2"/>
        <v/>
      </c>
      <c r="X31" s="150"/>
      <c r="Y31" s="27" t="str">
        <f t="shared" si="3"/>
        <v/>
      </c>
      <c r="Z31" s="150"/>
      <c r="AA31" s="27" t="str">
        <f t="shared" si="4"/>
        <v/>
      </c>
      <c r="AB31" s="150"/>
      <c r="AC31" s="27" t="str">
        <f t="shared" si="5"/>
        <v/>
      </c>
      <c r="AD31" s="150"/>
      <c r="AE31" s="27" t="str">
        <f t="shared" si="6"/>
        <v/>
      </c>
      <c r="AF31" s="48" t="str">
        <f t="shared" si="7"/>
        <v/>
      </c>
      <c r="AG31" s="48" t="str">
        <f t="shared" si="8"/>
        <v/>
      </c>
      <c r="AH31" s="131"/>
      <c r="AI31" s="149" t="str">
        <f t="shared" si="9"/>
        <v>Débil</v>
      </c>
      <c r="AJ31" s="21" t="str">
        <f>IFERROR(VLOOKUP((CONCATENATE(AG31,AI31)),Listados!$U$3:$V$11,2,FALSE),"")</f>
        <v/>
      </c>
      <c r="AK31" s="48">
        <f t="shared" si="10"/>
        <v>100</v>
      </c>
      <c r="AL31" s="430">
        <f>AVERAGE(AK31:AK36)</f>
        <v>100</v>
      </c>
      <c r="AM31" s="432" t="str">
        <f>IF(AL31&lt;=50, "Débil", IF(AL31&lt;=99,"Moderado","Fuerte"))</f>
        <v>Fuerte</v>
      </c>
      <c r="AN31" s="169">
        <f>+IF(AND(Q31="Preventivo",AM31="Fuerte"),2,IF(AND(Q31="Preventivo",AM31="Moderado"),1,0))</f>
        <v>2</v>
      </c>
      <c r="AO31" s="169">
        <f>+IF(AND(Q31="Detectivo",$AM31="Fuerte"),2,IF(AND(Q31="Detectivo",$AM31="Moderado"),1,IF(AND(Q31="Preventivo",$AM31="Fuerte"),1,0)))</f>
        <v>1</v>
      </c>
      <c r="AP31" s="169">
        <f>+K31-AN31</f>
        <v>-1</v>
      </c>
      <c r="AQ31" s="169">
        <f>+M31-AO31</f>
        <v>3</v>
      </c>
      <c r="AR31" s="421" t="str">
        <f>+VLOOKUP(MIN(AP31,AP32,AP33,AP34,AP35,AP36),Listados!$J$18:$K$24,2,TRUE)</f>
        <v>Rara Vez</v>
      </c>
      <c r="AS31" s="421" t="str">
        <f>+VLOOKUP(MIN(AQ31,AQ32,AQ33,AQ34,AQ35,AQ36),Listados!$J$26:$K$32,2,TRUE)</f>
        <v>Moderado</v>
      </c>
      <c r="AT31" s="421" t="str">
        <f>IF(AND(AR31&lt;&gt;"",AS31&lt;&gt;""),VLOOKUP(AR31&amp;AS31,Listados!$M$3:$N$27,2,FALSE),"")</f>
        <v>Moderado</v>
      </c>
      <c r="AU31" s="421" t="str">
        <f>+VLOOKUP(AT31,Listados!$P$3:$Q$6,2,FALSE)</f>
        <v xml:space="preserve"> Reducir el riesgo</v>
      </c>
      <c r="AV31" s="387"/>
      <c r="AW31" s="388"/>
      <c r="AX31" s="389"/>
      <c r="AY31" s="387"/>
      <c r="AZ31" s="388"/>
      <c r="BA31" s="389"/>
      <c r="BB31" s="387"/>
      <c r="BC31" s="388"/>
      <c r="BD31" s="389"/>
    </row>
    <row r="32" spans="1:56" ht="333.75" customHeight="1" thickBot="1">
      <c r="A32" s="405"/>
      <c r="B32" s="407"/>
      <c r="C32" s="408"/>
      <c r="D32" s="409"/>
      <c r="E32" s="164"/>
      <c r="F32" s="164"/>
      <c r="G32" s="165" t="s">
        <v>221</v>
      </c>
      <c r="H32" s="165" t="s">
        <v>16</v>
      </c>
      <c r="I32" s="165" t="s">
        <v>222</v>
      </c>
      <c r="J32" s="407"/>
      <c r="K32" s="425"/>
      <c r="L32" s="428"/>
      <c r="M32" s="425"/>
      <c r="N32" s="429"/>
      <c r="O32" s="175" t="s">
        <v>223</v>
      </c>
      <c r="P32" s="173" t="s">
        <v>221</v>
      </c>
      <c r="Q32" s="165" t="s">
        <v>20</v>
      </c>
      <c r="R32" s="172"/>
      <c r="S32" s="27" t="str">
        <f t="shared" si="0"/>
        <v/>
      </c>
      <c r="T32" s="172"/>
      <c r="U32" s="27" t="str">
        <f t="shared" si="1"/>
        <v/>
      </c>
      <c r="V32" s="150"/>
      <c r="W32" s="27" t="str">
        <f t="shared" si="2"/>
        <v/>
      </c>
      <c r="X32" s="150"/>
      <c r="Y32" s="27" t="str">
        <f t="shared" si="3"/>
        <v/>
      </c>
      <c r="Z32" s="150"/>
      <c r="AA32" s="27" t="str">
        <f t="shared" si="4"/>
        <v/>
      </c>
      <c r="AB32" s="150"/>
      <c r="AC32" s="27" t="str">
        <f t="shared" si="5"/>
        <v/>
      </c>
      <c r="AD32" s="150"/>
      <c r="AE32" s="27" t="str">
        <f t="shared" si="6"/>
        <v/>
      </c>
      <c r="AF32" s="48" t="str">
        <f t="shared" si="7"/>
        <v/>
      </c>
      <c r="AG32" s="48" t="str">
        <f t="shared" si="8"/>
        <v/>
      </c>
      <c r="AH32" s="131"/>
      <c r="AI32" s="149" t="str">
        <f t="shared" si="9"/>
        <v>Débil</v>
      </c>
      <c r="AJ32" s="21" t="str">
        <f>IFERROR(VLOOKUP((CONCATENATE(AG32,AI32)),Listados!$U$3:$V$11,2,FALSE),"")</f>
        <v/>
      </c>
      <c r="AK32" s="48">
        <f t="shared" si="10"/>
        <v>100</v>
      </c>
      <c r="AL32" s="431"/>
      <c r="AM32" s="433"/>
      <c r="AN32" s="169">
        <f>+IF(AND(Q32="Preventivo",AM31="Fuerte"),2,IF(AND(Q32="Preventivo",AM31="Moderado"),1,0))</f>
        <v>2</v>
      </c>
      <c r="AO32" s="169">
        <f>+IF(AND(Q32="Detectivo",$AM31="Fuerte"),2,IF(AND(Q32="Detectivo",$AM31="Moderado"),1,IF(AND(Q32="Preventivo",$AM31="Fuerte"),1,0)))</f>
        <v>1</v>
      </c>
      <c r="AP32" s="169">
        <f>+K31-AN32</f>
        <v>-1</v>
      </c>
      <c r="AQ32" s="169">
        <f>+M31-AO32</f>
        <v>3</v>
      </c>
      <c r="AR32" s="422"/>
      <c r="AS32" s="422"/>
      <c r="AT32" s="422"/>
      <c r="AU32" s="422"/>
      <c r="AV32" s="387"/>
      <c r="AW32" s="388"/>
      <c r="AX32" s="389"/>
      <c r="AY32" s="387"/>
      <c r="AZ32" s="388"/>
      <c r="BA32" s="389"/>
      <c r="BB32" s="387"/>
      <c r="BC32" s="388"/>
      <c r="BD32" s="389"/>
    </row>
    <row r="33" spans="1:56" ht="296.25" customHeight="1" thickBot="1">
      <c r="A33" s="405"/>
      <c r="B33" s="407"/>
      <c r="C33" s="408"/>
      <c r="D33" s="409"/>
      <c r="E33" s="164"/>
      <c r="F33" s="164"/>
      <c r="G33" s="165" t="s">
        <v>224</v>
      </c>
      <c r="H33" s="165" t="s">
        <v>16</v>
      </c>
      <c r="I33" s="165" t="s">
        <v>222</v>
      </c>
      <c r="J33" s="407"/>
      <c r="K33" s="425"/>
      <c r="L33" s="428"/>
      <c r="M33" s="425"/>
      <c r="N33" s="429"/>
      <c r="O33" s="175" t="s">
        <v>223</v>
      </c>
      <c r="P33" s="173" t="s">
        <v>224</v>
      </c>
      <c r="Q33" s="165" t="s">
        <v>20</v>
      </c>
      <c r="R33" s="172"/>
      <c r="S33" s="27" t="str">
        <f t="shared" si="0"/>
        <v/>
      </c>
      <c r="T33" s="172"/>
      <c r="U33" s="27" t="str">
        <f t="shared" si="1"/>
        <v/>
      </c>
      <c r="V33" s="150"/>
      <c r="W33" s="27" t="str">
        <f t="shared" si="2"/>
        <v/>
      </c>
      <c r="X33" s="150"/>
      <c r="Y33" s="27" t="str">
        <f t="shared" si="3"/>
        <v/>
      </c>
      <c r="Z33" s="150"/>
      <c r="AA33" s="27" t="str">
        <f t="shared" si="4"/>
        <v/>
      </c>
      <c r="AB33" s="150"/>
      <c r="AC33" s="27" t="str">
        <f t="shared" si="5"/>
        <v/>
      </c>
      <c r="AD33" s="150"/>
      <c r="AE33" s="27" t="str">
        <f t="shared" si="6"/>
        <v/>
      </c>
      <c r="AF33" s="48" t="str">
        <f t="shared" si="7"/>
        <v/>
      </c>
      <c r="AG33" s="48" t="str">
        <f t="shared" si="8"/>
        <v/>
      </c>
      <c r="AH33" s="131"/>
      <c r="AI33" s="149" t="str">
        <f t="shared" si="9"/>
        <v>Débil</v>
      </c>
      <c r="AJ33" s="21" t="str">
        <f>IFERROR(VLOOKUP((CONCATENATE(AG33,AI33)),Listados!$U$3:$V$11,2,FALSE),"")</f>
        <v/>
      </c>
      <c r="AK33" s="48">
        <f t="shared" si="10"/>
        <v>100</v>
      </c>
      <c r="AL33" s="431"/>
      <c r="AM33" s="433"/>
      <c r="AN33" s="169">
        <f>+IF(AND(Q33="Preventivo",AM31="Fuerte"),2,IF(AND(Q33="Preventivo",AM31="Moderado"),1,0))</f>
        <v>2</v>
      </c>
      <c r="AO33" s="169">
        <f>+IF(AND(Q33="Detectivo",$AM31="Fuerte"),2,IF(AND(Q33="Detectivo",$AM31="Moderado"),1,IF(AND(Q33="Preventivo",$AM31="Fuerte"),1,0)))</f>
        <v>1</v>
      </c>
      <c r="AP33" s="169">
        <f>+K31-AN33</f>
        <v>-1</v>
      </c>
      <c r="AQ33" s="169">
        <f>+M31-AO33</f>
        <v>3</v>
      </c>
      <c r="AR33" s="422"/>
      <c r="AS33" s="422"/>
      <c r="AT33" s="422"/>
      <c r="AU33" s="422"/>
      <c r="AV33" s="387"/>
      <c r="AW33" s="388"/>
      <c r="AX33" s="389"/>
      <c r="AY33" s="387"/>
      <c r="AZ33" s="388"/>
      <c r="BA33" s="389"/>
      <c r="BB33" s="387"/>
      <c r="BC33" s="388"/>
      <c r="BD33" s="389"/>
    </row>
    <row r="34" spans="1:56" ht="223.5" customHeight="1" thickBot="1">
      <c r="A34" s="405"/>
      <c r="B34" s="407"/>
      <c r="C34" s="408"/>
      <c r="D34" s="409"/>
      <c r="E34" s="164"/>
      <c r="F34" s="164"/>
      <c r="G34" s="165" t="s">
        <v>225</v>
      </c>
      <c r="H34" s="165" t="s">
        <v>30</v>
      </c>
      <c r="I34" s="165" t="s">
        <v>226</v>
      </c>
      <c r="J34" s="407"/>
      <c r="K34" s="425"/>
      <c r="L34" s="428"/>
      <c r="M34" s="425"/>
      <c r="N34" s="429"/>
      <c r="O34" s="175" t="s">
        <v>227</v>
      </c>
      <c r="P34" s="173" t="s">
        <v>225</v>
      </c>
      <c r="Q34" s="165" t="s">
        <v>20</v>
      </c>
      <c r="R34" s="172"/>
      <c r="S34" s="27" t="str">
        <f t="shared" si="0"/>
        <v/>
      </c>
      <c r="T34" s="172"/>
      <c r="U34" s="27" t="str">
        <f t="shared" si="1"/>
        <v/>
      </c>
      <c r="V34" s="150"/>
      <c r="W34" s="27" t="str">
        <f t="shared" si="2"/>
        <v/>
      </c>
      <c r="X34" s="150"/>
      <c r="Y34" s="27" t="str">
        <f t="shared" si="3"/>
        <v/>
      </c>
      <c r="Z34" s="150"/>
      <c r="AA34" s="27" t="str">
        <f t="shared" si="4"/>
        <v/>
      </c>
      <c r="AB34" s="150"/>
      <c r="AC34" s="27" t="str">
        <f t="shared" si="5"/>
        <v/>
      </c>
      <c r="AD34" s="150"/>
      <c r="AE34" s="27" t="str">
        <f t="shared" si="6"/>
        <v/>
      </c>
      <c r="AF34" s="48" t="str">
        <f t="shared" si="7"/>
        <v/>
      </c>
      <c r="AG34" s="48" t="str">
        <f t="shared" si="8"/>
        <v/>
      </c>
      <c r="AH34" s="131"/>
      <c r="AI34" s="149" t="str">
        <f t="shared" si="9"/>
        <v>Débil</v>
      </c>
      <c r="AJ34" s="21" t="str">
        <f>IFERROR(VLOOKUP((CONCATENATE(AG34,AI34)),Listados!$U$3:$V$11,2,FALSE),"")</f>
        <v/>
      </c>
      <c r="AK34" s="48">
        <f t="shared" si="10"/>
        <v>100</v>
      </c>
      <c r="AL34" s="431"/>
      <c r="AM34" s="433"/>
      <c r="AN34" s="169">
        <f>+IF(AND(Q34="Preventivo",AM31="Fuerte"),2,IF(AND(Q34="Preventivo",AM31="Moderado"),1,0))</f>
        <v>2</v>
      </c>
      <c r="AO34" s="169">
        <f>+IF(AND(Q34="Detectivo",$AM31="Fuerte"),2,IF(AND(Q34="Detectivo",$AM31="Moderado"),1,IF(AND(Q34="Preventivo",$AM31="Fuerte"),1,0)))</f>
        <v>1</v>
      </c>
      <c r="AP34" s="169">
        <f>+K31-AN34</f>
        <v>-1</v>
      </c>
      <c r="AQ34" s="169">
        <f>+M31-AO34</f>
        <v>3</v>
      </c>
      <c r="AR34" s="422"/>
      <c r="AS34" s="422"/>
      <c r="AT34" s="422"/>
      <c r="AU34" s="422"/>
      <c r="AV34" s="387"/>
      <c r="AW34" s="388"/>
      <c r="AX34" s="389"/>
      <c r="AY34" s="387"/>
      <c r="AZ34" s="388"/>
      <c r="BA34" s="389"/>
      <c r="BB34" s="387"/>
      <c r="BC34" s="388"/>
      <c r="BD34" s="389"/>
    </row>
    <row r="35" spans="1:56" ht="15.75" thickBot="1">
      <c r="A35" s="405"/>
      <c r="B35" s="407"/>
      <c r="C35" s="408"/>
      <c r="D35" s="409"/>
      <c r="E35" s="164"/>
      <c r="F35" s="164"/>
      <c r="G35" s="165"/>
      <c r="H35" s="165"/>
      <c r="I35" s="165"/>
      <c r="J35" s="407"/>
      <c r="K35" s="425"/>
      <c r="L35" s="428"/>
      <c r="M35" s="425"/>
      <c r="N35" s="429"/>
      <c r="O35" s="47"/>
      <c r="P35" s="102"/>
      <c r="Q35" s="57"/>
      <c r="R35" s="172"/>
      <c r="S35" s="27" t="str">
        <f t="shared" si="0"/>
        <v/>
      </c>
      <c r="T35" s="172"/>
      <c r="U35" s="27" t="str">
        <f t="shared" si="1"/>
        <v/>
      </c>
      <c r="V35" s="150"/>
      <c r="W35" s="27" t="str">
        <f t="shared" si="2"/>
        <v/>
      </c>
      <c r="X35" s="150"/>
      <c r="Y35" s="27" t="str">
        <f t="shared" si="3"/>
        <v/>
      </c>
      <c r="Z35" s="150"/>
      <c r="AA35" s="27" t="str">
        <f t="shared" si="4"/>
        <v/>
      </c>
      <c r="AB35" s="150"/>
      <c r="AC35" s="27" t="str">
        <f t="shared" si="5"/>
        <v/>
      </c>
      <c r="AD35" s="150"/>
      <c r="AE35" s="27" t="str">
        <f t="shared" si="6"/>
        <v/>
      </c>
      <c r="AF35" s="48" t="str">
        <f t="shared" si="7"/>
        <v/>
      </c>
      <c r="AG35" s="48" t="str">
        <f t="shared" si="8"/>
        <v/>
      </c>
      <c r="AH35" s="131"/>
      <c r="AI35" s="149" t="str">
        <f t="shared" si="9"/>
        <v>Débil</v>
      </c>
      <c r="AJ35" s="21" t="str">
        <f>IFERROR(VLOOKUP((CONCATENATE(AG35,AI35)),Listados!$U$3:$V$11,2,FALSE),"")</f>
        <v/>
      </c>
      <c r="AK35" s="48">
        <f t="shared" si="10"/>
        <v>100</v>
      </c>
      <c r="AL35" s="431"/>
      <c r="AM35" s="433"/>
      <c r="AN35" s="169">
        <f>+IF(AND(Q35="Preventivo",AM31="Fuerte"),2,IF(AND(Q35="Preventivo",AM31="Moderado"),1,0))</f>
        <v>0</v>
      </c>
      <c r="AO35" s="169">
        <f>+IF(AND(Q35="Detectivo",$AM31="Fuerte"),2,IF(AND(Q35="Detectivo",$AM31="Moderado"),1,IF(AND(Q35="Preventivo",$AM31="Fuerte"),1,0)))</f>
        <v>0</v>
      </c>
      <c r="AP35" s="169">
        <f>+K31-AN35</f>
        <v>1</v>
      </c>
      <c r="AQ35" s="169">
        <f>+M31-AO35</f>
        <v>4</v>
      </c>
      <c r="AR35" s="422"/>
      <c r="AS35" s="422"/>
      <c r="AT35" s="422"/>
      <c r="AU35" s="422"/>
      <c r="AV35" s="387"/>
      <c r="AW35" s="388"/>
      <c r="AX35" s="389"/>
      <c r="AY35" s="387"/>
      <c r="AZ35" s="388"/>
      <c r="BA35" s="389"/>
      <c r="BB35" s="387"/>
      <c r="BC35" s="388"/>
      <c r="BD35" s="389"/>
    </row>
    <row r="36" spans="1:56" ht="15.75" thickBot="1">
      <c r="A36" s="406"/>
      <c r="B36" s="407"/>
      <c r="C36" s="408"/>
      <c r="D36" s="409"/>
      <c r="E36" s="164"/>
      <c r="F36" s="164"/>
      <c r="G36" s="165"/>
      <c r="H36" s="165"/>
      <c r="I36" s="165"/>
      <c r="J36" s="407"/>
      <c r="K36" s="426"/>
      <c r="L36" s="428"/>
      <c r="M36" s="426"/>
      <c r="N36" s="429"/>
      <c r="O36" s="101"/>
      <c r="P36" s="176"/>
      <c r="Q36" s="176"/>
      <c r="R36" s="172"/>
      <c r="S36" s="27" t="str">
        <f t="shared" si="0"/>
        <v/>
      </c>
      <c r="T36" s="172"/>
      <c r="U36" s="27" t="str">
        <f t="shared" si="1"/>
        <v/>
      </c>
      <c r="V36" s="150"/>
      <c r="W36" s="27" t="str">
        <f t="shared" si="2"/>
        <v/>
      </c>
      <c r="X36" s="150"/>
      <c r="Y36" s="27" t="str">
        <f t="shared" si="3"/>
        <v/>
      </c>
      <c r="Z36" s="150"/>
      <c r="AA36" s="27" t="str">
        <f t="shared" si="4"/>
        <v/>
      </c>
      <c r="AB36" s="150"/>
      <c r="AC36" s="27" t="str">
        <f t="shared" si="5"/>
        <v/>
      </c>
      <c r="AD36" s="150"/>
      <c r="AE36" s="27" t="str">
        <f t="shared" si="6"/>
        <v/>
      </c>
      <c r="AF36" s="48" t="str">
        <f t="shared" si="7"/>
        <v/>
      </c>
      <c r="AG36" s="48" t="str">
        <f t="shared" si="8"/>
        <v/>
      </c>
      <c r="AH36" s="131"/>
      <c r="AI36" s="149" t="str">
        <f t="shared" si="9"/>
        <v>Débil</v>
      </c>
      <c r="AJ36" s="21" t="str">
        <f>IFERROR(VLOOKUP((CONCATENATE(AG36,AI36)),Listados!$U$3:$V$11,2,FALSE),"")</f>
        <v/>
      </c>
      <c r="AK36" s="48">
        <f t="shared" si="10"/>
        <v>100</v>
      </c>
      <c r="AL36" s="432"/>
      <c r="AM36" s="433"/>
      <c r="AN36" s="169">
        <f>+IF(AND(Q36="Preventivo",AM31="Fuerte"),2,IF(AND(Q36="Preventivo",AM31="Moderado"),1,0))</f>
        <v>0</v>
      </c>
      <c r="AO36" s="169">
        <f>+IF(AND(Q36="Detectivo",$AM31="Fuerte"),2,IF(AND(Q36="Detectivo",$AM31="Moderado"),1,IF(AND(Q36="Preventivo",$AM31="Fuerte"),1,0)))</f>
        <v>0</v>
      </c>
      <c r="AP36" s="169">
        <f>+K31-AN36</f>
        <v>1</v>
      </c>
      <c r="AQ36" s="169">
        <f>+M31-AO36</f>
        <v>4</v>
      </c>
      <c r="AR36" s="423"/>
      <c r="AS36" s="423"/>
      <c r="AT36" s="423"/>
      <c r="AU36" s="423"/>
      <c r="AV36" s="387"/>
      <c r="AW36" s="388"/>
      <c r="AX36" s="389"/>
      <c r="AY36" s="387"/>
      <c r="AZ36" s="388"/>
      <c r="BA36" s="389"/>
      <c r="BB36" s="387"/>
      <c r="BC36" s="388"/>
      <c r="BD36" s="389"/>
    </row>
    <row r="37" spans="1:56" ht="358.5" customHeight="1" thickBot="1">
      <c r="A37" s="404">
        <v>6</v>
      </c>
      <c r="B37" s="407" t="s">
        <v>89</v>
      </c>
      <c r="C37" s="408" t="str">
        <f>IFERROR(VLOOKUP(B37,Listados!B$3:C$20,2,FALSE),"")</f>
        <v>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v>
      </c>
      <c r="D37" s="409" t="s">
        <v>228</v>
      </c>
      <c r="E37" s="164" t="s">
        <v>62</v>
      </c>
      <c r="F37" s="164"/>
      <c r="G37" s="165" t="s">
        <v>229</v>
      </c>
      <c r="H37" s="165" t="s">
        <v>16</v>
      </c>
      <c r="I37" s="165" t="s">
        <v>226</v>
      </c>
      <c r="J37" s="407" t="s">
        <v>21</v>
      </c>
      <c r="K37" s="424">
        <f>+VLOOKUP(J37,Listados!$K$8:$L$12,2,0)</f>
        <v>1</v>
      </c>
      <c r="L37" s="427" t="s">
        <v>54</v>
      </c>
      <c r="M37" s="424">
        <f>+VLOOKUP(L37,Listados!$K$13:$L$17,2,0)</f>
        <v>4</v>
      </c>
      <c r="N37" s="434" t="str">
        <f>IF(AND(J37&lt;&gt;"",L37&lt;&gt;""),VLOOKUP(J37&amp;L37,Listados!$M$3:$N$27,2,FALSE),"")</f>
        <v>Alto</v>
      </c>
      <c r="O37" s="177" t="s">
        <v>230</v>
      </c>
      <c r="P37" s="178" t="s">
        <v>229</v>
      </c>
      <c r="Q37" s="165" t="s">
        <v>20</v>
      </c>
      <c r="R37" s="172"/>
      <c r="S37" s="27" t="str">
        <f t="shared" si="0"/>
        <v/>
      </c>
      <c r="T37" s="172"/>
      <c r="U37" s="27" t="str">
        <f t="shared" si="1"/>
        <v/>
      </c>
      <c r="V37" s="150"/>
      <c r="W37" s="27" t="str">
        <f t="shared" si="2"/>
        <v/>
      </c>
      <c r="X37" s="150"/>
      <c r="Y37" s="27" t="str">
        <f t="shared" si="3"/>
        <v/>
      </c>
      <c r="Z37" s="150"/>
      <c r="AA37" s="27" t="str">
        <f t="shared" si="4"/>
        <v/>
      </c>
      <c r="AB37" s="150"/>
      <c r="AC37" s="27" t="str">
        <f t="shared" si="5"/>
        <v/>
      </c>
      <c r="AD37" s="150"/>
      <c r="AE37" s="27" t="str">
        <f t="shared" si="6"/>
        <v/>
      </c>
      <c r="AF37" s="48" t="str">
        <f t="shared" si="7"/>
        <v/>
      </c>
      <c r="AG37" s="48" t="str">
        <f t="shared" si="8"/>
        <v/>
      </c>
      <c r="AH37" s="131"/>
      <c r="AI37" s="149" t="str">
        <f t="shared" si="9"/>
        <v>Débil</v>
      </c>
      <c r="AJ37" s="21" t="str">
        <f>IFERROR(VLOOKUP((CONCATENATE(AG37,AI37)),Listados!$U$3:$V$11,2,FALSE),"")</f>
        <v/>
      </c>
      <c r="AK37" s="48">
        <f t="shared" si="10"/>
        <v>100</v>
      </c>
      <c r="AL37" s="430">
        <f>AVERAGE(AK37:AK42)</f>
        <v>100</v>
      </c>
      <c r="AM37" s="432" t="str">
        <f>IF(AL37&lt;=50, "Débil", IF(AL37&lt;=99,"Moderado","Fuerte"))</f>
        <v>Fuerte</v>
      </c>
      <c r="AN37" s="169">
        <f>+IF(AND(Q37="Preventivo",AM37="Fuerte"),2,IF(AND(Q37="Preventivo",AM37="Moderado"),1,0))</f>
        <v>2</v>
      </c>
      <c r="AO37" s="169">
        <f t="shared" ref="AO37:AO77" si="11">+IF(AND(Q37="Detectivo",$AM$7="Fuerte"),2,IF(AND(Q37="Detectivo",$AM$7="Moderado"),1,IF(AND(Q37="Preventivo",$AM$7="Fuerte"),1,0)))</f>
        <v>1</v>
      </c>
      <c r="AP37" s="169">
        <f>+K37-AN37</f>
        <v>-1</v>
      </c>
      <c r="AQ37" s="169">
        <f>+M37-AO37</f>
        <v>3</v>
      </c>
      <c r="AR37" s="421" t="str">
        <f>+VLOOKUP(MIN(AP37,AP38,AP39,AP40,AP41,AP42),Listados!$J$18:$K$24,2,TRUE)</f>
        <v>Rara Vez</v>
      </c>
      <c r="AS37" s="421" t="str">
        <f>+VLOOKUP(MIN(AQ37,AQ38,AQ39,AQ40,AQ41,AQ42),Listados!$J$26:$K$32,2,TRUE)</f>
        <v>Moderado</v>
      </c>
      <c r="AT37" s="421" t="str">
        <f>IF(AND(AR37&lt;&gt;"",AS37&lt;&gt;""),VLOOKUP(AR37&amp;AS37,Listados!$M$3:$N$27,2,FALSE),"")</f>
        <v>Moderado</v>
      </c>
      <c r="AU37" s="421" t="str">
        <f>+VLOOKUP(AT37,Listados!$P$3:$Q$6,2,FALSE)</f>
        <v xml:space="preserve"> Reducir el riesgo</v>
      </c>
      <c r="AV37" s="387"/>
      <c r="AW37" s="388"/>
      <c r="AX37" s="389"/>
      <c r="AY37" s="387"/>
      <c r="AZ37" s="388"/>
      <c r="BA37" s="389"/>
      <c r="BB37" s="387"/>
      <c r="BC37" s="388"/>
      <c r="BD37" s="389"/>
    </row>
    <row r="38" spans="1:56" ht="269.25" customHeight="1" thickBot="1">
      <c r="A38" s="405"/>
      <c r="B38" s="407"/>
      <c r="C38" s="408"/>
      <c r="D38" s="409"/>
      <c r="E38" s="164"/>
      <c r="F38" s="164"/>
      <c r="G38" s="165" t="s">
        <v>225</v>
      </c>
      <c r="H38" s="165" t="s">
        <v>30</v>
      </c>
      <c r="I38" s="165" t="s">
        <v>231</v>
      </c>
      <c r="J38" s="407"/>
      <c r="K38" s="425"/>
      <c r="L38" s="428"/>
      <c r="M38" s="425"/>
      <c r="N38" s="435"/>
      <c r="O38" s="177" t="s">
        <v>232</v>
      </c>
      <c r="P38" s="163" t="s">
        <v>225</v>
      </c>
      <c r="Q38" s="165" t="s">
        <v>20</v>
      </c>
      <c r="R38" s="172"/>
      <c r="S38" s="27" t="str">
        <f t="shared" si="0"/>
        <v/>
      </c>
      <c r="T38" s="172"/>
      <c r="U38" s="27" t="str">
        <f t="shared" si="1"/>
        <v/>
      </c>
      <c r="V38" s="150"/>
      <c r="W38" s="27" t="str">
        <f t="shared" si="2"/>
        <v/>
      </c>
      <c r="X38" s="150"/>
      <c r="Y38" s="27" t="str">
        <f t="shared" si="3"/>
        <v/>
      </c>
      <c r="Z38" s="150"/>
      <c r="AA38" s="27" t="str">
        <f t="shared" si="4"/>
        <v/>
      </c>
      <c r="AB38" s="150"/>
      <c r="AC38" s="27" t="str">
        <f t="shared" si="5"/>
        <v/>
      </c>
      <c r="AD38" s="150"/>
      <c r="AE38" s="27" t="str">
        <f t="shared" si="6"/>
        <v/>
      </c>
      <c r="AF38" s="48" t="str">
        <f t="shared" si="7"/>
        <v/>
      </c>
      <c r="AG38" s="48" t="str">
        <f t="shared" si="8"/>
        <v/>
      </c>
      <c r="AH38" s="131"/>
      <c r="AI38" s="149" t="str">
        <f t="shared" si="9"/>
        <v>Débil</v>
      </c>
      <c r="AJ38" s="21" t="str">
        <f>IFERROR(VLOOKUP((CONCATENATE(AG38,AI38)),Listados!$U$3:$V$11,2,FALSE),"")</f>
        <v/>
      </c>
      <c r="AK38" s="48">
        <f t="shared" si="10"/>
        <v>100</v>
      </c>
      <c r="AL38" s="431"/>
      <c r="AM38" s="433"/>
      <c r="AN38" s="169">
        <f>+IF(AND(Q38="Preventivo",AM37="Fuerte"),2,IF(AND(Q38="Preventivo",AM37="Moderado"),1,0))</f>
        <v>2</v>
      </c>
      <c r="AO38" s="169">
        <f t="shared" si="11"/>
        <v>1</v>
      </c>
      <c r="AP38" s="169">
        <f>+K37-AN38</f>
        <v>-1</v>
      </c>
      <c r="AQ38" s="169">
        <f>+M37-AO38</f>
        <v>3</v>
      </c>
      <c r="AR38" s="422"/>
      <c r="AS38" s="422"/>
      <c r="AT38" s="422"/>
      <c r="AU38" s="422"/>
      <c r="AV38" s="387"/>
      <c r="AW38" s="388"/>
      <c r="AX38" s="389"/>
      <c r="AY38" s="387"/>
      <c r="AZ38" s="388"/>
      <c r="BA38" s="389"/>
      <c r="BB38" s="387"/>
      <c r="BC38" s="388"/>
      <c r="BD38" s="389"/>
    </row>
    <row r="39" spans="1:56" ht="363.75" customHeight="1" thickBot="1">
      <c r="A39" s="405"/>
      <c r="B39" s="407"/>
      <c r="C39" s="408"/>
      <c r="D39" s="409"/>
      <c r="E39" s="164"/>
      <c r="F39" s="164"/>
      <c r="G39" s="165" t="s">
        <v>233</v>
      </c>
      <c r="H39" s="165" t="s">
        <v>16</v>
      </c>
      <c r="I39" s="165" t="s">
        <v>222</v>
      </c>
      <c r="J39" s="407"/>
      <c r="K39" s="425"/>
      <c r="L39" s="428"/>
      <c r="M39" s="425"/>
      <c r="N39" s="435"/>
      <c r="O39" s="177" t="s">
        <v>234</v>
      </c>
      <c r="P39" s="178" t="s">
        <v>233</v>
      </c>
      <c r="Q39" s="165" t="s">
        <v>20</v>
      </c>
      <c r="R39" s="172"/>
      <c r="S39" s="27" t="str">
        <f t="shared" si="0"/>
        <v/>
      </c>
      <c r="T39" s="172"/>
      <c r="U39" s="27" t="str">
        <f t="shared" si="1"/>
        <v/>
      </c>
      <c r="V39" s="150"/>
      <c r="W39" s="27" t="str">
        <f t="shared" si="2"/>
        <v/>
      </c>
      <c r="X39" s="150"/>
      <c r="Y39" s="27" t="str">
        <f t="shared" si="3"/>
        <v/>
      </c>
      <c r="Z39" s="150"/>
      <c r="AA39" s="27" t="str">
        <f t="shared" si="4"/>
        <v/>
      </c>
      <c r="AB39" s="150"/>
      <c r="AC39" s="27" t="str">
        <f t="shared" si="5"/>
        <v/>
      </c>
      <c r="AD39" s="150"/>
      <c r="AE39" s="27" t="str">
        <f t="shared" si="6"/>
        <v/>
      </c>
      <c r="AF39" s="48" t="str">
        <f t="shared" si="7"/>
        <v/>
      </c>
      <c r="AG39" s="48" t="str">
        <f t="shared" si="8"/>
        <v/>
      </c>
      <c r="AH39" s="131"/>
      <c r="AI39" s="149" t="str">
        <f t="shared" si="9"/>
        <v>Débil</v>
      </c>
      <c r="AJ39" s="21" t="str">
        <f>IFERROR(VLOOKUP((CONCATENATE(AG39,AI39)),Listados!$U$3:$V$11,2,FALSE),"")</f>
        <v/>
      </c>
      <c r="AK39" s="48">
        <f t="shared" si="10"/>
        <v>100</v>
      </c>
      <c r="AL39" s="431"/>
      <c r="AM39" s="433"/>
      <c r="AN39" s="169">
        <f>+IF(AND(Q39="Preventivo",AM37="Fuerte"),2,IF(AND(Q39="Preventivo",AM37="Moderado"),1,0))</f>
        <v>2</v>
      </c>
      <c r="AO39" s="169">
        <f t="shared" si="11"/>
        <v>1</v>
      </c>
      <c r="AP39" s="169">
        <f>+K37-AN39</f>
        <v>-1</v>
      </c>
      <c r="AQ39" s="169">
        <f>+M37-AO39</f>
        <v>3</v>
      </c>
      <c r="AR39" s="422"/>
      <c r="AS39" s="422"/>
      <c r="AT39" s="422"/>
      <c r="AU39" s="422"/>
      <c r="AV39" s="387"/>
      <c r="AW39" s="388"/>
      <c r="AX39" s="389"/>
      <c r="AY39" s="387"/>
      <c r="AZ39" s="388"/>
      <c r="BA39" s="389"/>
      <c r="BB39" s="387"/>
      <c r="BC39" s="388"/>
      <c r="BD39" s="389"/>
    </row>
    <row r="40" spans="1:56" ht="313.5" customHeight="1" thickBot="1">
      <c r="A40" s="405"/>
      <c r="B40" s="407"/>
      <c r="C40" s="408"/>
      <c r="D40" s="409"/>
      <c r="E40" s="164"/>
      <c r="F40" s="164"/>
      <c r="G40" s="165" t="s">
        <v>235</v>
      </c>
      <c r="H40" s="165" t="s">
        <v>16</v>
      </c>
      <c r="I40" s="165" t="s">
        <v>236</v>
      </c>
      <c r="J40" s="407"/>
      <c r="K40" s="425"/>
      <c r="L40" s="428"/>
      <c r="M40" s="425"/>
      <c r="N40" s="435"/>
      <c r="O40" s="177" t="s">
        <v>237</v>
      </c>
      <c r="P40" s="163" t="s">
        <v>235</v>
      </c>
      <c r="Q40" s="165" t="s">
        <v>20</v>
      </c>
      <c r="R40" s="172"/>
      <c r="S40" s="27" t="str">
        <f t="shared" si="0"/>
        <v/>
      </c>
      <c r="T40" s="172"/>
      <c r="U40" s="27" t="str">
        <f t="shared" si="1"/>
        <v/>
      </c>
      <c r="V40" s="150"/>
      <c r="W40" s="27" t="str">
        <f t="shared" si="2"/>
        <v/>
      </c>
      <c r="X40" s="150"/>
      <c r="Y40" s="27" t="str">
        <f t="shared" si="3"/>
        <v/>
      </c>
      <c r="Z40" s="150"/>
      <c r="AA40" s="27" t="str">
        <f t="shared" si="4"/>
        <v/>
      </c>
      <c r="AB40" s="150"/>
      <c r="AC40" s="27" t="str">
        <f t="shared" si="5"/>
        <v/>
      </c>
      <c r="AD40" s="150"/>
      <c r="AE40" s="27" t="str">
        <f t="shared" si="6"/>
        <v/>
      </c>
      <c r="AF40" s="48" t="str">
        <f t="shared" si="7"/>
        <v/>
      </c>
      <c r="AG40" s="48" t="str">
        <f t="shared" si="8"/>
        <v/>
      </c>
      <c r="AH40" s="131"/>
      <c r="AI40" s="149" t="str">
        <f t="shared" si="9"/>
        <v>Débil</v>
      </c>
      <c r="AJ40" s="21" t="str">
        <f>IFERROR(VLOOKUP((CONCATENATE(AG40,AI40)),Listados!$U$3:$V$11,2,FALSE),"")</f>
        <v/>
      </c>
      <c r="AK40" s="48">
        <f t="shared" si="10"/>
        <v>100</v>
      </c>
      <c r="AL40" s="431"/>
      <c r="AM40" s="433"/>
      <c r="AN40" s="169">
        <f>+IF(AND(Q40="Preventivo",AM37="Fuerte"),2,IF(AND(Q40="Preventivo",AM37="Moderado"),1,0))</f>
        <v>2</v>
      </c>
      <c r="AO40" s="169">
        <f t="shared" si="11"/>
        <v>1</v>
      </c>
      <c r="AP40" s="169">
        <f>+K37-AN40</f>
        <v>-1</v>
      </c>
      <c r="AQ40" s="169">
        <f>+M37-AO40</f>
        <v>3</v>
      </c>
      <c r="AR40" s="422"/>
      <c r="AS40" s="422"/>
      <c r="AT40" s="422"/>
      <c r="AU40" s="422"/>
      <c r="AV40" s="387"/>
      <c r="AW40" s="388"/>
      <c r="AX40" s="389"/>
      <c r="AY40" s="387"/>
      <c r="AZ40" s="388"/>
      <c r="BA40" s="389"/>
      <c r="BB40" s="387"/>
      <c r="BC40" s="388"/>
      <c r="BD40" s="389"/>
    </row>
    <row r="41" spans="1:56" ht="180" customHeight="1" thickBot="1">
      <c r="A41" s="405"/>
      <c r="B41" s="407"/>
      <c r="C41" s="408"/>
      <c r="D41" s="409"/>
      <c r="E41" s="164"/>
      <c r="F41" s="164"/>
      <c r="G41" s="165" t="s">
        <v>224</v>
      </c>
      <c r="H41" s="165" t="s">
        <v>16</v>
      </c>
      <c r="I41" s="165" t="s">
        <v>238</v>
      </c>
      <c r="J41" s="407"/>
      <c r="K41" s="425"/>
      <c r="L41" s="428"/>
      <c r="M41" s="425"/>
      <c r="N41" s="435"/>
      <c r="O41" s="177" t="s">
        <v>239</v>
      </c>
      <c r="P41" s="163" t="s">
        <v>224</v>
      </c>
      <c r="Q41" s="165" t="s">
        <v>20</v>
      </c>
      <c r="R41" s="172"/>
      <c r="S41" s="27" t="str">
        <f t="shared" si="0"/>
        <v/>
      </c>
      <c r="T41" s="172"/>
      <c r="U41" s="27" t="str">
        <f t="shared" si="1"/>
        <v/>
      </c>
      <c r="V41" s="150"/>
      <c r="W41" s="27" t="str">
        <f t="shared" si="2"/>
        <v/>
      </c>
      <c r="X41" s="150"/>
      <c r="Y41" s="27" t="str">
        <f t="shared" si="3"/>
        <v/>
      </c>
      <c r="Z41" s="150"/>
      <c r="AA41" s="27" t="str">
        <f t="shared" si="4"/>
        <v/>
      </c>
      <c r="AB41" s="150"/>
      <c r="AC41" s="27" t="str">
        <f t="shared" si="5"/>
        <v/>
      </c>
      <c r="AD41" s="150"/>
      <c r="AE41" s="27" t="str">
        <f t="shared" si="6"/>
        <v/>
      </c>
      <c r="AF41" s="48" t="str">
        <f t="shared" si="7"/>
        <v/>
      </c>
      <c r="AG41" s="48" t="str">
        <f t="shared" si="8"/>
        <v/>
      </c>
      <c r="AH41" s="131"/>
      <c r="AI41" s="149" t="str">
        <f t="shared" si="9"/>
        <v>Débil</v>
      </c>
      <c r="AJ41" s="21" t="str">
        <f>IFERROR(VLOOKUP((CONCATENATE(AG41,AI41)),Listados!$U$3:$V$11,2,FALSE),"")</f>
        <v/>
      </c>
      <c r="AK41" s="48">
        <f t="shared" si="10"/>
        <v>100</v>
      </c>
      <c r="AL41" s="431"/>
      <c r="AM41" s="433"/>
      <c r="AN41" s="169">
        <f>+IF(AND(Q41="Preventivo",AM37="Fuerte"),2,IF(AND(Q41="Preventivo",AM37="Moderado"),1,0))</f>
        <v>2</v>
      </c>
      <c r="AO41" s="169">
        <f t="shared" si="11"/>
        <v>1</v>
      </c>
      <c r="AP41" s="169">
        <f>+K37-AN41</f>
        <v>-1</v>
      </c>
      <c r="AQ41" s="169">
        <f>+M37-AO41</f>
        <v>3</v>
      </c>
      <c r="AR41" s="422"/>
      <c r="AS41" s="422"/>
      <c r="AT41" s="422"/>
      <c r="AU41" s="422"/>
      <c r="AV41" s="387"/>
      <c r="AW41" s="388"/>
      <c r="AX41" s="389"/>
      <c r="AY41" s="387"/>
      <c r="AZ41" s="388"/>
      <c r="BA41" s="389"/>
      <c r="BB41" s="387"/>
      <c r="BC41" s="388"/>
      <c r="BD41" s="389"/>
    </row>
    <row r="42" spans="1:56" ht="15.75" thickBot="1">
      <c r="A42" s="406"/>
      <c r="B42" s="407"/>
      <c r="C42" s="408"/>
      <c r="D42" s="409"/>
      <c r="E42" s="164"/>
      <c r="F42" s="164"/>
      <c r="G42" s="165"/>
      <c r="H42" s="165"/>
      <c r="I42" s="165"/>
      <c r="J42" s="407"/>
      <c r="K42" s="426"/>
      <c r="L42" s="428"/>
      <c r="M42" s="426"/>
      <c r="N42" s="435"/>
      <c r="O42" s="164"/>
      <c r="P42" s="166"/>
      <c r="Q42" s="166"/>
      <c r="R42" s="172"/>
      <c r="S42" s="27" t="str">
        <f t="shared" si="0"/>
        <v/>
      </c>
      <c r="T42" s="172"/>
      <c r="U42" s="27" t="str">
        <f t="shared" si="1"/>
        <v/>
      </c>
      <c r="V42" s="150"/>
      <c r="W42" s="27" t="str">
        <f t="shared" si="2"/>
        <v/>
      </c>
      <c r="X42" s="150"/>
      <c r="Y42" s="27" t="str">
        <f t="shared" si="3"/>
        <v/>
      </c>
      <c r="Z42" s="150"/>
      <c r="AA42" s="27" t="str">
        <f t="shared" si="4"/>
        <v/>
      </c>
      <c r="AB42" s="150"/>
      <c r="AC42" s="27" t="str">
        <f t="shared" si="5"/>
        <v/>
      </c>
      <c r="AD42" s="150"/>
      <c r="AE42" s="27" t="str">
        <f t="shared" si="6"/>
        <v/>
      </c>
      <c r="AF42" s="48" t="str">
        <f t="shared" si="7"/>
        <v/>
      </c>
      <c r="AG42" s="48" t="str">
        <f t="shared" si="8"/>
        <v/>
      </c>
      <c r="AH42" s="131"/>
      <c r="AI42" s="149" t="str">
        <f t="shared" si="9"/>
        <v>Débil</v>
      </c>
      <c r="AJ42" s="21" t="str">
        <f>IFERROR(VLOOKUP((CONCATENATE(AG42,AI42)),Listados!$U$3:$V$11,2,FALSE),"")</f>
        <v/>
      </c>
      <c r="AK42" s="48">
        <f t="shared" si="10"/>
        <v>100</v>
      </c>
      <c r="AL42" s="432"/>
      <c r="AM42" s="433"/>
      <c r="AN42" s="169">
        <f>+IF(AND(Q42="Preventivo",AM37="Fuerte"),2,IF(AND(Q42="Preventivo",AM37="Moderado"),1,0))</f>
        <v>0</v>
      </c>
      <c r="AO42" s="169">
        <f t="shared" si="11"/>
        <v>0</v>
      </c>
      <c r="AP42" s="169">
        <f>+K37-AN42</f>
        <v>1</v>
      </c>
      <c r="AQ42" s="169">
        <f>+M37-AO42</f>
        <v>4</v>
      </c>
      <c r="AR42" s="423"/>
      <c r="AS42" s="423"/>
      <c r="AT42" s="423"/>
      <c r="AU42" s="423"/>
      <c r="AV42" s="387"/>
      <c r="AW42" s="388"/>
      <c r="AX42" s="389"/>
      <c r="AY42" s="387"/>
      <c r="AZ42" s="388"/>
      <c r="BA42" s="389"/>
      <c r="BB42" s="387"/>
      <c r="BC42" s="388"/>
      <c r="BD42" s="389"/>
    </row>
    <row r="43" spans="1:56" ht="129" thickBot="1">
      <c r="A43" s="404">
        <v>7</v>
      </c>
      <c r="B43" s="407" t="s">
        <v>98</v>
      </c>
      <c r="C43" s="408" t="str">
        <f>IFERROR(VLOOKUP(B43,Listados!B$3:C$20,2,FALSE),"")</f>
        <v>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v>
      </c>
      <c r="D43" s="409" t="s">
        <v>240</v>
      </c>
      <c r="E43" s="164" t="s">
        <v>29</v>
      </c>
      <c r="F43" s="164"/>
      <c r="G43" s="165" t="s">
        <v>241</v>
      </c>
      <c r="H43" s="165" t="s">
        <v>16</v>
      </c>
      <c r="I43" s="165" t="s">
        <v>242</v>
      </c>
      <c r="J43" s="407" t="s">
        <v>53</v>
      </c>
      <c r="K43" s="424">
        <f>+VLOOKUP(J43,Listados!$K$8:$L$12,2,0)</f>
        <v>4</v>
      </c>
      <c r="L43" s="427" t="s">
        <v>36</v>
      </c>
      <c r="M43" s="424">
        <f>+VLOOKUP(L43,Listados!$K$13:$L$17,2,0)</f>
        <v>3</v>
      </c>
      <c r="N43" s="434" t="str">
        <f>IF(AND(J43&lt;&gt;"",L43&lt;&gt;""),VLOOKUP(J43&amp;L43,Listados!$M$3:$N$27,2,FALSE),"")</f>
        <v>Alto</v>
      </c>
      <c r="O43" s="164" t="s">
        <v>243</v>
      </c>
      <c r="P43" s="164" t="s">
        <v>241</v>
      </c>
      <c r="Q43" s="165" t="s">
        <v>20</v>
      </c>
      <c r="R43" s="172"/>
      <c r="S43" s="27" t="str">
        <f t="shared" si="0"/>
        <v/>
      </c>
      <c r="T43" s="172"/>
      <c r="U43" s="27" t="str">
        <f t="shared" si="1"/>
        <v/>
      </c>
      <c r="V43" s="150"/>
      <c r="W43" s="27" t="str">
        <f t="shared" si="2"/>
        <v/>
      </c>
      <c r="X43" s="150"/>
      <c r="Y43" s="27" t="str">
        <f t="shared" si="3"/>
        <v/>
      </c>
      <c r="Z43" s="150"/>
      <c r="AA43" s="27" t="str">
        <f t="shared" si="4"/>
        <v/>
      </c>
      <c r="AB43" s="150"/>
      <c r="AC43" s="27" t="str">
        <f t="shared" si="5"/>
        <v/>
      </c>
      <c r="AD43" s="150"/>
      <c r="AE43" s="27" t="str">
        <f t="shared" si="6"/>
        <v/>
      </c>
      <c r="AF43" s="48" t="str">
        <f t="shared" si="7"/>
        <v/>
      </c>
      <c r="AG43" s="48" t="str">
        <f t="shared" si="8"/>
        <v/>
      </c>
      <c r="AH43" s="131"/>
      <c r="AI43" s="149" t="str">
        <f t="shared" si="9"/>
        <v>Débil</v>
      </c>
      <c r="AJ43" s="21" t="str">
        <f>IFERROR(VLOOKUP((CONCATENATE(AG43,AI43)),Listados!$U$3:$V$11,2,FALSE),"")</f>
        <v/>
      </c>
      <c r="AK43" s="48">
        <f t="shared" si="10"/>
        <v>100</v>
      </c>
      <c r="AL43" s="430">
        <f>AVERAGE(AK43:AK48)</f>
        <v>100</v>
      </c>
      <c r="AM43" s="432" t="str">
        <f>IF(AL43&lt;=50, "Débil", IF(AL43&lt;=99,"Moderado","Fuerte"))</f>
        <v>Fuerte</v>
      </c>
      <c r="AN43" s="169">
        <f>+IF(AND(Q43="Preventivo",AM43="Fuerte"),2,IF(AND(Q43="Preventivo",AM43="Moderado"),1,0))</f>
        <v>2</v>
      </c>
      <c r="AO43" s="169">
        <f t="shared" si="11"/>
        <v>1</v>
      </c>
      <c r="AP43" s="169">
        <f>+K43-AN43</f>
        <v>2</v>
      </c>
      <c r="AQ43" s="169">
        <f>+M43-AO43</f>
        <v>2</v>
      </c>
      <c r="AR43" s="421" t="str">
        <f>+VLOOKUP(MIN(AP43,AP44,AP45,AP46,AP47,AP48),Listados!$J$18:$K$24,2,TRUE)</f>
        <v>Improbable</v>
      </c>
      <c r="AS43" s="421" t="str">
        <f>+VLOOKUP(MIN(AQ43,AQ44,AQ45,AQ46,AQ47,AQ48),Listados!$J$26:$K$32,2,TRUE)</f>
        <v>Insignificante</v>
      </c>
      <c r="AT43" s="421" t="str">
        <f>IF(AND(AR43&lt;&gt;"",AS43&lt;&gt;""),VLOOKUP(AR43&amp;AS43,Listados!$M$3:$N$27,2,FALSE),"")</f>
        <v>Bajo</v>
      </c>
      <c r="AU43" s="421" t="str">
        <f>+VLOOKUP(AT43,Listados!$P$3:$Q$6,2,FALSE)</f>
        <v>Asumir el riesgo</v>
      </c>
      <c r="AV43" s="387"/>
      <c r="AW43" s="388"/>
      <c r="AX43" s="389"/>
      <c r="AY43" s="387"/>
      <c r="AZ43" s="388"/>
      <c r="BA43" s="389"/>
      <c r="BB43" s="387"/>
      <c r="BC43" s="388"/>
      <c r="BD43" s="389"/>
    </row>
    <row r="44" spans="1:56" ht="143.25" thickBot="1">
      <c r="A44" s="405"/>
      <c r="B44" s="407"/>
      <c r="C44" s="408"/>
      <c r="D44" s="409"/>
      <c r="E44" s="164"/>
      <c r="F44" s="164"/>
      <c r="G44" s="165" t="s">
        <v>244</v>
      </c>
      <c r="H44" s="165" t="s">
        <v>16</v>
      </c>
      <c r="I44" s="165" t="s">
        <v>245</v>
      </c>
      <c r="J44" s="407"/>
      <c r="K44" s="425"/>
      <c r="L44" s="428"/>
      <c r="M44" s="425"/>
      <c r="N44" s="435"/>
      <c r="O44" s="164" t="s">
        <v>246</v>
      </c>
      <c r="P44" s="164" t="s">
        <v>244</v>
      </c>
      <c r="Q44" s="165" t="s">
        <v>123</v>
      </c>
      <c r="R44" s="172"/>
      <c r="S44" s="27" t="str">
        <f t="shared" si="0"/>
        <v/>
      </c>
      <c r="T44" s="172"/>
      <c r="U44" s="27" t="str">
        <f t="shared" si="1"/>
        <v/>
      </c>
      <c r="V44" s="150"/>
      <c r="W44" s="27" t="str">
        <f t="shared" si="2"/>
        <v/>
      </c>
      <c r="X44" s="150"/>
      <c r="Y44" s="27" t="str">
        <f t="shared" si="3"/>
        <v/>
      </c>
      <c r="Z44" s="150"/>
      <c r="AA44" s="27" t="str">
        <f t="shared" si="4"/>
        <v/>
      </c>
      <c r="AB44" s="150"/>
      <c r="AC44" s="27" t="str">
        <f t="shared" si="5"/>
        <v/>
      </c>
      <c r="AD44" s="150"/>
      <c r="AE44" s="27" t="str">
        <f t="shared" si="6"/>
        <v/>
      </c>
      <c r="AF44" s="48" t="str">
        <f t="shared" si="7"/>
        <v/>
      </c>
      <c r="AG44" s="48" t="str">
        <f t="shared" si="8"/>
        <v/>
      </c>
      <c r="AH44" s="131"/>
      <c r="AI44" s="149" t="str">
        <f t="shared" si="9"/>
        <v>Débil</v>
      </c>
      <c r="AJ44" s="21" t="str">
        <f>IFERROR(VLOOKUP((CONCATENATE(AG44,AI44)),Listados!$U$3:$V$11,2,FALSE),"")</f>
        <v/>
      </c>
      <c r="AK44" s="48">
        <f t="shared" si="10"/>
        <v>100</v>
      </c>
      <c r="AL44" s="431"/>
      <c r="AM44" s="433"/>
      <c r="AN44" s="169">
        <f>+IF(AND(Q44="Preventivo",AM43="Fuerte"),2,IF(AND(Q44="Preventivo",AM43="Moderado"),1,0))</f>
        <v>0</v>
      </c>
      <c r="AO44" s="169">
        <f t="shared" si="11"/>
        <v>2</v>
      </c>
      <c r="AP44" s="169">
        <f>+K43-AN44</f>
        <v>4</v>
      </c>
      <c r="AQ44" s="169">
        <f>+M43-AO44</f>
        <v>1</v>
      </c>
      <c r="AR44" s="422"/>
      <c r="AS44" s="422"/>
      <c r="AT44" s="422"/>
      <c r="AU44" s="422"/>
      <c r="AV44" s="387"/>
      <c r="AW44" s="388"/>
      <c r="AX44" s="389"/>
      <c r="AY44" s="387"/>
      <c r="AZ44" s="388"/>
      <c r="BA44" s="389"/>
      <c r="BB44" s="387"/>
      <c r="BC44" s="388"/>
      <c r="BD44" s="389"/>
    </row>
    <row r="45" spans="1:56" ht="200.25" thickBot="1">
      <c r="A45" s="405"/>
      <c r="B45" s="407"/>
      <c r="C45" s="408"/>
      <c r="D45" s="409"/>
      <c r="E45" s="164"/>
      <c r="F45" s="164"/>
      <c r="G45" s="165" t="s">
        <v>247</v>
      </c>
      <c r="H45" s="165" t="s">
        <v>16</v>
      </c>
      <c r="I45" s="165" t="s">
        <v>248</v>
      </c>
      <c r="J45" s="407"/>
      <c r="K45" s="425"/>
      <c r="L45" s="428"/>
      <c r="M45" s="425"/>
      <c r="N45" s="435"/>
      <c r="O45" s="164" t="s">
        <v>249</v>
      </c>
      <c r="P45" s="164" t="s">
        <v>247</v>
      </c>
      <c r="Q45" s="165" t="s">
        <v>123</v>
      </c>
      <c r="R45" s="172"/>
      <c r="S45" s="27" t="str">
        <f t="shared" si="0"/>
        <v/>
      </c>
      <c r="T45" s="172"/>
      <c r="U45" s="27" t="str">
        <f t="shared" si="1"/>
        <v/>
      </c>
      <c r="V45" s="150"/>
      <c r="W45" s="27" t="str">
        <f t="shared" si="2"/>
        <v/>
      </c>
      <c r="X45" s="150"/>
      <c r="Y45" s="27" t="str">
        <f t="shared" si="3"/>
        <v/>
      </c>
      <c r="Z45" s="150"/>
      <c r="AA45" s="27" t="str">
        <f t="shared" si="4"/>
        <v/>
      </c>
      <c r="AB45" s="150"/>
      <c r="AC45" s="27" t="str">
        <f t="shared" si="5"/>
        <v/>
      </c>
      <c r="AD45" s="150"/>
      <c r="AE45" s="27" t="str">
        <f t="shared" si="6"/>
        <v/>
      </c>
      <c r="AF45" s="48" t="str">
        <f t="shared" si="7"/>
        <v/>
      </c>
      <c r="AG45" s="48" t="str">
        <f t="shared" si="8"/>
        <v/>
      </c>
      <c r="AH45" s="131"/>
      <c r="AI45" s="149" t="str">
        <f t="shared" si="9"/>
        <v>Débil</v>
      </c>
      <c r="AJ45" s="21" t="str">
        <f>IFERROR(VLOOKUP((CONCATENATE(AG45,AI45)),Listados!$U$3:$V$11,2,FALSE),"")</f>
        <v/>
      </c>
      <c r="AK45" s="48">
        <f t="shared" si="10"/>
        <v>100</v>
      </c>
      <c r="AL45" s="431"/>
      <c r="AM45" s="433"/>
      <c r="AN45" s="169">
        <f>+IF(AND(Q45="Preventivo",AM43="Fuerte"),2,IF(AND(Q45="Preventivo",AM43="Moderado"),1,0))</f>
        <v>0</v>
      </c>
      <c r="AO45" s="169">
        <f t="shared" si="11"/>
        <v>2</v>
      </c>
      <c r="AP45" s="169">
        <f>+K43-AN45</f>
        <v>4</v>
      </c>
      <c r="AQ45" s="169">
        <f>+M43-AO45</f>
        <v>1</v>
      </c>
      <c r="AR45" s="422"/>
      <c r="AS45" s="422"/>
      <c r="AT45" s="422"/>
      <c r="AU45" s="422"/>
      <c r="AV45" s="387"/>
      <c r="AW45" s="388"/>
      <c r="AX45" s="389"/>
      <c r="AY45" s="387"/>
      <c r="AZ45" s="388"/>
      <c r="BA45" s="389"/>
      <c r="BB45" s="387"/>
      <c r="BC45" s="388"/>
      <c r="BD45" s="389"/>
    </row>
    <row r="46" spans="1:56" ht="200.25" thickBot="1">
      <c r="A46" s="405"/>
      <c r="B46" s="407"/>
      <c r="C46" s="408"/>
      <c r="D46" s="409"/>
      <c r="E46" s="164"/>
      <c r="F46" s="164"/>
      <c r="G46" s="165" t="s">
        <v>250</v>
      </c>
      <c r="H46" s="165" t="s">
        <v>16</v>
      </c>
      <c r="I46" s="165" t="s">
        <v>251</v>
      </c>
      <c r="J46" s="407"/>
      <c r="K46" s="425"/>
      <c r="L46" s="428"/>
      <c r="M46" s="425"/>
      <c r="N46" s="435"/>
      <c r="O46" s="164" t="s">
        <v>252</v>
      </c>
      <c r="P46" s="164" t="s">
        <v>250</v>
      </c>
      <c r="Q46" s="165" t="s">
        <v>123</v>
      </c>
      <c r="R46" s="172"/>
      <c r="S46" s="27" t="str">
        <f t="shared" si="0"/>
        <v/>
      </c>
      <c r="T46" s="172"/>
      <c r="U46" s="27" t="str">
        <f t="shared" si="1"/>
        <v/>
      </c>
      <c r="V46" s="150"/>
      <c r="W46" s="27" t="str">
        <f t="shared" si="2"/>
        <v/>
      </c>
      <c r="X46" s="150"/>
      <c r="Y46" s="27" t="str">
        <f t="shared" si="3"/>
        <v/>
      </c>
      <c r="Z46" s="150"/>
      <c r="AA46" s="27" t="str">
        <f t="shared" si="4"/>
        <v/>
      </c>
      <c r="AB46" s="150"/>
      <c r="AC46" s="27" t="str">
        <f t="shared" si="5"/>
        <v/>
      </c>
      <c r="AD46" s="150"/>
      <c r="AE46" s="27" t="str">
        <f t="shared" si="6"/>
        <v/>
      </c>
      <c r="AF46" s="48" t="str">
        <f t="shared" si="7"/>
        <v/>
      </c>
      <c r="AG46" s="48" t="str">
        <f t="shared" si="8"/>
        <v/>
      </c>
      <c r="AH46" s="131"/>
      <c r="AI46" s="149" t="str">
        <f t="shared" si="9"/>
        <v>Débil</v>
      </c>
      <c r="AJ46" s="21" t="str">
        <f>IFERROR(VLOOKUP((CONCATENATE(AG46,AI46)),Listados!$U$3:$V$11,2,FALSE),"")</f>
        <v/>
      </c>
      <c r="AK46" s="48">
        <f t="shared" si="10"/>
        <v>100</v>
      </c>
      <c r="AL46" s="431"/>
      <c r="AM46" s="433"/>
      <c r="AN46" s="169">
        <f>+IF(AND(Q46="Preventivo",AM43="Fuerte"),2,IF(AND(Q46="Preventivo",AM43="Moderado"),1,0))</f>
        <v>0</v>
      </c>
      <c r="AO46" s="169">
        <f t="shared" si="11"/>
        <v>2</v>
      </c>
      <c r="AP46" s="169">
        <f>+K43-AN46</f>
        <v>4</v>
      </c>
      <c r="AQ46" s="169">
        <f>+M43-AO46</f>
        <v>1</v>
      </c>
      <c r="AR46" s="422"/>
      <c r="AS46" s="422"/>
      <c r="AT46" s="422"/>
      <c r="AU46" s="422"/>
      <c r="AV46" s="387"/>
      <c r="AW46" s="388"/>
      <c r="AX46" s="389"/>
      <c r="AY46" s="387"/>
      <c r="AZ46" s="388"/>
      <c r="BA46" s="389"/>
      <c r="BB46" s="387"/>
      <c r="BC46" s="388"/>
      <c r="BD46" s="389"/>
    </row>
    <row r="47" spans="1:56" ht="15.75" thickBot="1">
      <c r="A47" s="405"/>
      <c r="B47" s="407"/>
      <c r="C47" s="408"/>
      <c r="D47" s="409"/>
      <c r="E47" s="164"/>
      <c r="F47" s="164"/>
      <c r="G47" s="165"/>
      <c r="H47" s="165"/>
      <c r="I47" s="165"/>
      <c r="J47" s="407"/>
      <c r="K47" s="425"/>
      <c r="L47" s="428"/>
      <c r="M47" s="425"/>
      <c r="N47" s="435"/>
      <c r="O47" s="164"/>
      <c r="P47" s="166"/>
      <c r="Q47" s="166"/>
      <c r="R47" s="172"/>
      <c r="S47" s="27" t="str">
        <f t="shared" si="0"/>
        <v/>
      </c>
      <c r="T47" s="172"/>
      <c r="U47" s="27" t="str">
        <f t="shared" si="1"/>
        <v/>
      </c>
      <c r="V47" s="150"/>
      <c r="W47" s="27" t="str">
        <f t="shared" si="2"/>
        <v/>
      </c>
      <c r="X47" s="150"/>
      <c r="Y47" s="27" t="str">
        <f t="shared" si="3"/>
        <v/>
      </c>
      <c r="Z47" s="150"/>
      <c r="AA47" s="27" t="str">
        <f t="shared" si="4"/>
        <v/>
      </c>
      <c r="AB47" s="150"/>
      <c r="AC47" s="27" t="str">
        <f t="shared" si="5"/>
        <v/>
      </c>
      <c r="AD47" s="150"/>
      <c r="AE47" s="27" t="str">
        <f t="shared" si="6"/>
        <v/>
      </c>
      <c r="AF47" s="48" t="str">
        <f t="shared" si="7"/>
        <v/>
      </c>
      <c r="AG47" s="48" t="str">
        <f t="shared" si="8"/>
        <v/>
      </c>
      <c r="AH47" s="131"/>
      <c r="AI47" s="149" t="str">
        <f t="shared" si="9"/>
        <v>Débil</v>
      </c>
      <c r="AJ47" s="21" t="str">
        <f>IFERROR(VLOOKUP((CONCATENATE(AG47,AI47)),Listados!$U$3:$V$11,2,FALSE),"")</f>
        <v/>
      </c>
      <c r="AK47" s="48">
        <f t="shared" si="10"/>
        <v>100</v>
      </c>
      <c r="AL47" s="431"/>
      <c r="AM47" s="433"/>
      <c r="AN47" s="169">
        <f>+IF(AND(Q47="Preventivo",AM43="Fuerte"),2,IF(AND(Q47="Preventivo",AM43="Moderado"),1,0))</f>
        <v>0</v>
      </c>
      <c r="AO47" s="169">
        <f t="shared" si="11"/>
        <v>0</v>
      </c>
      <c r="AP47" s="169">
        <f>+K43-AN47</f>
        <v>4</v>
      </c>
      <c r="AQ47" s="169">
        <f>+M43-AO47</f>
        <v>3</v>
      </c>
      <c r="AR47" s="422"/>
      <c r="AS47" s="422"/>
      <c r="AT47" s="422"/>
      <c r="AU47" s="422"/>
      <c r="AV47" s="387"/>
      <c r="AW47" s="388"/>
      <c r="AX47" s="389"/>
      <c r="AY47" s="387"/>
      <c r="AZ47" s="388"/>
      <c r="BA47" s="389"/>
      <c r="BB47" s="387"/>
      <c r="BC47" s="388"/>
      <c r="BD47" s="389"/>
    </row>
    <row r="48" spans="1:56" ht="15.75" thickBot="1">
      <c r="A48" s="406"/>
      <c r="B48" s="407"/>
      <c r="C48" s="408"/>
      <c r="D48" s="409"/>
      <c r="E48" s="164"/>
      <c r="F48" s="164"/>
      <c r="G48" s="165"/>
      <c r="H48" s="165"/>
      <c r="I48" s="165"/>
      <c r="J48" s="407"/>
      <c r="K48" s="426"/>
      <c r="L48" s="428"/>
      <c r="M48" s="426"/>
      <c r="N48" s="435"/>
      <c r="O48" s="164"/>
      <c r="P48" s="166"/>
      <c r="Q48" s="166"/>
      <c r="R48" s="172"/>
      <c r="S48" s="27" t="str">
        <f t="shared" si="0"/>
        <v/>
      </c>
      <c r="T48" s="172"/>
      <c r="U48" s="27" t="str">
        <f t="shared" si="1"/>
        <v/>
      </c>
      <c r="V48" s="150"/>
      <c r="W48" s="27" t="str">
        <f t="shared" si="2"/>
        <v/>
      </c>
      <c r="X48" s="150"/>
      <c r="Y48" s="27" t="str">
        <f t="shared" si="3"/>
        <v/>
      </c>
      <c r="Z48" s="150"/>
      <c r="AA48" s="27" t="str">
        <f t="shared" si="4"/>
        <v/>
      </c>
      <c r="AB48" s="150"/>
      <c r="AC48" s="27" t="str">
        <f t="shared" si="5"/>
        <v/>
      </c>
      <c r="AD48" s="150"/>
      <c r="AE48" s="27" t="str">
        <f t="shared" si="6"/>
        <v/>
      </c>
      <c r="AF48" s="48" t="str">
        <f t="shared" si="7"/>
        <v/>
      </c>
      <c r="AG48" s="48" t="str">
        <f t="shared" si="8"/>
        <v/>
      </c>
      <c r="AH48" s="131"/>
      <c r="AI48" s="149" t="str">
        <f t="shared" si="9"/>
        <v>Débil</v>
      </c>
      <c r="AJ48" s="21" t="str">
        <f>IFERROR(VLOOKUP((CONCATENATE(AG48,AI48)),Listados!$U$3:$V$11,2,FALSE),"")</f>
        <v/>
      </c>
      <c r="AK48" s="48">
        <f t="shared" si="10"/>
        <v>100</v>
      </c>
      <c r="AL48" s="432"/>
      <c r="AM48" s="433"/>
      <c r="AN48" s="169">
        <f>+IF(AND(Q48="Preventivo",AM43="Fuerte"),2,IF(AND(Q48="Preventivo",AM43="Moderado"),1,0))</f>
        <v>0</v>
      </c>
      <c r="AO48" s="169">
        <f t="shared" si="11"/>
        <v>0</v>
      </c>
      <c r="AP48" s="169">
        <f>+K43-AN48</f>
        <v>4</v>
      </c>
      <c r="AQ48" s="169">
        <f>+M43-AO48</f>
        <v>3</v>
      </c>
      <c r="AR48" s="423"/>
      <c r="AS48" s="423"/>
      <c r="AT48" s="423"/>
      <c r="AU48" s="423"/>
      <c r="AV48" s="387"/>
      <c r="AW48" s="388"/>
      <c r="AX48" s="389"/>
      <c r="AY48" s="387"/>
      <c r="AZ48" s="388"/>
      <c r="BA48" s="389"/>
      <c r="BB48" s="387"/>
      <c r="BC48" s="388"/>
      <c r="BD48" s="389"/>
    </row>
    <row r="49" spans="1:56" ht="129" thickBot="1">
      <c r="A49" s="404">
        <v>8</v>
      </c>
      <c r="B49" s="407" t="s">
        <v>98</v>
      </c>
      <c r="C49" s="408" t="str">
        <f>IFERROR(VLOOKUP(B49,Listados!B$3:C$20,2,FALSE),"")</f>
        <v>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v>
      </c>
      <c r="D49" s="409" t="s">
        <v>253</v>
      </c>
      <c r="E49" s="164" t="s">
        <v>29</v>
      </c>
      <c r="F49" s="164"/>
      <c r="G49" s="165" t="s">
        <v>254</v>
      </c>
      <c r="H49" s="165" t="s">
        <v>16</v>
      </c>
      <c r="I49" s="165" t="s">
        <v>255</v>
      </c>
      <c r="J49" s="407" t="s">
        <v>53</v>
      </c>
      <c r="K49" s="424">
        <f>+VLOOKUP(J49,Listados!$K$8:$L$12,2,0)</f>
        <v>4</v>
      </c>
      <c r="L49" s="427" t="s">
        <v>36</v>
      </c>
      <c r="M49" s="424">
        <f>+VLOOKUP(L49,Listados!$K$13:$L$17,2,0)</f>
        <v>3</v>
      </c>
      <c r="N49" s="434" t="str">
        <f>IF(AND(J49&lt;&gt;"",L49&lt;&gt;""),VLOOKUP(J49&amp;L49,Listados!$M$3:$N$27,2,FALSE),"")</f>
        <v>Alto</v>
      </c>
      <c r="O49" s="164" t="s">
        <v>256</v>
      </c>
      <c r="P49" s="165" t="s">
        <v>254</v>
      </c>
      <c r="Q49" s="165" t="s">
        <v>123</v>
      </c>
      <c r="R49" s="172"/>
      <c r="S49" s="27" t="str">
        <f t="shared" si="0"/>
        <v/>
      </c>
      <c r="T49" s="172"/>
      <c r="U49" s="27" t="str">
        <f t="shared" si="1"/>
        <v/>
      </c>
      <c r="V49" s="150"/>
      <c r="W49" s="27" t="str">
        <f t="shared" si="2"/>
        <v/>
      </c>
      <c r="X49" s="150"/>
      <c r="Y49" s="27" t="str">
        <f t="shared" si="3"/>
        <v/>
      </c>
      <c r="Z49" s="150"/>
      <c r="AA49" s="27" t="str">
        <f t="shared" si="4"/>
        <v/>
      </c>
      <c r="AB49" s="150"/>
      <c r="AC49" s="27" t="str">
        <f t="shared" si="5"/>
        <v/>
      </c>
      <c r="AD49" s="150"/>
      <c r="AE49" s="27" t="str">
        <f t="shared" si="6"/>
        <v/>
      </c>
      <c r="AF49" s="48" t="str">
        <f t="shared" si="7"/>
        <v/>
      </c>
      <c r="AG49" s="48" t="str">
        <f t="shared" si="8"/>
        <v/>
      </c>
      <c r="AH49" s="131"/>
      <c r="AI49" s="149" t="str">
        <f t="shared" si="9"/>
        <v>Débil</v>
      </c>
      <c r="AJ49" s="21" t="str">
        <f>IFERROR(VLOOKUP((CONCATENATE(AG49,AI49)),Listados!$U$3:$V$11,2,FALSE),"")</f>
        <v/>
      </c>
      <c r="AK49" s="48">
        <f t="shared" si="10"/>
        <v>100</v>
      </c>
      <c r="AL49" s="430">
        <f>AVERAGE(AK49:AK54)</f>
        <v>100</v>
      </c>
      <c r="AM49" s="432" t="str">
        <f>IF(AL49&lt;=50, "Débil", IF(AL49&lt;=99,"Moderado","Fuerte"))</f>
        <v>Fuerte</v>
      </c>
      <c r="AN49" s="169">
        <f>+IF(AND(Q49="Preventivo",AM49="Fuerte"),2,IF(AND(Q49="Preventivo",AM49="Moderado"),1,0))</f>
        <v>0</v>
      </c>
      <c r="AO49" s="169">
        <f t="shared" si="11"/>
        <v>2</v>
      </c>
      <c r="AP49" s="169">
        <f>+K49-AN49</f>
        <v>4</v>
      </c>
      <c r="AQ49" s="169">
        <f>+M49-AO49</f>
        <v>1</v>
      </c>
      <c r="AR49" s="421" t="str">
        <f>+VLOOKUP(MIN(AP49,AP50,AP51,AP52,AP53,AP54),Listados!$J$18:$K$24,2,TRUE)</f>
        <v>Probable</v>
      </c>
      <c r="AS49" s="421" t="str">
        <f>+VLOOKUP(MIN(AQ49,AQ50,AQ51,AQ52,AQ53,AQ54),Listados!$J$27:$K$32,2,TRUE)</f>
        <v>Insignificante</v>
      </c>
      <c r="AT49" s="421" t="str">
        <f>IF(AND(AR49&lt;&gt;"",AS49&lt;&gt;""),VLOOKUP(AR49&amp;AS49,Listados!$M$3:$N$27,2,FALSE),"")</f>
        <v>Moderado</v>
      </c>
      <c r="AU49" s="421" t="str">
        <f>+VLOOKUP(AT49,Listados!$P$3:$Q$6,2,FALSE)</f>
        <v xml:space="preserve"> Reducir el riesgo</v>
      </c>
      <c r="AV49" s="387"/>
      <c r="AW49" s="388"/>
      <c r="AX49" s="389"/>
      <c r="AY49" s="387"/>
      <c r="AZ49" s="388"/>
      <c r="BA49" s="389"/>
      <c r="BB49" s="387"/>
      <c r="BC49" s="388"/>
      <c r="BD49" s="389"/>
    </row>
    <row r="50" spans="1:56" ht="200.25" thickBot="1">
      <c r="A50" s="405"/>
      <c r="B50" s="407"/>
      <c r="C50" s="408"/>
      <c r="D50" s="409"/>
      <c r="E50" s="164"/>
      <c r="F50" s="164"/>
      <c r="G50" s="165" t="s">
        <v>257</v>
      </c>
      <c r="H50" s="165" t="s">
        <v>16</v>
      </c>
      <c r="I50" s="165" t="s">
        <v>258</v>
      </c>
      <c r="J50" s="407"/>
      <c r="K50" s="425"/>
      <c r="L50" s="428"/>
      <c r="M50" s="425"/>
      <c r="N50" s="435"/>
      <c r="O50" s="164" t="s">
        <v>259</v>
      </c>
      <c r="P50" s="165" t="s">
        <v>257</v>
      </c>
      <c r="Q50" s="165" t="s">
        <v>123</v>
      </c>
      <c r="R50" s="172"/>
      <c r="S50" s="27" t="str">
        <f t="shared" si="0"/>
        <v/>
      </c>
      <c r="T50" s="172"/>
      <c r="U50" s="27" t="str">
        <f t="shared" si="1"/>
        <v/>
      </c>
      <c r="V50" s="150"/>
      <c r="W50" s="27" t="str">
        <f t="shared" si="2"/>
        <v/>
      </c>
      <c r="X50" s="150"/>
      <c r="Y50" s="27" t="str">
        <f t="shared" si="3"/>
        <v/>
      </c>
      <c r="Z50" s="150"/>
      <c r="AA50" s="27" t="str">
        <f t="shared" si="4"/>
        <v/>
      </c>
      <c r="AB50" s="150"/>
      <c r="AC50" s="27" t="str">
        <f t="shared" si="5"/>
        <v/>
      </c>
      <c r="AD50" s="150"/>
      <c r="AE50" s="27" t="str">
        <f t="shared" si="6"/>
        <v/>
      </c>
      <c r="AF50" s="48" t="str">
        <f t="shared" si="7"/>
        <v/>
      </c>
      <c r="AG50" s="48" t="str">
        <f t="shared" si="8"/>
        <v/>
      </c>
      <c r="AH50" s="131"/>
      <c r="AI50" s="149" t="str">
        <f t="shared" si="9"/>
        <v>Débil</v>
      </c>
      <c r="AJ50" s="21" t="str">
        <f>IFERROR(VLOOKUP((CONCATENATE(AG50,AI50)),Listados!$U$3:$V$11,2,FALSE),"")</f>
        <v/>
      </c>
      <c r="AK50" s="48">
        <f t="shared" si="10"/>
        <v>100</v>
      </c>
      <c r="AL50" s="431"/>
      <c r="AM50" s="433"/>
      <c r="AN50" s="169">
        <f>+IF(AND(Q50="Preventivo",AM49="Fuerte"),2,IF(AND(Q50="Preventivo",AM49="Moderado"),1,0))</f>
        <v>0</v>
      </c>
      <c r="AO50" s="169">
        <f t="shared" si="11"/>
        <v>2</v>
      </c>
      <c r="AP50" s="169">
        <f>+K49-AN50</f>
        <v>4</v>
      </c>
      <c r="AQ50" s="169">
        <f>+M49-AO50</f>
        <v>1</v>
      </c>
      <c r="AR50" s="422"/>
      <c r="AS50" s="422"/>
      <c r="AT50" s="422"/>
      <c r="AU50" s="422"/>
      <c r="AV50" s="387"/>
      <c r="AW50" s="388"/>
      <c r="AX50" s="389"/>
      <c r="AY50" s="387"/>
      <c r="AZ50" s="388"/>
      <c r="BA50" s="389"/>
      <c r="BB50" s="387"/>
      <c r="BC50" s="388"/>
      <c r="BD50" s="389"/>
    </row>
    <row r="51" spans="1:56" ht="15.75" thickBot="1">
      <c r="A51" s="405"/>
      <c r="B51" s="407"/>
      <c r="C51" s="408"/>
      <c r="D51" s="409"/>
      <c r="E51" s="164"/>
      <c r="F51" s="164"/>
      <c r="G51" s="165"/>
      <c r="H51" s="165"/>
      <c r="I51" s="165"/>
      <c r="J51" s="407"/>
      <c r="K51" s="425"/>
      <c r="L51" s="428"/>
      <c r="M51" s="425"/>
      <c r="N51" s="435"/>
      <c r="O51" s="164"/>
      <c r="P51" s="166"/>
      <c r="Q51" s="166"/>
      <c r="R51" s="172"/>
      <c r="S51" s="27" t="str">
        <f t="shared" si="0"/>
        <v/>
      </c>
      <c r="T51" s="172"/>
      <c r="U51" s="27" t="str">
        <f t="shared" si="1"/>
        <v/>
      </c>
      <c r="V51" s="150"/>
      <c r="W51" s="27" t="str">
        <f t="shared" si="2"/>
        <v/>
      </c>
      <c r="X51" s="150"/>
      <c r="Y51" s="27" t="str">
        <f t="shared" si="3"/>
        <v/>
      </c>
      <c r="Z51" s="150"/>
      <c r="AA51" s="27" t="str">
        <f t="shared" si="4"/>
        <v/>
      </c>
      <c r="AB51" s="150"/>
      <c r="AC51" s="27" t="str">
        <f t="shared" si="5"/>
        <v/>
      </c>
      <c r="AD51" s="150"/>
      <c r="AE51" s="27" t="str">
        <f t="shared" si="6"/>
        <v/>
      </c>
      <c r="AF51" s="48" t="str">
        <f t="shared" si="7"/>
        <v/>
      </c>
      <c r="AG51" s="48" t="str">
        <f t="shared" si="8"/>
        <v/>
      </c>
      <c r="AH51" s="131"/>
      <c r="AI51" s="149" t="str">
        <f t="shared" si="9"/>
        <v>Débil</v>
      </c>
      <c r="AJ51" s="21" t="str">
        <f>IFERROR(VLOOKUP((CONCATENATE(AG51,AI51)),Listados!$U$3:$V$11,2,FALSE),"")</f>
        <v/>
      </c>
      <c r="AK51" s="48">
        <f t="shared" si="10"/>
        <v>100</v>
      </c>
      <c r="AL51" s="431"/>
      <c r="AM51" s="433"/>
      <c r="AN51" s="169">
        <f>+IF(AND(Q51="Preventivo",AM49="Fuerte"),2,IF(AND(Q51="Preventivo",AM49="Moderado"),1,0))</f>
        <v>0</v>
      </c>
      <c r="AO51" s="169">
        <f t="shared" si="11"/>
        <v>0</v>
      </c>
      <c r="AP51" s="169">
        <f>+K49-AN51</f>
        <v>4</v>
      </c>
      <c r="AQ51" s="169">
        <f>+M49-AO51</f>
        <v>3</v>
      </c>
      <c r="AR51" s="422"/>
      <c r="AS51" s="422"/>
      <c r="AT51" s="422"/>
      <c r="AU51" s="422"/>
      <c r="AV51" s="387"/>
      <c r="AW51" s="388"/>
      <c r="AX51" s="389"/>
      <c r="AY51" s="387"/>
      <c r="AZ51" s="388"/>
      <c r="BA51" s="389"/>
      <c r="BB51" s="387"/>
      <c r="BC51" s="388"/>
      <c r="BD51" s="389"/>
    </row>
    <row r="52" spans="1:56" ht="15.75" thickBot="1">
      <c r="A52" s="405"/>
      <c r="B52" s="407"/>
      <c r="C52" s="408"/>
      <c r="D52" s="409"/>
      <c r="E52" s="164"/>
      <c r="F52" s="164"/>
      <c r="G52" s="165"/>
      <c r="H52" s="165"/>
      <c r="I52" s="165"/>
      <c r="J52" s="407"/>
      <c r="K52" s="425"/>
      <c r="L52" s="428"/>
      <c r="M52" s="425"/>
      <c r="N52" s="435"/>
      <c r="O52" s="164"/>
      <c r="P52" s="166"/>
      <c r="Q52" s="166"/>
      <c r="R52" s="172"/>
      <c r="S52" s="27" t="str">
        <f t="shared" si="0"/>
        <v/>
      </c>
      <c r="T52" s="172"/>
      <c r="U52" s="27" t="str">
        <f t="shared" si="1"/>
        <v/>
      </c>
      <c r="V52" s="150"/>
      <c r="W52" s="27" t="str">
        <f t="shared" si="2"/>
        <v/>
      </c>
      <c r="X52" s="150"/>
      <c r="Y52" s="27" t="str">
        <f t="shared" si="3"/>
        <v/>
      </c>
      <c r="Z52" s="150"/>
      <c r="AA52" s="27" t="str">
        <f t="shared" si="4"/>
        <v/>
      </c>
      <c r="AB52" s="150"/>
      <c r="AC52" s="27" t="str">
        <f t="shared" si="5"/>
        <v/>
      </c>
      <c r="AD52" s="150"/>
      <c r="AE52" s="27" t="str">
        <f t="shared" si="6"/>
        <v/>
      </c>
      <c r="AF52" s="48" t="str">
        <f t="shared" si="7"/>
        <v/>
      </c>
      <c r="AG52" s="48" t="str">
        <f t="shared" si="8"/>
        <v/>
      </c>
      <c r="AH52" s="131"/>
      <c r="AI52" s="149" t="str">
        <f t="shared" si="9"/>
        <v>Débil</v>
      </c>
      <c r="AJ52" s="21" t="str">
        <f>IFERROR(VLOOKUP((CONCATENATE(AG52,AI52)),Listados!$U$3:$V$11,2,FALSE),"")</f>
        <v/>
      </c>
      <c r="AK52" s="48">
        <f t="shared" si="10"/>
        <v>100</v>
      </c>
      <c r="AL52" s="431"/>
      <c r="AM52" s="433"/>
      <c r="AN52" s="169">
        <f>+IF(AND(Q52="Preventivo",AM49="Fuerte"),2,IF(AND(Q52="Preventivo",AM49="Moderado"),1,0))</f>
        <v>0</v>
      </c>
      <c r="AO52" s="169">
        <f t="shared" si="11"/>
        <v>0</v>
      </c>
      <c r="AP52" s="169">
        <f>+K49-AN52</f>
        <v>4</v>
      </c>
      <c r="AQ52" s="169">
        <f>+M49-AO52</f>
        <v>3</v>
      </c>
      <c r="AR52" s="422"/>
      <c r="AS52" s="422"/>
      <c r="AT52" s="422"/>
      <c r="AU52" s="422"/>
      <c r="AV52" s="387"/>
      <c r="AW52" s="388"/>
      <c r="AX52" s="389"/>
      <c r="AY52" s="387"/>
      <c r="AZ52" s="388"/>
      <c r="BA52" s="389"/>
      <c r="BB52" s="387"/>
      <c r="BC52" s="388"/>
      <c r="BD52" s="389"/>
    </row>
    <row r="53" spans="1:56" ht="15.75" thickBot="1">
      <c r="A53" s="405"/>
      <c r="B53" s="407"/>
      <c r="C53" s="408"/>
      <c r="D53" s="409"/>
      <c r="E53" s="164"/>
      <c r="F53" s="164"/>
      <c r="G53" s="165"/>
      <c r="H53" s="165"/>
      <c r="I53" s="165"/>
      <c r="J53" s="407"/>
      <c r="K53" s="425"/>
      <c r="L53" s="428"/>
      <c r="M53" s="425"/>
      <c r="N53" s="435"/>
      <c r="O53" s="164"/>
      <c r="P53" s="166"/>
      <c r="Q53" s="166"/>
      <c r="R53" s="172"/>
      <c r="S53" s="27" t="str">
        <f t="shared" si="0"/>
        <v/>
      </c>
      <c r="T53" s="172"/>
      <c r="U53" s="27" t="str">
        <f t="shared" si="1"/>
        <v/>
      </c>
      <c r="V53" s="150"/>
      <c r="W53" s="27" t="str">
        <f t="shared" si="2"/>
        <v/>
      </c>
      <c r="X53" s="150"/>
      <c r="Y53" s="27" t="str">
        <f t="shared" si="3"/>
        <v/>
      </c>
      <c r="Z53" s="150"/>
      <c r="AA53" s="27" t="str">
        <f t="shared" si="4"/>
        <v/>
      </c>
      <c r="AB53" s="150"/>
      <c r="AC53" s="27" t="str">
        <f t="shared" si="5"/>
        <v/>
      </c>
      <c r="AD53" s="150"/>
      <c r="AE53" s="27" t="str">
        <f t="shared" si="6"/>
        <v/>
      </c>
      <c r="AF53" s="48" t="str">
        <f t="shared" si="7"/>
        <v/>
      </c>
      <c r="AG53" s="48" t="str">
        <f t="shared" si="8"/>
        <v/>
      </c>
      <c r="AH53" s="131"/>
      <c r="AI53" s="149" t="str">
        <f t="shared" si="9"/>
        <v>Débil</v>
      </c>
      <c r="AJ53" s="21" t="str">
        <f>IFERROR(VLOOKUP((CONCATENATE(AG53,AI53)),Listados!$U$3:$V$11,2,FALSE),"")</f>
        <v/>
      </c>
      <c r="AK53" s="48">
        <f t="shared" si="10"/>
        <v>100</v>
      </c>
      <c r="AL53" s="431"/>
      <c r="AM53" s="433"/>
      <c r="AN53" s="169">
        <f>+IF(AND(Q53="Preventivo",AM49="Fuerte"),2,IF(AND(Q53="Preventivo",AM49="Moderado"),1,0))</f>
        <v>0</v>
      </c>
      <c r="AO53" s="169">
        <f t="shared" si="11"/>
        <v>0</v>
      </c>
      <c r="AP53" s="169">
        <f>+K49-AN53</f>
        <v>4</v>
      </c>
      <c r="AQ53" s="169">
        <f>+M49-AO53</f>
        <v>3</v>
      </c>
      <c r="AR53" s="422"/>
      <c r="AS53" s="422"/>
      <c r="AT53" s="422"/>
      <c r="AU53" s="422"/>
      <c r="AV53" s="387"/>
      <c r="AW53" s="388"/>
      <c r="AX53" s="389"/>
      <c r="AY53" s="387"/>
      <c r="AZ53" s="388"/>
      <c r="BA53" s="389"/>
      <c r="BB53" s="387"/>
      <c r="BC53" s="388"/>
      <c r="BD53" s="389"/>
    </row>
    <row r="54" spans="1:56" ht="15.75" thickBot="1">
      <c r="A54" s="406"/>
      <c r="B54" s="407"/>
      <c r="C54" s="408"/>
      <c r="D54" s="409"/>
      <c r="E54" s="164"/>
      <c r="F54" s="164"/>
      <c r="G54" s="165"/>
      <c r="H54" s="165"/>
      <c r="I54" s="165"/>
      <c r="J54" s="407"/>
      <c r="K54" s="426"/>
      <c r="L54" s="428"/>
      <c r="M54" s="426"/>
      <c r="N54" s="435"/>
      <c r="O54" s="164"/>
      <c r="P54" s="166"/>
      <c r="Q54" s="166"/>
      <c r="R54" s="172"/>
      <c r="S54" s="27" t="str">
        <f t="shared" si="0"/>
        <v/>
      </c>
      <c r="T54" s="172"/>
      <c r="U54" s="27" t="str">
        <f t="shared" si="1"/>
        <v/>
      </c>
      <c r="V54" s="150"/>
      <c r="W54" s="27" t="str">
        <f t="shared" si="2"/>
        <v/>
      </c>
      <c r="X54" s="150"/>
      <c r="Y54" s="27" t="str">
        <f t="shared" si="3"/>
        <v/>
      </c>
      <c r="Z54" s="150"/>
      <c r="AA54" s="27" t="str">
        <f t="shared" si="4"/>
        <v/>
      </c>
      <c r="AB54" s="150"/>
      <c r="AC54" s="27" t="str">
        <f t="shared" si="5"/>
        <v/>
      </c>
      <c r="AD54" s="150"/>
      <c r="AE54" s="27" t="str">
        <f t="shared" si="6"/>
        <v/>
      </c>
      <c r="AF54" s="48" t="str">
        <f t="shared" si="7"/>
        <v/>
      </c>
      <c r="AG54" s="48" t="str">
        <f t="shared" si="8"/>
        <v/>
      </c>
      <c r="AH54" s="131"/>
      <c r="AI54" s="149" t="str">
        <f t="shared" si="9"/>
        <v>Débil</v>
      </c>
      <c r="AJ54" s="21" t="str">
        <f>IFERROR(VLOOKUP((CONCATENATE(AG54,AI54)),Listados!$U$3:$V$11,2,FALSE),"")</f>
        <v/>
      </c>
      <c r="AK54" s="48">
        <f t="shared" si="10"/>
        <v>100</v>
      </c>
      <c r="AL54" s="432"/>
      <c r="AM54" s="433"/>
      <c r="AN54" s="169">
        <f>+IF(AND(Q54="Preventivo",AM49="Fuerte"),2,IF(AND(Q54="Preventivo",AM49="Moderado"),1,0))</f>
        <v>0</v>
      </c>
      <c r="AO54" s="169">
        <f t="shared" si="11"/>
        <v>0</v>
      </c>
      <c r="AP54" s="169">
        <f>+K49-AN54</f>
        <v>4</v>
      </c>
      <c r="AQ54" s="169">
        <f>+M49-AO54</f>
        <v>3</v>
      </c>
      <c r="AR54" s="423"/>
      <c r="AS54" s="423"/>
      <c r="AT54" s="423"/>
      <c r="AU54" s="423"/>
      <c r="AV54" s="387"/>
      <c r="AW54" s="388"/>
      <c r="AX54" s="389"/>
      <c r="AY54" s="387"/>
      <c r="AZ54" s="388"/>
      <c r="BA54" s="389"/>
      <c r="BB54" s="387"/>
      <c r="BC54" s="388"/>
      <c r="BD54" s="389"/>
    </row>
    <row r="55" spans="1:56" ht="157.5" thickBot="1">
      <c r="A55" s="404">
        <v>9</v>
      </c>
      <c r="B55" s="407" t="s">
        <v>39</v>
      </c>
      <c r="C55" s="408" t="str">
        <f>IFERROR(VLOOKUP(B55,Listados!B$3:C$20,2,FALSE),"")</f>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
      <c r="D55" s="409" t="s">
        <v>260</v>
      </c>
      <c r="E55" s="164" t="s">
        <v>52</v>
      </c>
      <c r="F55" s="164"/>
      <c r="G55" s="165" t="s">
        <v>261</v>
      </c>
      <c r="H55" s="165" t="s">
        <v>16</v>
      </c>
      <c r="I55" s="165" t="s">
        <v>262</v>
      </c>
      <c r="J55" s="407" t="s">
        <v>63</v>
      </c>
      <c r="K55" s="424">
        <f>+VLOOKUP(J55,Listados!$K$8:$L$12,2,0)</f>
        <v>5</v>
      </c>
      <c r="L55" s="427" t="s">
        <v>54</v>
      </c>
      <c r="M55" s="424">
        <f>+VLOOKUP(L55,Listados!$K$13:$L$17,2,0)</f>
        <v>4</v>
      </c>
      <c r="N55" s="434" t="str">
        <f>IF(AND(J55&lt;&gt;"",L55&lt;&gt;""),VLOOKUP(J55&amp;L55,Listados!$M$3:$N$27,2,FALSE),"")</f>
        <v>Extremo</v>
      </c>
      <c r="O55" s="164" t="s">
        <v>263</v>
      </c>
      <c r="P55" s="164" t="s">
        <v>261</v>
      </c>
      <c r="Q55" s="165" t="s">
        <v>123</v>
      </c>
      <c r="R55" s="172"/>
      <c r="S55" s="27" t="str">
        <f t="shared" si="0"/>
        <v/>
      </c>
      <c r="T55" s="172"/>
      <c r="U55" s="27" t="str">
        <f t="shared" si="1"/>
        <v/>
      </c>
      <c r="V55" s="150"/>
      <c r="W55" s="27" t="str">
        <f t="shared" si="2"/>
        <v/>
      </c>
      <c r="X55" s="150"/>
      <c r="Y55" s="27" t="str">
        <f t="shared" si="3"/>
        <v/>
      </c>
      <c r="Z55" s="150"/>
      <c r="AA55" s="27" t="str">
        <f t="shared" si="4"/>
        <v/>
      </c>
      <c r="AB55" s="150"/>
      <c r="AC55" s="27" t="str">
        <f t="shared" si="5"/>
        <v/>
      </c>
      <c r="AD55" s="150"/>
      <c r="AE55" s="27" t="str">
        <f t="shared" si="6"/>
        <v/>
      </c>
      <c r="AF55" s="48" t="str">
        <f t="shared" si="7"/>
        <v/>
      </c>
      <c r="AG55" s="48" t="str">
        <f t="shared" si="8"/>
        <v/>
      </c>
      <c r="AH55" s="131"/>
      <c r="AI55" s="149" t="str">
        <f t="shared" si="9"/>
        <v>Débil</v>
      </c>
      <c r="AJ55" s="21" t="str">
        <f>IFERROR(VLOOKUP((CONCATENATE(AG55,AI55)),Listados!$U$3:$V$11,2,FALSE),"")</f>
        <v/>
      </c>
      <c r="AK55" s="48">
        <f t="shared" si="10"/>
        <v>100</v>
      </c>
      <c r="AL55" s="430">
        <f>AVERAGE(AK55:AK60)</f>
        <v>100</v>
      </c>
      <c r="AM55" s="432" t="str">
        <f>IF(AL55&lt;=50, "Débil", IF(AL55&lt;=99,"Moderado","Fuerte"))</f>
        <v>Fuerte</v>
      </c>
      <c r="AN55" s="169">
        <f>+IF(AND(Q55="Preventivo",AM55="Fuerte"),2,IF(AND(Q55="Preventivo",AM55="Moderado"),1,0))</f>
        <v>0</v>
      </c>
      <c r="AO55" s="169">
        <f t="shared" si="11"/>
        <v>2</v>
      </c>
      <c r="AP55" s="169">
        <f>+K55-AN55</f>
        <v>5</v>
      </c>
      <c r="AQ55" s="169">
        <f>+M55-AO55</f>
        <v>2</v>
      </c>
      <c r="AR55" s="421" t="str">
        <f>+VLOOKUP(MIN(AP55,AP56,AP57,AP58,AP59,AP60),Listados!$J$18:$K$24,2,TRUE)</f>
        <v>Posible</v>
      </c>
      <c r="AS55" s="421" t="str">
        <f>+VLOOKUP(MIN(AQ55,AQ56,AQ57,AQ58,AQ59,AQ60),Listados!$J$27:$K$32,2,TRUE)</f>
        <v>Menor</v>
      </c>
      <c r="AT55" s="421" t="str">
        <f>IF(AND(AR55&lt;&gt;"",AS55&lt;&gt;""),VLOOKUP(AR55&amp;AS55,Listados!$M$3:$N$27,2,FALSE),"")</f>
        <v>Moderado</v>
      </c>
      <c r="AU55" s="421" t="str">
        <f>+VLOOKUP(AT55,Listados!$P$3:$Q$6,2,FALSE)</f>
        <v xml:space="preserve"> Reducir el riesgo</v>
      </c>
      <c r="AV55" s="387"/>
      <c r="AW55" s="388"/>
      <c r="AX55" s="389"/>
      <c r="AY55" s="387"/>
      <c r="AZ55" s="388"/>
      <c r="BA55" s="389"/>
      <c r="BB55" s="387"/>
      <c r="BC55" s="388"/>
      <c r="BD55" s="389"/>
    </row>
    <row r="56" spans="1:56" ht="129.75" thickBot="1">
      <c r="A56" s="405"/>
      <c r="B56" s="407"/>
      <c r="C56" s="408"/>
      <c r="D56" s="409"/>
      <c r="E56" s="164"/>
      <c r="F56" s="164"/>
      <c r="G56" s="165" t="s">
        <v>264</v>
      </c>
      <c r="H56" s="165" t="s">
        <v>16</v>
      </c>
      <c r="I56" s="165" t="s">
        <v>265</v>
      </c>
      <c r="J56" s="407"/>
      <c r="K56" s="425"/>
      <c r="L56" s="428"/>
      <c r="M56" s="425"/>
      <c r="N56" s="435"/>
      <c r="O56" s="179" t="s">
        <v>266</v>
      </c>
      <c r="P56" s="164" t="s">
        <v>264</v>
      </c>
      <c r="Q56" s="165" t="s">
        <v>20</v>
      </c>
      <c r="R56" s="172"/>
      <c r="S56" s="27" t="str">
        <f t="shared" si="0"/>
        <v/>
      </c>
      <c r="T56" s="172"/>
      <c r="U56" s="27" t="str">
        <f t="shared" si="1"/>
        <v/>
      </c>
      <c r="V56" s="150"/>
      <c r="W56" s="27" t="str">
        <f t="shared" si="2"/>
        <v/>
      </c>
      <c r="X56" s="150"/>
      <c r="Y56" s="27" t="str">
        <f t="shared" si="3"/>
        <v/>
      </c>
      <c r="Z56" s="150"/>
      <c r="AA56" s="27" t="str">
        <f t="shared" si="4"/>
        <v/>
      </c>
      <c r="AB56" s="150"/>
      <c r="AC56" s="27" t="str">
        <f t="shared" si="5"/>
        <v/>
      </c>
      <c r="AD56" s="150"/>
      <c r="AE56" s="27" t="str">
        <f t="shared" si="6"/>
        <v/>
      </c>
      <c r="AF56" s="48" t="str">
        <f t="shared" si="7"/>
        <v/>
      </c>
      <c r="AG56" s="48" t="str">
        <f t="shared" si="8"/>
        <v/>
      </c>
      <c r="AH56" s="131"/>
      <c r="AI56" s="149" t="str">
        <f t="shared" si="9"/>
        <v>Débil</v>
      </c>
      <c r="AJ56" s="21" t="str">
        <f>IFERROR(VLOOKUP((CONCATENATE(AG56,AI56)),Listados!$U$3:$V$11,2,FALSE),"")</f>
        <v/>
      </c>
      <c r="AK56" s="48">
        <f t="shared" si="10"/>
        <v>100</v>
      </c>
      <c r="AL56" s="431"/>
      <c r="AM56" s="433"/>
      <c r="AN56" s="169">
        <f>+IF(AND(Q56="Preventivo",AM55="Fuerte"),2,IF(AND(Q56="Preventivo",AM55="Moderado"),1,0))</f>
        <v>2</v>
      </c>
      <c r="AO56" s="169">
        <f t="shared" si="11"/>
        <v>1</v>
      </c>
      <c r="AP56" s="169">
        <f>+K55-AN56</f>
        <v>3</v>
      </c>
      <c r="AQ56" s="169">
        <f>+M55-AO56</f>
        <v>3</v>
      </c>
      <c r="AR56" s="422"/>
      <c r="AS56" s="422"/>
      <c r="AT56" s="422"/>
      <c r="AU56" s="422"/>
      <c r="AV56" s="387"/>
      <c r="AW56" s="388"/>
      <c r="AX56" s="389"/>
      <c r="AY56" s="387"/>
      <c r="AZ56" s="388"/>
      <c r="BA56" s="389"/>
      <c r="BB56" s="387"/>
      <c r="BC56" s="388"/>
      <c r="BD56" s="389"/>
    </row>
    <row r="57" spans="1:56" ht="171.75" thickBot="1">
      <c r="A57" s="405"/>
      <c r="B57" s="407"/>
      <c r="C57" s="408"/>
      <c r="D57" s="409"/>
      <c r="E57" s="164"/>
      <c r="F57" s="164"/>
      <c r="G57" s="165" t="s">
        <v>267</v>
      </c>
      <c r="H57" s="165" t="s">
        <v>16</v>
      </c>
      <c r="I57" s="165" t="s">
        <v>268</v>
      </c>
      <c r="J57" s="407"/>
      <c r="K57" s="425"/>
      <c r="L57" s="428"/>
      <c r="M57" s="425"/>
      <c r="N57" s="435"/>
      <c r="O57" s="164" t="s">
        <v>269</v>
      </c>
      <c r="P57" s="164" t="s">
        <v>270</v>
      </c>
      <c r="Q57" s="165" t="s">
        <v>123</v>
      </c>
      <c r="R57" s="172"/>
      <c r="S57" s="27" t="str">
        <f t="shared" si="0"/>
        <v/>
      </c>
      <c r="T57" s="172"/>
      <c r="U57" s="27" t="str">
        <f t="shared" si="1"/>
        <v/>
      </c>
      <c r="V57" s="150"/>
      <c r="W57" s="27" t="str">
        <f t="shared" si="2"/>
        <v/>
      </c>
      <c r="X57" s="150"/>
      <c r="Y57" s="27" t="str">
        <f t="shared" si="3"/>
        <v/>
      </c>
      <c r="Z57" s="150"/>
      <c r="AA57" s="27" t="str">
        <f t="shared" si="4"/>
        <v/>
      </c>
      <c r="AB57" s="150"/>
      <c r="AC57" s="27" t="str">
        <f t="shared" si="5"/>
        <v/>
      </c>
      <c r="AD57" s="150"/>
      <c r="AE57" s="27" t="str">
        <f t="shared" si="6"/>
        <v/>
      </c>
      <c r="AF57" s="48" t="str">
        <f t="shared" si="7"/>
        <v/>
      </c>
      <c r="AG57" s="48" t="str">
        <f t="shared" si="8"/>
        <v/>
      </c>
      <c r="AH57" s="131"/>
      <c r="AI57" s="149" t="str">
        <f t="shared" si="9"/>
        <v>Débil</v>
      </c>
      <c r="AJ57" s="21" t="str">
        <f>IFERROR(VLOOKUP((CONCATENATE(AG57,AI57)),Listados!$U$3:$V$11,2,FALSE),"")</f>
        <v/>
      </c>
      <c r="AK57" s="48">
        <f t="shared" si="10"/>
        <v>100</v>
      </c>
      <c r="AL57" s="431"/>
      <c r="AM57" s="433"/>
      <c r="AN57" s="169">
        <f>+IF(AND(Q57="Preventivo",AM55="Fuerte"),2,IF(AND(Q57="Preventivo",AM55="Moderado"),1,0))</f>
        <v>0</v>
      </c>
      <c r="AO57" s="169">
        <f t="shared" si="11"/>
        <v>2</v>
      </c>
      <c r="AP57" s="169">
        <f>+K55-AN57</f>
        <v>5</v>
      </c>
      <c r="AQ57" s="169">
        <f>+M55-AO57</f>
        <v>2</v>
      </c>
      <c r="AR57" s="422"/>
      <c r="AS57" s="422"/>
      <c r="AT57" s="422"/>
      <c r="AU57" s="422"/>
      <c r="AV57" s="387"/>
      <c r="AW57" s="388"/>
      <c r="AX57" s="389"/>
      <c r="AY57" s="387"/>
      <c r="AZ57" s="388"/>
      <c r="BA57" s="389"/>
      <c r="BB57" s="387"/>
      <c r="BC57" s="388"/>
      <c r="BD57" s="389"/>
    </row>
    <row r="58" spans="1:56" ht="143.25" thickBot="1">
      <c r="A58" s="405"/>
      <c r="B58" s="407"/>
      <c r="C58" s="408"/>
      <c r="D58" s="409"/>
      <c r="E58" s="164"/>
      <c r="F58" s="164"/>
      <c r="G58" s="165" t="s">
        <v>271</v>
      </c>
      <c r="H58" s="165" t="s">
        <v>16</v>
      </c>
      <c r="I58" s="165" t="s">
        <v>272</v>
      </c>
      <c r="J58" s="407"/>
      <c r="K58" s="425"/>
      <c r="L58" s="428"/>
      <c r="M58" s="425"/>
      <c r="N58" s="435"/>
      <c r="O58" s="164" t="s">
        <v>273</v>
      </c>
      <c r="P58" s="164" t="s">
        <v>274</v>
      </c>
      <c r="Q58" s="165" t="s">
        <v>20</v>
      </c>
      <c r="R58" s="172"/>
      <c r="S58" s="27" t="str">
        <f t="shared" si="0"/>
        <v/>
      </c>
      <c r="T58" s="172"/>
      <c r="U58" s="27" t="str">
        <f t="shared" si="1"/>
        <v/>
      </c>
      <c r="V58" s="150"/>
      <c r="W58" s="27" t="str">
        <f t="shared" si="2"/>
        <v/>
      </c>
      <c r="X58" s="150"/>
      <c r="Y58" s="27" t="str">
        <f t="shared" si="3"/>
        <v/>
      </c>
      <c r="Z58" s="150"/>
      <c r="AA58" s="27" t="str">
        <f t="shared" si="4"/>
        <v/>
      </c>
      <c r="AB58" s="150"/>
      <c r="AC58" s="27" t="str">
        <f t="shared" si="5"/>
        <v/>
      </c>
      <c r="AD58" s="150"/>
      <c r="AE58" s="27" t="str">
        <f t="shared" si="6"/>
        <v/>
      </c>
      <c r="AF58" s="48" t="str">
        <f t="shared" si="7"/>
        <v/>
      </c>
      <c r="AG58" s="48" t="str">
        <f t="shared" si="8"/>
        <v/>
      </c>
      <c r="AH58" s="131"/>
      <c r="AI58" s="149" t="str">
        <f t="shared" si="9"/>
        <v>Débil</v>
      </c>
      <c r="AJ58" s="21" t="str">
        <f>IFERROR(VLOOKUP((CONCATENATE(AG58,AI58)),Listados!$U$3:$V$11,2,FALSE),"")</f>
        <v/>
      </c>
      <c r="AK58" s="48">
        <f t="shared" si="10"/>
        <v>100</v>
      </c>
      <c r="AL58" s="431"/>
      <c r="AM58" s="433"/>
      <c r="AN58" s="169">
        <f>+IF(AND(Q58="Preventivo",AM55="Fuerte"),2,IF(AND(Q58="Preventivo",AM55="Moderado"),1,0))</f>
        <v>2</v>
      </c>
      <c r="AO58" s="169">
        <f t="shared" si="11"/>
        <v>1</v>
      </c>
      <c r="AP58" s="169">
        <f>+K55-AN58</f>
        <v>3</v>
      </c>
      <c r="AQ58" s="169">
        <f>+M55-AO58</f>
        <v>3</v>
      </c>
      <c r="AR58" s="422"/>
      <c r="AS58" s="422"/>
      <c r="AT58" s="422"/>
      <c r="AU58" s="422"/>
      <c r="AV58" s="387"/>
      <c r="AW58" s="388"/>
      <c r="AX58" s="389"/>
      <c r="AY58" s="387"/>
      <c r="AZ58" s="388"/>
      <c r="BA58" s="389"/>
      <c r="BB58" s="387"/>
      <c r="BC58" s="388"/>
      <c r="BD58" s="389"/>
    </row>
    <row r="59" spans="1:56" ht="129" thickBot="1">
      <c r="A59" s="405"/>
      <c r="B59" s="407"/>
      <c r="C59" s="408"/>
      <c r="D59" s="409"/>
      <c r="E59" s="164"/>
      <c r="F59" s="164"/>
      <c r="G59" s="165" t="s">
        <v>275</v>
      </c>
      <c r="H59" s="165" t="s">
        <v>16</v>
      </c>
      <c r="I59" s="129" t="s">
        <v>276</v>
      </c>
      <c r="J59" s="407"/>
      <c r="K59" s="425"/>
      <c r="L59" s="428"/>
      <c r="M59" s="425"/>
      <c r="N59" s="435"/>
      <c r="O59" s="164" t="s">
        <v>277</v>
      </c>
      <c r="P59" s="165" t="s">
        <v>275</v>
      </c>
      <c r="Q59" s="165" t="s">
        <v>20</v>
      </c>
      <c r="R59" s="172"/>
      <c r="S59" s="27" t="str">
        <f t="shared" si="0"/>
        <v/>
      </c>
      <c r="T59" s="172"/>
      <c r="U59" s="27" t="str">
        <f t="shared" si="1"/>
        <v/>
      </c>
      <c r="V59" s="150"/>
      <c r="W59" s="27" t="str">
        <f t="shared" si="2"/>
        <v/>
      </c>
      <c r="X59" s="150"/>
      <c r="Y59" s="27" t="str">
        <f t="shared" si="3"/>
        <v/>
      </c>
      <c r="Z59" s="150"/>
      <c r="AA59" s="27" t="str">
        <f t="shared" si="4"/>
        <v/>
      </c>
      <c r="AB59" s="150"/>
      <c r="AC59" s="27" t="str">
        <f t="shared" si="5"/>
        <v/>
      </c>
      <c r="AD59" s="150"/>
      <c r="AE59" s="27" t="str">
        <f t="shared" si="6"/>
        <v/>
      </c>
      <c r="AF59" s="48" t="str">
        <f t="shared" si="7"/>
        <v/>
      </c>
      <c r="AG59" s="48" t="str">
        <f t="shared" si="8"/>
        <v/>
      </c>
      <c r="AH59" s="131"/>
      <c r="AI59" s="149" t="str">
        <f t="shared" si="9"/>
        <v>Débil</v>
      </c>
      <c r="AJ59" s="21" t="str">
        <f>IFERROR(VLOOKUP((CONCATENATE(AG59,AI59)),Listados!$U$3:$V$11,2,FALSE),"")</f>
        <v/>
      </c>
      <c r="AK59" s="48">
        <f t="shared" si="10"/>
        <v>100</v>
      </c>
      <c r="AL59" s="431"/>
      <c r="AM59" s="433"/>
      <c r="AN59" s="169">
        <f>+IF(AND(Q59="Preventivo",AM55="Fuerte"),2,IF(AND(Q59="Preventivo",AM55="Moderado"),1,0))</f>
        <v>2</v>
      </c>
      <c r="AO59" s="169">
        <f t="shared" si="11"/>
        <v>1</v>
      </c>
      <c r="AP59" s="169">
        <f>+K55-AN59</f>
        <v>3</v>
      </c>
      <c r="AQ59" s="169">
        <f>+M55-AO59</f>
        <v>3</v>
      </c>
      <c r="AR59" s="422"/>
      <c r="AS59" s="422"/>
      <c r="AT59" s="422"/>
      <c r="AU59" s="422"/>
      <c r="AV59" s="387"/>
      <c r="AW59" s="388"/>
      <c r="AX59" s="389"/>
      <c r="AY59" s="387"/>
      <c r="AZ59" s="388"/>
      <c r="BA59" s="389"/>
      <c r="BB59" s="387"/>
      <c r="BC59" s="388"/>
      <c r="BD59" s="389"/>
    </row>
    <row r="60" spans="1:56" ht="157.5" thickBot="1">
      <c r="A60" s="406"/>
      <c r="B60" s="407"/>
      <c r="C60" s="408"/>
      <c r="D60" s="409"/>
      <c r="E60" s="164"/>
      <c r="F60" s="164"/>
      <c r="G60" s="165"/>
      <c r="H60" s="165"/>
      <c r="I60" s="165"/>
      <c r="J60" s="407"/>
      <c r="K60" s="426"/>
      <c r="L60" s="428"/>
      <c r="M60" s="426"/>
      <c r="N60" s="435"/>
      <c r="O60" s="164" t="s">
        <v>278</v>
      </c>
      <c r="P60" s="165" t="s">
        <v>275</v>
      </c>
      <c r="Q60" s="166"/>
      <c r="R60" s="172"/>
      <c r="S60" s="27" t="str">
        <f t="shared" si="0"/>
        <v/>
      </c>
      <c r="T60" s="172"/>
      <c r="U60" s="27" t="str">
        <f t="shared" si="1"/>
        <v/>
      </c>
      <c r="V60" s="150"/>
      <c r="W60" s="27" t="str">
        <f t="shared" si="2"/>
        <v/>
      </c>
      <c r="X60" s="150"/>
      <c r="Y60" s="27" t="str">
        <f t="shared" si="3"/>
        <v/>
      </c>
      <c r="Z60" s="150"/>
      <c r="AA60" s="27" t="str">
        <f t="shared" si="4"/>
        <v/>
      </c>
      <c r="AB60" s="150"/>
      <c r="AC60" s="27" t="str">
        <f t="shared" si="5"/>
        <v/>
      </c>
      <c r="AD60" s="150"/>
      <c r="AE60" s="27" t="str">
        <f t="shared" si="6"/>
        <v/>
      </c>
      <c r="AF60" s="48" t="str">
        <f t="shared" si="7"/>
        <v/>
      </c>
      <c r="AG60" s="48" t="str">
        <f t="shared" si="8"/>
        <v/>
      </c>
      <c r="AH60" s="131"/>
      <c r="AI60" s="149" t="str">
        <f t="shared" si="9"/>
        <v>Débil</v>
      </c>
      <c r="AJ60" s="21" t="str">
        <f>IFERROR(VLOOKUP((CONCATENATE(AG60,AI60)),Listados!$U$3:$V$11,2,FALSE),"")</f>
        <v/>
      </c>
      <c r="AK60" s="48">
        <f t="shared" si="10"/>
        <v>100</v>
      </c>
      <c r="AL60" s="432"/>
      <c r="AM60" s="433"/>
      <c r="AN60" s="169">
        <f>+IF(AND(Q60="Preventivo",AM55="Fuerte"),2,IF(AND(Q60="Preventivo",AM55="Moderado"),1,0))</f>
        <v>0</v>
      </c>
      <c r="AO60" s="169">
        <f t="shared" si="11"/>
        <v>0</v>
      </c>
      <c r="AP60" s="169">
        <f>+K55-AN60</f>
        <v>5</v>
      </c>
      <c r="AQ60" s="169">
        <f>+M55-AO60</f>
        <v>4</v>
      </c>
      <c r="AR60" s="423"/>
      <c r="AS60" s="423"/>
      <c r="AT60" s="423"/>
      <c r="AU60" s="423"/>
      <c r="AV60" s="387"/>
      <c r="AW60" s="388"/>
      <c r="AX60" s="389"/>
      <c r="AY60" s="387"/>
      <c r="AZ60" s="388"/>
      <c r="BA60" s="389"/>
      <c r="BB60" s="387"/>
      <c r="BC60" s="388"/>
      <c r="BD60" s="389"/>
    </row>
    <row r="61" spans="1:56" ht="15.75" thickBot="1">
      <c r="A61" s="404">
        <v>10</v>
      </c>
      <c r="B61" s="407"/>
      <c r="C61" s="408" t="str">
        <f>IFERROR(VLOOKUP(B61,Listados!B$3:C$20,2,FALSE),"")</f>
        <v/>
      </c>
      <c r="D61" s="409"/>
      <c r="E61" s="164"/>
      <c r="F61" s="164"/>
      <c r="G61" s="165"/>
      <c r="H61" s="165"/>
      <c r="I61" s="165"/>
      <c r="J61" s="407"/>
      <c r="K61" s="424" t="e">
        <f>+VLOOKUP(J61,Listados!$K$8:$L$12,2,0)</f>
        <v>#N/A</v>
      </c>
      <c r="L61" s="427"/>
      <c r="M61" s="424" t="e">
        <f>+VLOOKUP(L61,Listados!$K$13:$L$17,2,0)</f>
        <v>#N/A</v>
      </c>
      <c r="N61" s="434" t="str">
        <f>IF(AND(J61&lt;&gt;"",L61&lt;&gt;""),VLOOKUP(J61&amp;L61,Listados!$M$3:$N$27,2,FALSE),"")</f>
        <v/>
      </c>
      <c r="O61" s="164"/>
      <c r="P61" s="164"/>
      <c r="Q61" s="165"/>
      <c r="R61" s="172"/>
      <c r="S61" s="27" t="str">
        <f t="shared" si="0"/>
        <v/>
      </c>
      <c r="T61" s="172"/>
      <c r="U61" s="27" t="str">
        <f t="shared" si="1"/>
        <v/>
      </c>
      <c r="V61" s="150"/>
      <c r="W61" s="27" t="str">
        <f t="shared" si="2"/>
        <v/>
      </c>
      <c r="X61" s="150"/>
      <c r="Y61" s="27" t="str">
        <f t="shared" si="3"/>
        <v/>
      </c>
      <c r="Z61" s="150"/>
      <c r="AA61" s="27" t="str">
        <f t="shared" si="4"/>
        <v/>
      </c>
      <c r="AB61" s="150"/>
      <c r="AC61" s="27" t="str">
        <f t="shared" si="5"/>
        <v/>
      </c>
      <c r="AD61" s="150"/>
      <c r="AE61" s="27" t="str">
        <f t="shared" si="6"/>
        <v/>
      </c>
      <c r="AF61" s="48" t="str">
        <f t="shared" si="7"/>
        <v/>
      </c>
      <c r="AG61" s="48" t="str">
        <f t="shared" si="8"/>
        <v/>
      </c>
      <c r="AH61" s="131"/>
      <c r="AI61" s="149" t="str">
        <f t="shared" si="9"/>
        <v>Débil</v>
      </c>
      <c r="AJ61" s="21" t="str">
        <f>IFERROR(VLOOKUP((CONCATENATE(AG61,AI61)),Listados!$U$3:$V$11,2,FALSE),"")</f>
        <v/>
      </c>
      <c r="AK61" s="48">
        <f t="shared" si="10"/>
        <v>100</v>
      </c>
      <c r="AL61" s="430">
        <f>AVERAGE(AK61:AK66)</f>
        <v>100</v>
      </c>
      <c r="AM61" s="432" t="str">
        <f>IF(AL61&lt;=50, "Débil", IF(AL61&lt;=99,"Moderado","Fuerte"))</f>
        <v>Fuerte</v>
      </c>
      <c r="AN61" s="169">
        <f>+IF(AND(Q61="Preventivo",AM61="Fuerte"),2,IF(AND(Q61="Preventivo",AM61="Moderado"),1,0))</f>
        <v>0</v>
      </c>
      <c r="AO61" s="169">
        <f t="shared" si="11"/>
        <v>0</v>
      </c>
      <c r="AP61" s="169" t="e">
        <f>+K61-AN61</f>
        <v>#N/A</v>
      </c>
      <c r="AQ61" s="169" t="e">
        <f>+M61-AO61</f>
        <v>#N/A</v>
      </c>
      <c r="AR61" s="421" t="e">
        <f>+VLOOKUP(MIN(AP61,AP62,AP63,AP64,AP65,AP66),Listados!$J$18:$K$24,2,TRUE)</f>
        <v>#N/A</v>
      </c>
      <c r="AS61" s="421" t="e">
        <f>+VLOOKUP(MIN(AQ61,AQ62,AQ63,AQ64,AQ65,AQ66),Listados!$J$27:$K$32,2,TRUE)</f>
        <v>#N/A</v>
      </c>
      <c r="AT61" s="421" t="e">
        <f>IF(AND(AR61&lt;&gt;"",AS61&lt;&gt;""),VLOOKUP(AR61&amp;AS61,Listados!$M$3:$N$27,2,FALSE),"")</f>
        <v>#N/A</v>
      </c>
      <c r="AU61" s="421" t="e">
        <f>+VLOOKUP(AT61,Listados!$P$3:$Q$6,2,FALSE)</f>
        <v>#N/A</v>
      </c>
      <c r="AV61" s="387"/>
      <c r="AW61" s="388"/>
      <c r="AX61" s="389"/>
      <c r="AY61" s="387"/>
      <c r="AZ61" s="388"/>
      <c r="BA61" s="389"/>
      <c r="BB61" s="387"/>
      <c r="BC61" s="388"/>
      <c r="BD61" s="389"/>
    </row>
    <row r="62" spans="1:56" ht="15.75" thickBot="1">
      <c r="A62" s="405"/>
      <c r="B62" s="407"/>
      <c r="C62" s="408"/>
      <c r="D62" s="409"/>
      <c r="E62" s="164"/>
      <c r="F62" s="164"/>
      <c r="G62" s="165"/>
      <c r="H62" s="165"/>
      <c r="I62" s="165"/>
      <c r="J62" s="407"/>
      <c r="K62" s="425"/>
      <c r="L62" s="428"/>
      <c r="M62" s="425"/>
      <c r="N62" s="435"/>
      <c r="O62" s="164"/>
      <c r="P62" s="164"/>
      <c r="Q62" s="165"/>
      <c r="R62" s="172"/>
      <c r="S62" s="27" t="str">
        <f t="shared" si="0"/>
        <v/>
      </c>
      <c r="T62" s="172"/>
      <c r="U62" s="27" t="str">
        <f t="shared" si="1"/>
        <v/>
      </c>
      <c r="V62" s="150"/>
      <c r="W62" s="27" t="str">
        <f t="shared" si="2"/>
        <v/>
      </c>
      <c r="X62" s="150"/>
      <c r="Y62" s="27" t="str">
        <f t="shared" si="3"/>
        <v/>
      </c>
      <c r="Z62" s="150"/>
      <c r="AA62" s="27" t="str">
        <f t="shared" si="4"/>
        <v/>
      </c>
      <c r="AB62" s="150"/>
      <c r="AC62" s="27" t="str">
        <f t="shared" si="5"/>
        <v/>
      </c>
      <c r="AD62" s="150"/>
      <c r="AE62" s="27" t="str">
        <f t="shared" si="6"/>
        <v/>
      </c>
      <c r="AF62" s="48" t="str">
        <f t="shared" si="7"/>
        <v/>
      </c>
      <c r="AG62" s="48" t="str">
        <f t="shared" si="8"/>
        <v/>
      </c>
      <c r="AH62" s="131"/>
      <c r="AI62" s="149" t="str">
        <f t="shared" si="9"/>
        <v>Débil</v>
      </c>
      <c r="AJ62" s="21" t="str">
        <f>IFERROR(VLOOKUP((CONCATENATE(AG62,AI62)),Listados!$U$3:$V$11,2,FALSE),"")</f>
        <v/>
      </c>
      <c r="AK62" s="48">
        <f t="shared" si="10"/>
        <v>100</v>
      </c>
      <c r="AL62" s="431"/>
      <c r="AM62" s="433"/>
      <c r="AN62" s="169">
        <f>+IF(AND(Q62="Preventivo",AM61="Fuerte"),2,IF(AND(Q62="Preventivo",AM61="Moderado"),1,0))</f>
        <v>0</v>
      </c>
      <c r="AO62" s="169">
        <f t="shared" si="11"/>
        <v>0</v>
      </c>
      <c r="AP62" s="169" t="e">
        <f>+K61-AN62</f>
        <v>#N/A</v>
      </c>
      <c r="AQ62" s="169" t="e">
        <f>+M61-AO62</f>
        <v>#N/A</v>
      </c>
      <c r="AR62" s="422"/>
      <c r="AS62" s="422"/>
      <c r="AT62" s="422"/>
      <c r="AU62" s="422"/>
      <c r="AV62" s="387"/>
      <c r="AW62" s="388"/>
      <c r="AX62" s="389"/>
      <c r="AY62" s="387"/>
      <c r="AZ62" s="388"/>
      <c r="BA62" s="389"/>
      <c r="BB62" s="387"/>
      <c r="BC62" s="388"/>
      <c r="BD62" s="389"/>
    </row>
    <row r="63" spans="1:56" ht="15.75" thickBot="1">
      <c r="A63" s="405"/>
      <c r="B63" s="407"/>
      <c r="C63" s="408"/>
      <c r="D63" s="409"/>
      <c r="E63" s="164"/>
      <c r="F63" s="164"/>
      <c r="G63" s="165"/>
      <c r="H63" s="165"/>
      <c r="I63" s="165"/>
      <c r="J63" s="407"/>
      <c r="K63" s="425"/>
      <c r="L63" s="428"/>
      <c r="M63" s="425"/>
      <c r="N63" s="435"/>
      <c r="O63" s="164"/>
      <c r="P63" s="164"/>
      <c r="Q63" s="165"/>
      <c r="R63" s="150"/>
      <c r="S63" s="27" t="str">
        <f t="shared" si="0"/>
        <v/>
      </c>
      <c r="T63" s="172"/>
      <c r="U63" s="27" t="str">
        <f t="shared" si="1"/>
        <v/>
      </c>
      <c r="V63" s="150"/>
      <c r="W63" s="27" t="str">
        <f t="shared" si="2"/>
        <v/>
      </c>
      <c r="X63" s="150"/>
      <c r="Y63" s="27" t="str">
        <f t="shared" si="3"/>
        <v/>
      </c>
      <c r="Z63" s="150"/>
      <c r="AA63" s="27" t="str">
        <f t="shared" si="4"/>
        <v/>
      </c>
      <c r="AB63" s="150"/>
      <c r="AC63" s="27" t="str">
        <f t="shared" si="5"/>
        <v/>
      </c>
      <c r="AD63" s="150"/>
      <c r="AE63" s="27" t="str">
        <f t="shared" si="6"/>
        <v/>
      </c>
      <c r="AF63" s="48" t="str">
        <f t="shared" si="7"/>
        <v/>
      </c>
      <c r="AG63" s="48" t="str">
        <f t="shared" si="8"/>
        <v/>
      </c>
      <c r="AH63" s="131"/>
      <c r="AI63" s="149" t="str">
        <f t="shared" si="9"/>
        <v>Débil</v>
      </c>
      <c r="AJ63" s="21" t="str">
        <f>IFERROR(VLOOKUP((CONCATENATE(AG63,AI63)),Listados!$U$3:$V$11,2,FALSE),"")</f>
        <v/>
      </c>
      <c r="AK63" s="48">
        <f t="shared" si="10"/>
        <v>100</v>
      </c>
      <c r="AL63" s="431"/>
      <c r="AM63" s="433"/>
      <c r="AN63" s="169">
        <f>+IF(AND(Q63="Preventivo",AM61="Fuerte"),2,IF(AND(Q63="Preventivo",AM61="Moderado"),1,0))</f>
        <v>0</v>
      </c>
      <c r="AO63" s="169">
        <f t="shared" si="11"/>
        <v>0</v>
      </c>
      <c r="AP63" s="169" t="e">
        <f>+K61-AN63</f>
        <v>#N/A</v>
      </c>
      <c r="AQ63" s="169" t="e">
        <f>+M61-AO63</f>
        <v>#N/A</v>
      </c>
      <c r="AR63" s="422"/>
      <c r="AS63" s="422"/>
      <c r="AT63" s="422"/>
      <c r="AU63" s="422"/>
      <c r="AV63" s="387"/>
      <c r="AW63" s="388"/>
      <c r="AX63" s="389"/>
      <c r="AY63" s="387"/>
      <c r="AZ63" s="388"/>
      <c r="BA63" s="389"/>
      <c r="BB63" s="387"/>
      <c r="BC63" s="388"/>
      <c r="BD63" s="389"/>
    </row>
    <row r="64" spans="1:56" ht="15.75" thickBot="1">
      <c r="A64" s="405"/>
      <c r="B64" s="407"/>
      <c r="C64" s="408"/>
      <c r="D64" s="409"/>
      <c r="E64" s="164"/>
      <c r="F64" s="164"/>
      <c r="G64" s="165"/>
      <c r="H64" s="165"/>
      <c r="I64" s="165"/>
      <c r="J64" s="407"/>
      <c r="K64" s="425"/>
      <c r="L64" s="428"/>
      <c r="M64" s="425"/>
      <c r="N64" s="435"/>
      <c r="O64" s="164"/>
      <c r="P64" s="164"/>
      <c r="Q64" s="165"/>
      <c r="R64" s="172"/>
      <c r="S64" s="27" t="str">
        <f t="shared" si="0"/>
        <v/>
      </c>
      <c r="T64" s="172"/>
      <c r="U64" s="27" t="str">
        <f t="shared" si="1"/>
        <v/>
      </c>
      <c r="V64" s="150"/>
      <c r="W64" s="27" t="str">
        <f t="shared" si="2"/>
        <v/>
      </c>
      <c r="X64" s="150"/>
      <c r="Y64" s="27" t="str">
        <f t="shared" si="3"/>
        <v/>
      </c>
      <c r="Z64" s="150"/>
      <c r="AA64" s="27" t="str">
        <f t="shared" si="4"/>
        <v/>
      </c>
      <c r="AB64" s="150"/>
      <c r="AC64" s="27" t="str">
        <f t="shared" si="5"/>
        <v/>
      </c>
      <c r="AD64" s="150"/>
      <c r="AE64" s="27" t="str">
        <f t="shared" si="6"/>
        <v/>
      </c>
      <c r="AF64" s="48" t="str">
        <f t="shared" si="7"/>
        <v/>
      </c>
      <c r="AG64" s="48" t="str">
        <f t="shared" si="8"/>
        <v/>
      </c>
      <c r="AH64" s="131"/>
      <c r="AI64" s="149" t="str">
        <f t="shared" si="9"/>
        <v>Débil</v>
      </c>
      <c r="AJ64" s="21" t="str">
        <f>IFERROR(VLOOKUP((CONCATENATE(AG64,AI64)),Listados!$U$3:$V$11,2,FALSE),"")</f>
        <v/>
      </c>
      <c r="AK64" s="48">
        <f t="shared" si="10"/>
        <v>100</v>
      </c>
      <c r="AL64" s="431"/>
      <c r="AM64" s="433"/>
      <c r="AN64" s="169">
        <f>+IF(AND(Q64="Preventivo",AM61="Fuerte"),2,IF(AND(Q64="Preventivo",AM61="Moderado"),1,0))</f>
        <v>0</v>
      </c>
      <c r="AO64" s="169">
        <f t="shared" si="11"/>
        <v>0</v>
      </c>
      <c r="AP64" s="169" t="e">
        <f>+K61-AN64</f>
        <v>#N/A</v>
      </c>
      <c r="AQ64" s="169" t="e">
        <f>+M61-AO64</f>
        <v>#N/A</v>
      </c>
      <c r="AR64" s="422"/>
      <c r="AS64" s="422"/>
      <c r="AT64" s="422"/>
      <c r="AU64" s="422"/>
      <c r="AV64" s="387"/>
      <c r="AW64" s="388"/>
      <c r="AX64" s="389"/>
      <c r="AY64" s="387"/>
      <c r="AZ64" s="388"/>
      <c r="BA64" s="389"/>
      <c r="BB64" s="387"/>
      <c r="BC64" s="388"/>
      <c r="BD64" s="389"/>
    </row>
    <row r="65" spans="1:56" ht="15.75" thickBot="1">
      <c r="A65" s="405"/>
      <c r="B65" s="407"/>
      <c r="C65" s="408"/>
      <c r="D65" s="409"/>
      <c r="E65" s="164"/>
      <c r="F65" s="164"/>
      <c r="G65" s="165"/>
      <c r="H65" s="165"/>
      <c r="I65" s="165"/>
      <c r="J65" s="407"/>
      <c r="K65" s="425"/>
      <c r="L65" s="428"/>
      <c r="M65" s="425"/>
      <c r="N65" s="435"/>
      <c r="O65" s="164"/>
      <c r="P65" s="164"/>
      <c r="Q65" s="165"/>
      <c r="R65" s="172"/>
      <c r="S65" s="27" t="str">
        <f t="shared" si="0"/>
        <v/>
      </c>
      <c r="T65" s="172"/>
      <c r="U65" s="27" t="str">
        <f t="shared" si="1"/>
        <v/>
      </c>
      <c r="V65" s="150"/>
      <c r="W65" s="27" t="str">
        <f t="shared" si="2"/>
        <v/>
      </c>
      <c r="X65" s="150"/>
      <c r="Y65" s="27" t="str">
        <f t="shared" si="3"/>
        <v/>
      </c>
      <c r="Z65" s="150"/>
      <c r="AA65" s="27" t="str">
        <f t="shared" si="4"/>
        <v/>
      </c>
      <c r="AB65" s="150"/>
      <c r="AC65" s="27" t="str">
        <f t="shared" si="5"/>
        <v/>
      </c>
      <c r="AD65" s="150"/>
      <c r="AE65" s="27" t="str">
        <f t="shared" si="6"/>
        <v/>
      </c>
      <c r="AF65" s="48" t="str">
        <f t="shared" si="7"/>
        <v/>
      </c>
      <c r="AG65" s="48" t="str">
        <f t="shared" si="8"/>
        <v/>
      </c>
      <c r="AH65" s="131"/>
      <c r="AI65" s="149" t="str">
        <f t="shared" si="9"/>
        <v>Débil</v>
      </c>
      <c r="AJ65" s="21" t="str">
        <f>IFERROR(VLOOKUP((CONCATENATE(AG65,AI65)),Listados!$U$3:$V$11,2,FALSE),"")</f>
        <v/>
      </c>
      <c r="AK65" s="48">
        <f t="shared" si="10"/>
        <v>100</v>
      </c>
      <c r="AL65" s="431"/>
      <c r="AM65" s="433"/>
      <c r="AN65" s="169">
        <f>+IF(AND(Q65="Preventivo",AM61="Fuerte"),2,IF(AND(Q65="Preventivo",AM61="Moderado"),1,0))</f>
        <v>0</v>
      </c>
      <c r="AO65" s="169">
        <f t="shared" si="11"/>
        <v>0</v>
      </c>
      <c r="AP65" s="169" t="e">
        <f>+K61-AN65</f>
        <v>#N/A</v>
      </c>
      <c r="AQ65" s="169" t="e">
        <f>+M61-AO65</f>
        <v>#N/A</v>
      </c>
      <c r="AR65" s="422"/>
      <c r="AS65" s="422"/>
      <c r="AT65" s="422"/>
      <c r="AU65" s="422"/>
      <c r="AV65" s="387"/>
      <c r="AW65" s="388"/>
      <c r="AX65" s="389"/>
      <c r="AY65" s="387"/>
      <c r="AZ65" s="388"/>
      <c r="BA65" s="389"/>
      <c r="BB65" s="387"/>
      <c r="BC65" s="388"/>
      <c r="BD65" s="389"/>
    </row>
    <row r="66" spans="1:56" ht="15.75" thickBot="1">
      <c r="A66" s="406"/>
      <c r="B66" s="407"/>
      <c r="C66" s="408"/>
      <c r="D66" s="409"/>
      <c r="E66" s="164"/>
      <c r="F66" s="164"/>
      <c r="G66" s="165"/>
      <c r="H66" s="165"/>
      <c r="I66" s="165"/>
      <c r="J66" s="407"/>
      <c r="K66" s="426"/>
      <c r="L66" s="428"/>
      <c r="M66" s="426"/>
      <c r="N66" s="435"/>
      <c r="O66" s="164"/>
      <c r="P66" s="166"/>
      <c r="Q66" s="166"/>
      <c r="R66" s="172"/>
      <c r="S66" s="27" t="str">
        <f t="shared" si="0"/>
        <v/>
      </c>
      <c r="T66" s="172"/>
      <c r="U66" s="27" t="str">
        <f t="shared" si="1"/>
        <v/>
      </c>
      <c r="V66" s="150"/>
      <c r="W66" s="27" t="str">
        <f t="shared" si="2"/>
        <v/>
      </c>
      <c r="X66" s="150"/>
      <c r="Y66" s="27" t="str">
        <f t="shared" si="3"/>
        <v/>
      </c>
      <c r="Z66" s="150"/>
      <c r="AA66" s="27" t="str">
        <f t="shared" si="4"/>
        <v/>
      </c>
      <c r="AB66" s="150"/>
      <c r="AC66" s="27" t="str">
        <f t="shared" si="5"/>
        <v/>
      </c>
      <c r="AD66" s="150"/>
      <c r="AE66" s="27" t="str">
        <f t="shared" si="6"/>
        <v/>
      </c>
      <c r="AF66" s="48" t="str">
        <f t="shared" si="7"/>
        <v/>
      </c>
      <c r="AG66" s="48" t="str">
        <f t="shared" si="8"/>
        <v/>
      </c>
      <c r="AH66" s="131"/>
      <c r="AI66" s="149" t="str">
        <f t="shared" si="9"/>
        <v>Débil</v>
      </c>
      <c r="AJ66" s="21" t="str">
        <f>IFERROR(VLOOKUP((CONCATENATE(AG66,AI66)),Listados!$U$3:$V$11,2,FALSE),"")</f>
        <v/>
      </c>
      <c r="AK66" s="48">
        <f t="shared" si="10"/>
        <v>100</v>
      </c>
      <c r="AL66" s="432"/>
      <c r="AM66" s="433"/>
      <c r="AN66" s="169">
        <f>+IF(AND(Q66="Preventivo",AM61="Fuerte"),2,IF(AND(Q66="Preventivo",AM61="Moderado"),1,0))</f>
        <v>0</v>
      </c>
      <c r="AO66" s="169">
        <f t="shared" si="11"/>
        <v>0</v>
      </c>
      <c r="AP66" s="169" t="e">
        <f>+K61-AN66</f>
        <v>#N/A</v>
      </c>
      <c r="AQ66" s="169" t="e">
        <f>+M61-AO66</f>
        <v>#N/A</v>
      </c>
      <c r="AR66" s="423"/>
      <c r="AS66" s="423"/>
      <c r="AT66" s="423"/>
      <c r="AU66" s="423"/>
      <c r="AV66" s="387"/>
      <c r="AW66" s="388"/>
      <c r="AX66" s="389"/>
      <c r="AY66" s="387"/>
      <c r="AZ66" s="388"/>
      <c r="BA66" s="389"/>
      <c r="BB66" s="387"/>
      <c r="BC66" s="388"/>
      <c r="BD66" s="389"/>
    </row>
    <row r="67" spans="1:56" ht="171.75" thickBot="1">
      <c r="A67" s="404">
        <v>11</v>
      </c>
      <c r="B67" s="407" t="s">
        <v>79</v>
      </c>
      <c r="C67" s="408" t="str">
        <f>IFERROR(VLOOKUP(B67,Listados!B$3:C$20,2,FALSE),"")</f>
        <v>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v>
      </c>
      <c r="D67" s="409" t="s">
        <v>279</v>
      </c>
      <c r="E67" s="164" t="s">
        <v>15</v>
      </c>
      <c r="F67" s="164" t="s">
        <v>178</v>
      </c>
      <c r="G67" s="165" t="s">
        <v>280</v>
      </c>
      <c r="H67" s="165" t="s">
        <v>16</v>
      </c>
      <c r="I67" s="165" t="s">
        <v>281</v>
      </c>
      <c r="J67" s="407" t="s">
        <v>21</v>
      </c>
      <c r="K67" s="424">
        <f>+VLOOKUP(J67,Listados!$K$8:$L$12,2,0)</f>
        <v>1</v>
      </c>
      <c r="L67" s="427" t="s">
        <v>36</v>
      </c>
      <c r="M67" s="424">
        <f>+VLOOKUP(L67,Listados!$K$13:$L$17,2,0)</f>
        <v>3</v>
      </c>
      <c r="N67" s="434" t="str">
        <f>IF(AND(J67&lt;&gt;"",L67&lt;&gt;""),VLOOKUP(J67&amp;L67,Listados!$M$3:$N$27,2,FALSE),"")</f>
        <v>Moderado</v>
      </c>
      <c r="O67" s="180" t="s">
        <v>282</v>
      </c>
      <c r="P67" s="164" t="s">
        <v>280</v>
      </c>
      <c r="Q67" s="165" t="s">
        <v>123</v>
      </c>
      <c r="R67" s="172"/>
      <c r="S67" s="27" t="str">
        <f t="shared" si="0"/>
        <v/>
      </c>
      <c r="T67" s="172"/>
      <c r="U67" s="27" t="str">
        <f t="shared" si="1"/>
        <v/>
      </c>
      <c r="V67" s="150"/>
      <c r="W67" s="27" t="str">
        <f t="shared" si="2"/>
        <v/>
      </c>
      <c r="X67" s="150"/>
      <c r="Y67" s="27" t="str">
        <f t="shared" si="3"/>
        <v/>
      </c>
      <c r="Z67" s="150"/>
      <c r="AA67" s="27" t="str">
        <f t="shared" si="4"/>
        <v/>
      </c>
      <c r="AB67" s="150"/>
      <c r="AC67" s="27" t="str">
        <f t="shared" si="5"/>
        <v/>
      </c>
      <c r="AD67" s="150"/>
      <c r="AE67" s="27" t="str">
        <f t="shared" si="6"/>
        <v/>
      </c>
      <c r="AF67" s="48" t="str">
        <f t="shared" si="7"/>
        <v/>
      </c>
      <c r="AG67" s="48" t="str">
        <f t="shared" si="8"/>
        <v/>
      </c>
      <c r="AH67" s="131"/>
      <c r="AI67" s="149" t="str">
        <f t="shared" si="9"/>
        <v>Débil</v>
      </c>
      <c r="AJ67" s="21" t="str">
        <f>IFERROR(VLOOKUP((CONCATENATE(AG67,AI67)),Listados!$U$3:$V$11,2,FALSE),"")</f>
        <v/>
      </c>
      <c r="AK67" s="48">
        <f t="shared" si="10"/>
        <v>100</v>
      </c>
      <c r="AL67" s="430">
        <f>AVERAGE(AK67:AK72)</f>
        <v>100</v>
      </c>
      <c r="AM67" s="432" t="str">
        <f>IF(AL67&lt;=50, "Débil", IF(AL67&lt;=99,"Moderado","Fuerte"))</f>
        <v>Fuerte</v>
      </c>
      <c r="AN67" s="169">
        <f>+IF(AND(Q67="Preventivo",AM67="Fuerte"),2,IF(AND(Q67="Preventivo",AM67="Moderado"),1,0))</f>
        <v>0</v>
      </c>
      <c r="AO67" s="169">
        <f t="shared" si="11"/>
        <v>2</v>
      </c>
      <c r="AP67" s="169">
        <f>+K67-AN67</f>
        <v>1</v>
      </c>
      <c r="AQ67" s="169">
        <f>+M67-AO67</f>
        <v>1</v>
      </c>
      <c r="AR67" s="421" t="str">
        <f>+VLOOKUP(MIN(AP67,AP68,AP69,AP70,AP71,AP72),Listados!$J$18:$K$24,2,TRUE)</f>
        <v>Rara Vez</v>
      </c>
      <c r="AS67" s="421" t="str">
        <f>+VLOOKUP(MIN(AQ67,AQ68,AQ69,AQ70,AQ71,AQ72),Listados!$J$27:$K$32,2,TRUE)</f>
        <v>Insignificante</v>
      </c>
      <c r="AT67" s="421" t="str">
        <f>IF(AND(AR67&lt;&gt;"",AS67&lt;&gt;""),VLOOKUP(AR67&amp;AS67,Listados!$M$3:$N$27,2,FALSE),"")</f>
        <v>Bajo</v>
      </c>
      <c r="AU67" s="421" t="str">
        <f>+VLOOKUP(AT67,Listados!$P$3:$Q$6,2,FALSE)</f>
        <v>Asumir el riesgo</v>
      </c>
      <c r="AV67" s="387"/>
      <c r="AW67" s="388"/>
      <c r="AX67" s="389"/>
      <c r="AY67" s="387"/>
      <c r="AZ67" s="388"/>
      <c r="BA67" s="389"/>
      <c r="BB67" s="387"/>
      <c r="BC67" s="388"/>
      <c r="BD67" s="389"/>
    </row>
    <row r="68" spans="1:56" ht="86.25" thickBot="1">
      <c r="A68" s="405"/>
      <c r="B68" s="407"/>
      <c r="C68" s="408"/>
      <c r="D68" s="409"/>
      <c r="E68" s="164"/>
      <c r="F68" s="164"/>
      <c r="G68" s="165" t="s">
        <v>283</v>
      </c>
      <c r="H68" s="165" t="s">
        <v>16</v>
      </c>
      <c r="I68" s="165" t="s">
        <v>281</v>
      </c>
      <c r="J68" s="407"/>
      <c r="K68" s="425"/>
      <c r="L68" s="428"/>
      <c r="M68" s="425"/>
      <c r="N68" s="435"/>
      <c r="O68" s="165" t="s">
        <v>284</v>
      </c>
      <c r="P68" s="164" t="s">
        <v>283</v>
      </c>
      <c r="Q68" s="165" t="s">
        <v>20</v>
      </c>
      <c r="R68" s="172"/>
      <c r="S68" s="27" t="str">
        <f t="shared" si="0"/>
        <v/>
      </c>
      <c r="T68" s="172"/>
      <c r="U68" s="27" t="str">
        <f t="shared" si="1"/>
        <v/>
      </c>
      <c r="V68" s="150"/>
      <c r="W68" s="27" t="str">
        <f t="shared" si="2"/>
        <v/>
      </c>
      <c r="X68" s="150"/>
      <c r="Y68" s="27" t="str">
        <f t="shared" si="3"/>
        <v/>
      </c>
      <c r="Z68" s="150"/>
      <c r="AA68" s="27" t="str">
        <f t="shared" si="4"/>
        <v/>
      </c>
      <c r="AB68" s="150"/>
      <c r="AC68" s="27" t="str">
        <f t="shared" si="5"/>
        <v/>
      </c>
      <c r="AD68" s="150"/>
      <c r="AE68" s="27" t="str">
        <f t="shared" si="6"/>
        <v/>
      </c>
      <c r="AF68" s="48" t="str">
        <f t="shared" si="7"/>
        <v/>
      </c>
      <c r="AG68" s="48" t="str">
        <f t="shared" si="8"/>
        <v/>
      </c>
      <c r="AH68" s="131"/>
      <c r="AI68" s="149" t="str">
        <f t="shared" si="9"/>
        <v>Débil</v>
      </c>
      <c r="AJ68" s="21" t="str">
        <f>IFERROR(VLOOKUP((CONCATENATE(AG68,AI68)),Listados!$U$3:$V$11,2,FALSE),"")</f>
        <v/>
      </c>
      <c r="AK68" s="48">
        <f t="shared" si="10"/>
        <v>100</v>
      </c>
      <c r="AL68" s="431"/>
      <c r="AM68" s="433"/>
      <c r="AN68" s="169">
        <f>+IF(AND(Q68="Preventivo",AM67="Fuerte"),2,IF(AND(Q68="Preventivo",AM67="Moderado"),1,0))</f>
        <v>2</v>
      </c>
      <c r="AO68" s="169">
        <f t="shared" si="11"/>
        <v>1</v>
      </c>
      <c r="AP68" s="169">
        <f>+K67-AN68</f>
        <v>-1</v>
      </c>
      <c r="AQ68" s="169">
        <f>+M67-AO68</f>
        <v>2</v>
      </c>
      <c r="AR68" s="422"/>
      <c r="AS68" s="422"/>
      <c r="AT68" s="422"/>
      <c r="AU68" s="422"/>
      <c r="AV68" s="387"/>
      <c r="AW68" s="388"/>
      <c r="AX68" s="389"/>
      <c r="AY68" s="387"/>
      <c r="AZ68" s="388"/>
      <c r="BA68" s="389"/>
      <c r="BB68" s="387"/>
      <c r="BC68" s="388"/>
      <c r="BD68" s="389"/>
    </row>
    <row r="69" spans="1:56" ht="101.25" thickBot="1">
      <c r="A69" s="405"/>
      <c r="B69" s="407"/>
      <c r="C69" s="408"/>
      <c r="D69" s="409"/>
      <c r="E69" s="164"/>
      <c r="F69" s="164"/>
      <c r="G69" s="165" t="s">
        <v>285</v>
      </c>
      <c r="H69" s="165" t="s">
        <v>16</v>
      </c>
      <c r="I69" s="165" t="s">
        <v>281</v>
      </c>
      <c r="J69" s="407"/>
      <c r="K69" s="425"/>
      <c r="L69" s="428"/>
      <c r="M69" s="425"/>
      <c r="N69" s="435"/>
      <c r="O69" s="166" t="s">
        <v>286</v>
      </c>
      <c r="P69" s="164" t="s">
        <v>285</v>
      </c>
      <c r="Q69" s="165" t="s">
        <v>20</v>
      </c>
      <c r="R69" s="172"/>
      <c r="S69" s="27" t="str">
        <f t="shared" si="0"/>
        <v/>
      </c>
      <c r="T69" s="172"/>
      <c r="U69" s="27" t="str">
        <f t="shared" si="1"/>
        <v/>
      </c>
      <c r="V69" s="150"/>
      <c r="W69" s="27" t="str">
        <f t="shared" si="2"/>
        <v/>
      </c>
      <c r="X69" s="150"/>
      <c r="Y69" s="27" t="str">
        <f t="shared" si="3"/>
        <v/>
      </c>
      <c r="Z69" s="150"/>
      <c r="AA69" s="27" t="str">
        <f t="shared" si="4"/>
        <v/>
      </c>
      <c r="AB69" s="150"/>
      <c r="AC69" s="27" t="str">
        <f t="shared" si="5"/>
        <v/>
      </c>
      <c r="AD69" s="150"/>
      <c r="AE69" s="27" t="str">
        <f t="shared" si="6"/>
        <v/>
      </c>
      <c r="AF69" s="48" t="str">
        <f t="shared" si="7"/>
        <v/>
      </c>
      <c r="AG69" s="48" t="str">
        <f t="shared" si="8"/>
        <v/>
      </c>
      <c r="AH69" s="131"/>
      <c r="AI69" s="149" t="str">
        <f t="shared" si="9"/>
        <v>Débil</v>
      </c>
      <c r="AJ69" s="21" t="str">
        <f>IFERROR(VLOOKUP((CONCATENATE(AG69,AI69)),Listados!$U$3:$V$11,2,FALSE),"")</f>
        <v/>
      </c>
      <c r="AK69" s="48">
        <f t="shared" si="10"/>
        <v>100</v>
      </c>
      <c r="AL69" s="431"/>
      <c r="AM69" s="433"/>
      <c r="AN69" s="169">
        <f>+IF(AND(Q69="Preventivo",AM67="Fuerte"),2,IF(AND(Q69="Preventivo",AM67="Moderado"),1,0))</f>
        <v>2</v>
      </c>
      <c r="AO69" s="169">
        <f t="shared" si="11"/>
        <v>1</v>
      </c>
      <c r="AP69" s="169">
        <f>+K67-AN69</f>
        <v>-1</v>
      </c>
      <c r="AQ69" s="169">
        <f>+M67-AO69</f>
        <v>2</v>
      </c>
      <c r="AR69" s="422"/>
      <c r="AS69" s="422"/>
      <c r="AT69" s="422"/>
      <c r="AU69" s="422"/>
      <c r="AV69" s="387"/>
      <c r="AW69" s="388"/>
      <c r="AX69" s="389"/>
      <c r="AY69" s="387"/>
      <c r="AZ69" s="388"/>
      <c r="BA69" s="389"/>
      <c r="BB69" s="387"/>
      <c r="BC69" s="388"/>
      <c r="BD69" s="389"/>
    </row>
    <row r="70" spans="1:56" ht="171.75" thickBot="1">
      <c r="A70" s="405"/>
      <c r="B70" s="407"/>
      <c r="C70" s="408"/>
      <c r="D70" s="409"/>
      <c r="E70" s="164"/>
      <c r="F70" s="164"/>
      <c r="G70" s="165" t="s">
        <v>287</v>
      </c>
      <c r="H70" s="165" t="s">
        <v>16</v>
      </c>
      <c r="I70" s="165" t="s">
        <v>288</v>
      </c>
      <c r="J70" s="407"/>
      <c r="K70" s="425"/>
      <c r="L70" s="428"/>
      <c r="M70" s="425"/>
      <c r="N70" s="435"/>
      <c r="O70" s="180" t="s">
        <v>282</v>
      </c>
      <c r="P70" s="164" t="s">
        <v>287</v>
      </c>
      <c r="Q70" s="165" t="s">
        <v>123</v>
      </c>
      <c r="R70" s="172"/>
      <c r="S70" s="27" t="str">
        <f t="shared" si="0"/>
        <v/>
      </c>
      <c r="T70" s="172"/>
      <c r="U70" s="27" t="str">
        <f t="shared" si="1"/>
        <v/>
      </c>
      <c r="V70" s="150"/>
      <c r="W70" s="27" t="str">
        <f t="shared" si="2"/>
        <v/>
      </c>
      <c r="X70" s="150"/>
      <c r="Y70" s="27" t="str">
        <f t="shared" si="3"/>
        <v/>
      </c>
      <c r="Z70" s="150"/>
      <c r="AA70" s="27" t="str">
        <f t="shared" si="4"/>
        <v/>
      </c>
      <c r="AB70" s="150"/>
      <c r="AC70" s="27" t="str">
        <f t="shared" si="5"/>
        <v/>
      </c>
      <c r="AD70" s="150"/>
      <c r="AE70" s="27" t="str">
        <f t="shared" si="6"/>
        <v/>
      </c>
      <c r="AF70" s="48" t="str">
        <f t="shared" si="7"/>
        <v/>
      </c>
      <c r="AG70" s="48" t="str">
        <f t="shared" si="8"/>
        <v/>
      </c>
      <c r="AH70" s="131"/>
      <c r="AI70" s="149" t="str">
        <f t="shared" si="9"/>
        <v>Débil</v>
      </c>
      <c r="AJ70" s="21" t="str">
        <f>IFERROR(VLOOKUP((CONCATENATE(AG70,AI70)),Listados!$U$3:$V$11,2,FALSE),"")</f>
        <v/>
      </c>
      <c r="AK70" s="48">
        <f t="shared" si="10"/>
        <v>100</v>
      </c>
      <c r="AL70" s="431"/>
      <c r="AM70" s="433"/>
      <c r="AN70" s="169">
        <f>+IF(AND(Q70="Preventivo",AM67="Fuerte"),2,IF(AND(Q70="Preventivo",AM67="Moderado"),1,0))</f>
        <v>0</v>
      </c>
      <c r="AO70" s="169">
        <f t="shared" si="11"/>
        <v>2</v>
      </c>
      <c r="AP70" s="169">
        <f>+K67-AN70</f>
        <v>1</v>
      </c>
      <c r="AQ70" s="169">
        <f>+M67-AO70</f>
        <v>1</v>
      </c>
      <c r="AR70" s="422"/>
      <c r="AS70" s="422"/>
      <c r="AT70" s="422"/>
      <c r="AU70" s="422"/>
      <c r="AV70" s="387"/>
      <c r="AW70" s="388"/>
      <c r="AX70" s="389"/>
      <c r="AY70" s="387"/>
      <c r="AZ70" s="388"/>
      <c r="BA70" s="389"/>
      <c r="BB70" s="387"/>
      <c r="BC70" s="388"/>
      <c r="BD70" s="389"/>
    </row>
    <row r="71" spans="1:56" ht="15.75" thickBot="1">
      <c r="A71" s="405"/>
      <c r="B71" s="407"/>
      <c r="C71" s="408"/>
      <c r="D71" s="409"/>
      <c r="E71" s="164"/>
      <c r="F71" s="164"/>
      <c r="G71" s="165"/>
      <c r="H71" s="165"/>
      <c r="I71" s="165"/>
      <c r="J71" s="407"/>
      <c r="K71" s="425"/>
      <c r="L71" s="428"/>
      <c r="M71" s="425"/>
      <c r="N71" s="435"/>
      <c r="O71" s="164"/>
      <c r="P71" s="166"/>
      <c r="Q71" s="166"/>
      <c r="R71" s="172"/>
      <c r="S71" s="27" t="str">
        <f t="shared" si="0"/>
        <v/>
      </c>
      <c r="T71" s="172"/>
      <c r="U71" s="27" t="str">
        <f t="shared" si="1"/>
        <v/>
      </c>
      <c r="V71" s="150"/>
      <c r="W71" s="27" t="str">
        <f t="shared" si="2"/>
        <v/>
      </c>
      <c r="X71" s="150"/>
      <c r="Y71" s="27" t="str">
        <f t="shared" si="3"/>
        <v/>
      </c>
      <c r="Z71" s="150"/>
      <c r="AA71" s="27" t="str">
        <f t="shared" si="4"/>
        <v/>
      </c>
      <c r="AB71" s="150"/>
      <c r="AC71" s="27" t="str">
        <f t="shared" si="5"/>
        <v/>
      </c>
      <c r="AD71" s="150"/>
      <c r="AE71" s="27" t="str">
        <f t="shared" si="6"/>
        <v/>
      </c>
      <c r="AF71" s="48" t="str">
        <f t="shared" si="7"/>
        <v/>
      </c>
      <c r="AG71" s="48" t="str">
        <f t="shared" si="8"/>
        <v/>
      </c>
      <c r="AH71" s="131"/>
      <c r="AI71" s="149" t="str">
        <f t="shared" si="9"/>
        <v>Débil</v>
      </c>
      <c r="AJ71" s="21" t="str">
        <f>IFERROR(VLOOKUP((CONCATENATE(AG71,AI71)),Listados!$U$3:$V$11,2,FALSE),"")</f>
        <v/>
      </c>
      <c r="AK71" s="48">
        <f t="shared" si="10"/>
        <v>100</v>
      </c>
      <c r="AL71" s="431"/>
      <c r="AM71" s="433"/>
      <c r="AN71" s="169">
        <f>+IF(AND(Q71="Preventivo",AM67="Fuerte"),2,IF(AND(Q71="Preventivo",AM67="Moderado"),1,0))</f>
        <v>0</v>
      </c>
      <c r="AO71" s="169">
        <f t="shared" si="11"/>
        <v>0</v>
      </c>
      <c r="AP71" s="169">
        <f>+K67-AN71</f>
        <v>1</v>
      </c>
      <c r="AQ71" s="169">
        <f>+M67-AO71</f>
        <v>3</v>
      </c>
      <c r="AR71" s="422"/>
      <c r="AS71" s="422"/>
      <c r="AT71" s="422"/>
      <c r="AU71" s="422"/>
      <c r="AV71" s="387"/>
      <c r="AW71" s="388"/>
      <c r="AX71" s="389"/>
      <c r="AY71" s="387"/>
      <c r="AZ71" s="388"/>
      <c r="BA71" s="389"/>
      <c r="BB71" s="387"/>
      <c r="BC71" s="388"/>
      <c r="BD71" s="389"/>
    </row>
    <row r="72" spans="1:56" ht="15.75" thickBot="1">
      <c r="A72" s="406"/>
      <c r="B72" s="407"/>
      <c r="C72" s="408"/>
      <c r="D72" s="409"/>
      <c r="E72" s="164"/>
      <c r="F72" s="164"/>
      <c r="G72" s="165"/>
      <c r="H72" s="165"/>
      <c r="I72" s="165"/>
      <c r="J72" s="407"/>
      <c r="K72" s="426"/>
      <c r="L72" s="428"/>
      <c r="M72" s="426"/>
      <c r="N72" s="435"/>
      <c r="O72" s="164"/>
      <c r="P72" s="166"/>
      <c r="Q72" s="166"/>
      <c r="R72" s="172"/>
      <c r="S72" s="27" t="str">
        <f t="shared" ref="S72:S135" si="12">+IF(R72="si",15,"")</f>
        <v/>
      </c>
      <c r="T72" s="172"/>
      <c r="U72" s="27" t="str">
        <f t="shared" ref="U72:U135" si="13">+IF(T72="si",15,"")</f>
        <v/>
      </c>
      <c r="V72" s="150"/>
      <c r="W72" s="27" t="str">
        <f t="shared" ref="W72:W135" si="14">+IF(V72="si",15,"")</f>
        <v/>
      </c>
      <c r="X72" s="150"/>
      <c r="Y72" s="27" t="str">
        <f t="shared" ref="Y72:Y135" si="15">+IF(X72="Preventivo",15,IF(X72="Detectivo",10,""))</f>
        <v/>
      </c>
      <c r="Z72" s="150"/>
      <c r="AA72" s="27" t="str">
        <f t="shared" ref="AA72:AA135" si="16">+IF(Z72="si",15,"")</f>
        <v/>
      </c>
      <c r="AB72" s="150"/>
      <c r="AC72" s="27" t="str">
        <f t="shared" ref="AC72:AC135" si="17">+IF(AB72="si",15,"")</f>
        <v/>
      </c>
      <c r="AD72" s="150"/>
      <c r="AE72" s="27" t="str">
        <f t="shared" ref="AE72:AE135" si="18">+IF(AD72="Completa",10,IF(AD72="Incompleta",5,""))</f>
        <v/>
      </c>
      <c r="AF72" s="48" t="str">
        <f t="shared" ref="AF72:AF135" si="19">IF((SUM(S72,U72,W72,Y72,AA72,AC72,AE72)=0),"",(SUM(S72,U72,W72,Y72,AA72,AC72,AE72)))</f>
        <v/>
      </c>
      <c r="AG72" s="48" t="str">
        <f t="shared" ref="AG72:AG135" si="20">IF(AF72&lt;=85,"Débil",IF(AF72&lt;=95,"Moderado",IF(AF72=100,"Fuerte","")))</f>
        <v/>
      </c>
      <c r="AH72" s="131"/>
      <c r="AI72" s="149" t="str">
        <f t="shared" si="9"/>
        <v>Débil</v>
      </c>
      <c r="AJ72" s="21" t="str">
        <f>IFERROR(VLOOKUP((CONCATENATE(AG72,AI72)),Listados!$U$3:$V$11,2,FALSE),"")</f>
        <v/>
      </c>
      <c r="AK72" s="48">
        <f t="shared" si="10"/>
        <v>100</v>
      </c>
      <c r="AL72" s="432"/>
      <c r="AM72" s="433"/>
      <c r="AN72" s="169">
        <f>+IF(AND(Q72="Preventivo",AM67="Fuerte"),2,IF(AND(Q72="Preventivo",AM67="Moderado"),1,0))</f>
        <v>0</v>
      </c>
      <c r="AO72" s="169">
        <f t="shared" si="11"/>
        <v>0</v>
      </c>
      <c r="AP72" s="169">
        <f>+K67-AN72</f>
        <v>1</v>
      </c>
      <c r="AQ72" s="169">
        <f>+M67-AO72</f>
        <v>3</v>
      </c>
      <c r="AR72" s="423"/>
      <c r="AS72" s="423"/>
      <c r="AT72" s="423"/>
      <c r="AU72" s="423"/>
      <c r="AV72" s="387"/>
      <c r="AW72" s="388"/>
      <c r="AX72" s="389"/>
      <c r="AY72" s="387"/>
      <c r="AZ72" s="388"/>
      <c r="BA72" s="389"/>
      <c r="BB72" s="387"/>
      <c r="BC72" s="388"/>
      <c r="BD72" s="389"/>
    </row>
    <row r="73" spans="1:56" ht="87" thickBot="1">
      <c r="A73" s="404">
        <v>12</v>
      </c>
      <c r="B73" s="407" t="s">
        <v>79</v>
      </c>
      <c r="C73" s="408" t="str">
        <f>IFERROR(VLOOKUP(B73,Listados!B$3:C$20,2,FALSE),"")</f>
        <v>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v>
      </c>
      <c r="D73" s="409" t="s">
        <v>289</v>
      </c>
      <c r="E73" s="164" t="s">
        <v>15</v>
      </c>
      <c r="F73" s="164" t="s">
        <v>178</v>
      </c>
      <c r="G73" s="165" t="s">
        <v>290</v>
      </c>
      <c r="H73" s="165" t="s">
        <v>16</v>
      </c>
      <c r="I73" s="165" t="s">
        <v>281</v>
      </c>
      <c r="J73" s="407" t="s">
        <v>31</v>
      </c>
      <c r="K73" s="424">
        <f>+VLOOKUP(J73,Listados!$K$8:$L$12,2,0)</f>
        <v>2</v>
      </c>
      <c r="L73" s="427" t="s">
        <v>36</v>
      </c>
      <c r="M73" s="424">
        <f>+VLOOKUP(L73,Listados!$K$13:$L$17,2,0)</f>
        <v>3</v>
      </c>
      <c r="N73" s="434" t="str">
        <f>IF(AND(J73&lt;&gt;"",L73&lt;&gt;""),VLOOKUP(J73&amp;L73,Listados!$M$3:$N$27,2,FALSE),"")</f>
        <v>Moderado</v>
      </c>
      <c r="O73" s="166" t="s">
        <v>291</v>
      </c>
      <c r="P73" s="165" t="s">
        <v>290</v>
      </c>
      <c r="Q73" s="165" t="s">
        <v>20</v>
      </c>
      <c r="R73" s="172"/>
      <c r="S73" s="27" t="str">
        <f t="shared" si="12"/>
        <v/>
      </c>
      <c r="T73" s="172"/>
      <c r="U73" s="27" t="str">
        <f t="shared" si="13"/>
        <v/>
      </c>
      <c r="V73" s="150"/>
      <c r="W73" s="27" t="str">
        <f t="shared" si="14"/>
        <v/>
      </c>
      <c r="X73" s="150"/>
      <c r="Y73" s="27" t="str">
        <f t="shared" si="15"/>
        <v/>
      </c>
      <c r="Z73" s="150"/>
      <c r="AA73" s="27" t="str">
        <f t="shared" si="16"/>
        <v/>
      </c>
      <c r="AB73" s="150"/>
      <c r="AC73" s="27" t="str">
        <f t="shared" si="17"/>
        <v/>
      </c>
      <c r="AD73" s="150"/>
      <c r="AE73" s="27" t="str">
        <f t="shared" si="18"/>
        <v/>
      </c>
      <c r="AF73" s="48" t="str">
        <f t="shared" si="19"/>
        <v/>
      </c>
      <c r="AG73" s="48" t="str">
        <f t="shared" si="20"/>
        <v/>
      </c>
      <c r="AH73" s="131"/>
      <c r="AI73" s="149" t="str">
        <f t="shared" ref="AI73:AI136" si="21">+IF(AH73="siempre","Fuerte",IF(AH73="Algunas veces","Moderado","Débil"))</f>
        <v>Débil</v>
      </c>
      <c r="AJ73" s="21" t="str">
        <f>IFERROR(VLOOKUP((CONCATENATE(AG73,AI73)),Listados!$U$3:$V$11,2,FALSE),"")</f>
        <v/>
      </c>
      <c r="AK73" s="48">
        <f t="shared" ref="AK73:AK136" si="22">IF(ISBLANK(AJ73),"",IF(AJ73="Débil", 0, IF(AJ73="Moderado",50,100)))</f>
        <v>100</v>
      </c>
      <c r="AL73" s="430">
        <f>AVERAGE(AK73:AK78)</f>
        <v>100</v>
      </c>
      <c r="AM73" s="432" t="str">
        <f>IF(AL73&lt;=50, "Débil", IF(AL73&lt;=99,"Moderado","Fuerte"))</f>
        <v>Fuerte</v>
      </c>
      <c r="AN73" s="169">
        <f>+IF(AND(Q73="Preventivo",AM73="Fuerte"),2,IF(AND(Q73="Preventivo",AM73="Moderado"),1,0))</f>
        <v>2</v>
      </c>
      <c r="AO73" s="169">
        <f t="shared" si="11"/>
        <v>1</v>
      </c>
      <c r="AP73" s="169">
        <f>+K73-AN73</f>
        <v>0</v>
      </c>
      <c r="AQ73" s="169">
        <f>+M73-AO73</f>
        <v>2</v>
      </c>
      <c r="AR73" s="421" t="str">
        <f>+VLOOKUP(MIN(AP73,AP74,AP75,AP76,AP77,AP78),Listados!$J$18:$K$24,2,TRUE)</f>
        <v>Rara Vez</v>
      </c>
      <c r="AS73" s="421" t="str">
        <f>+VLOOKUP(MIN(AQ73,AQ74,AQ75,AQ76,AQ77,AQ78),Listados!$J$27:$K$32,2,TRUE)</f>
        <v>Menor</v>
      </c>
      <c r="AT73" s="421" t="str">
        <f>IF(AND(AR73&lt;&gt;"",AS73&lt;&gt;""),VLOOKUP(AR73&amp;AS73,Listados!$M$3:$N$27,2,FALSE),"")</f>
        <v>Bajo</v>
      </c>
      <c r="AU73" s="421" t="str">
        <f>+VLOOKUP(AT73,Listados!$P$3:$Q$6,2,FALSE)</f>
        <v>Asumir el riesgo</v>
      </c>
      <c r="AV73" s="387"/>
      <c r="AW73" s="388"/>
      <c r="AX73" s="389"/>
      <c r="AY73" s="387"/>
      <c r="AZ73" s="388"/>
      <c r="BA73" s="389"/>
      <c r="BB73" s="387"/>
      <c r="BC73" s="388"/>
      <c r="BD73" s="389"/>
    </row>
    <row r="74" spans="1:56" ht="87" thickBot="1">
      <c r="A74" s="405"/>
      <c r="B74" s="407"/>
      <c r="C74" s="408"/>
      <c r="D74" s="409"/>
      <c r="E74" s="164"/>
      <c r="F74" s="164"/>
      <c r="G74" s="165" t="s">
        <v>292</v>
      </c>
      <c r="H74" s="165" t="s">
        <v>16</v>
      </c>
      <c r="I74" s="165" t="s">
        <v>293</v>
      </c>
      <c r="J74" s="407"/>
      <c r="K74" s="425"/>
      <c r="L74" s="428"/>
      <c r="M74" s="425"/>
      <c r="N74" s="435"/>
      <c r="O74" s="166" t="s">
        <v>294</v>
      </c>
      <c r="P74" s="165" t="s">
        <v>290</v>
      </c>
      <c r="Q74" s="165" t="s">
        <v>20</v>
      </c>
      <c r="R74" s="172"/>
      <c r="S74" s="27" t="str">
        <f t="shared" si="12"/>
        <v/>
      </c>
      <c r="T74" s="172"/>
      <c r="U74" s="27" t="str">
        <f t="shared" si="13"/>
        <v/>
      </c>
      <c r="V74" s="150"/>
      <c r="W74" s="27" t="str">
        <f t="shared" si="14"/>
        <v/>
      </c>
      <c r="X74" s="150"/>
      <c r="Y74" s="27" t="str">
        <f t="shared" si="15"/>
        <v/>
      </c>
      <c r="Z74" s="150"/>
      <c r="AA74" s="27" t="str">
        <f t="shared" si="16"/>
        <v/>
      </c>
      <c r="AB74" s="150"/>
      <c r="AC74" s="27" t="str">
        <f t="shared" si="17"/>
        <v/>
      </c>
      <c r="AD74" s="150"/>
      <c r="AE74" s="27" t="str">
        <f t="shared" si="18"/>
        <v/>
      </c>
      <c r="AF74" s="48" t="str">
        <f t="shared" si="19"/>
        <v/>
      </c>
      <c r="AG74" s="48" t="str">
        <f t="shared" si="20"/>
        <v/>
      </c>
      <c r="AH74" s="131"/>
      <c r="AI74" s="149" t="str">
        <f t="shared" si="21"/>
        <v>Débil</v>
      </c>
      <c r="AJ74" s="21" t="str">
        <f>IFERROR(VLOOKUP((CONCATENATE(AG74,AI74)),Listados!$U$3:$V$11,2,FALSE),"")</f>
        <v/>
      </c>
      <c r="AK74" s="48">
        <f t="shared" si="22"/>
        <v>100</v>
      </c>
      <c r="AL74" s="431"/>
      <c r="AM74" s="433"/>
      <c r="AN74" s="169">
        <f>+IF(AND(Q74="Preventivo",AM73="Fuerte"),2,IF(AND(Q74="Preventivo",AM73="Moderado"),1,0))</f>
        <v>2</v>
      </c>
      <c r="AO74" s="169">
        <f t="shared" si="11"/>
        <v>1</v>
      </c>
      <c r="AP74" s="169">
        <f>+K73-AN74</f>
        <v>0</v>
      </c>
      <c r="AQ74" s="169">
        <f>+M73-AO74</f>
        <v>2</v>
      </c>
      <c r="AR74" s="422"/>
      <c r="AS74" s="422"/>
      <c r="AT74" s="422"/>
      <c r="AU74" s="422"/>
      <c r="AV74" s="387"/>
      <c r="AW74" s="388"/>
      <c r="AX74" s="389"/>
      <c r="AY74" s="387"/>
      <c r="AZ74" s="388"/>
      <c r="BA74" s="389"/>
      <c r="BB74" s="387"/>
      <c r="BC74" s="388"/>
      <c r="BD74" s="389"/>
    </row>
    <row r="75" spans="1:56" ht="161.25" customHeight="1" thickBot="1">
      <c r="A75" s="405"/>
      <c r="B75" s="407"/>
      <c r="C75" s="408"/>
      <c r="D75" s="409"/>
      <c r="E75" s="164"/>
      <c r="F75" s="164"/>
      <c r="G75" s="165"/>
      <c r="H75" s="165"/>
      <c r="I75" s="165" t="s">
        <v>288</v>
      </c>
      <c r="J75" s="407"/>
      <c r="K75" s="425"/>
      <c r="L75" s="428"/>
      <c r="M75" s="425"/>
      <c r="N75" s="435"/>
      <c r="O75" s="181" t="s">
        <v>295</v>
      </c>
      <c r="P75" s="165" t="s">
        <v>292</v>
      </c>
      <c r="Q75" s="165" t="s">
        <v>20</v>
      </c>
      <c r="R75" s="172"/>
      <c r="S75" s="27" t="str">
        <f t="shared" si="12"/>
        <v/>
      </c>
      <c r="T75" s="172"/>
      <c r="U75" s="27" t="str">
        <f t="shared" si="13"/>
        <v/>
      </c>
      <c r="V75" s="150"/>
      <c r="W75" s="27" t="str">
        <f t="shared" si="14"/>
        <v/>
      </c>
      <c r="X75" s="150"/>
      <c r="Y75" s="27" t="str">
        <f t="shared" si="15"/>
        <v/>
      </c>
      <c r="Z75" s="150"/>
      <c r="AA75" s="27" t="str">
        <f t="shared" si="16"/>
        <v/>
      </c>
      <c r="AB75" s="150"/>
      <c r="AC75" s="27" t="str">
        <f t="shared" si="17"/>
        <v/>
      </c>
      <c r="AD75" s="150"/>
      <c r="AE75" s="27" t="str">
        <f t="shared" si="18"/>
        <v/>
      </c>
      <c r="AF75" s="48" t="str">
        <f t="shared" si="19"/>
        <v/>
      </c>
      <c r="AG75" s="48" t="str">
        <f t="shared" si="20"/>
        <v/>
      </c>
      <c r="AH75" s="131"/>
      <c r="AI75" s="149" t="str">
        <f t="shared" si="21"/>
        <v>Débil</v>
      </c>
      <c r="AJ75" s="21" t="str">
        <f>IFERROR(VLOOKUP((CONCATENATE(AG75,AI75)),Listados!$U$3:$V$11,2,FALSE),"")</f>
        <v/>
      </c>
      <c r="AK75" s="48">
        <f t="shared" si="22"/>
        <v>100</v>
      </c>
      <c r="AL75" s="431"/>
      <c r="AM75" s="433"/>
      <c r="AN75" s="169">
        <f>+IF(AND(Q75="Preventivo",AM73="Fuerte"),2,IF(AND(Q75="Preventivo",AM73="Moderado"),1,0))</f>
        <v>2</v>
      </c>
      <c r="AO75" s="169">
        <f t="shared" si="11"/>
        <v>1</v>
      </c>
      <c r="AP75" s="169">
        <f>+K73-AN75</f>
        <v>0</v>
      </c>
      <c r="AQ75" s="169">
        <f>+M73-AO75</f>
        <v>2</v>
      </c>
      <c r="AR75" s="422"/>
      <c r="AS75" s="422"/>
      <c r="AT75" s="422"/>
      <c r="AU75" s="422"/>
      <c r="AV75" s="387"/>
      <c r="AW75" s="388"/>
      <c r="AX75" s="389"/>
      <c r="AY75" s="387"/>
      <c r="AZ75" s="388"/>
      <c r="BA75" s="389"/>
      <c r="BB75" s="387"/>
      <c r="BC75" s="388"/>
      <c r="BD75" s="389"/>
    </row>
    <row r="76" spans="1:56" ht="15.75" thickBot="1">
      <c r="A76" s="405"/>
      <c r="B76" s="407"/>
      <c r="C76" s="408"/>
      <c r="D76" s="409"/>
      <c r="E76" s="164"/>
      <c r="F76" s="164"/>
      <c r="G76" s="165"/>
      <c r="H76" s="165"/>
      <c r="I76" s="165"/>
      <c r="J76" s="407"/>
      <c r="K76" s="425"/>
      <c r="L76" s="428"/>
      <c r="M76" s="425"/>
      <c r="N76" s="435"/>
      <c r="O76" s="164"/>
      <c r="P76" s="166"/>
      <c r="Q76" s="166"/>
      <c r="R76" s="172"/>
      <c r="S76" s="27" t="str">
        <f t="shared" si="12"/>
        <v/>
      </c>
      <c r="T76" s="172"/>
      <c r="U76" s="27" t="str">
        <f t="shared" si="13"/>
        <v/>
      </c>
      <c r="V76" s="150"/>
      <c r="W76" s="27" t="str">
        <f t="shared" si="14"/>
        <v/>
      </c>
      <c r="X76" s="150"/>
      <c r="Y76" s="27" t="str">
        <f t="shared" si="15"/>
        <v/>
      </c>
      <c r="Z76" s="150"/>
      <c r="AA76" s="27" t="str">
        <f t="shared" si="16"/>
        <v/>
      </c>
      <c r="AB76" s="150"/>
      <c r="AC76" s="27" t="str">
        <f t="shared" si="17"/>
        <v/>
      </c>
      <c r="AD76" s="150"/>
      <c r="AE76" s="27" t="str">
        <f t="shared" si="18"/>
        <v/>
      </c>
      <c r="AF76" s="48" t="str">
        <f t="shared" si="19"/>
        <v/>
      </c>
      <c r="AG76" s="48" t="str">
        <f t="shared" si="20"/>
        <v/>
      </c>
      <c r="AH76" s="131"/>
      <c r="AI76" s="149" t="str">
        <f t="shared" si="21"/>
        <v>Débil</v>
      </c>
      <c r="AJ76" s="21" t="str">
        <f>IFERROR(VLOOKUP((CONCATENATE(AG76,AI76)),Listados!$U$3:$V$11,2,FALSE),"")</f>
        <v/>
      </c>
      <c r="AK76" s="48">
        <f t="shared" si="22"/>
        <v>100</v>
      </c>
      <c r="AL76" s="431"/>
      <c r="AM76" s="433"/>
      <c r="AN76" s="169">
        <f>+IF(AND(Q76="Preventivo",AM73="Fuerte"),2,IF(AND(Q76="Preventivo",AM73="Moderado"),1,0))</f>
        <v>0</v>
      </c>
      <c r="AO76" s="169">
        <f t="shared" si="11"/>
        <v>0</v>
      </c>
      <c r="AP76" s="169">
        <f>+K73-AN76</f>
        <v>2</v>
      </c>
      <c r="AQ76" s="169">
        <f>+M73-AO76</f>
        <v>3</v>
      </c>
      <c r="AR76" s="422"/>
      <c r="AS76" s="422"/>
      <c r="AT76" s="422"/>
      <c r="AU76" s="422"/>
      <c r="AV76" s="387"/>
      <c r="AW76" s="388"/>
      <c r="AX76" s="389"/>
      <c r="AY76" s="387"/>
      <c r="AZ76" s="388"/>
      <c r="BA76" s="389"/>
      <c r="BB76" s="387"/>
      <c r="BC76" s="388"/>
      <c r="BD76" s="389"/>
    </row>
    <row r="77" spans="1:56" ht="15.75" thickBot="1">
      <c r="A77" s="405"/>
      <c r="B77" s="407"/>
      <c r="C77" s="408"/>
      <c r="D77" s="409"/>
      <c r="E77" s="164"/>
      <c r="F77" s="164"/>
      <c r="G77" s="165"/>
      <c r="H77" s="165"/>
      <c r="I77" s="165"/>
      <c r="J77" s="407"/>
      <c r="K77" s="425"/>
      <c r="L77" s="428"/>
      <c r="M77" s="425"/>
      <c r="N77" s="435"/>
      <c r="O77" s="164"/>
      <c r="P77" s="166"/>
      <c r="Q77" s="166"/>
      <c r="R77" s="172"/>
      <c r="S77" s="27" t="str">
        <f t="shared" si="12"/>
        <v/>
      </c>
      <c r="T77" s="172"/>
      <c r="U77" s="27" t="str">
        <f t="shared" si="13"/>
        <v/>
      </c>
      <c r="V77" s="150"/>
      <c r="W77" s="27" t="str">
        <f t="shared" si="14"/>
        <v/>
      </c>
      <c r="X77" s="150"/>
      <c r="Y77" s="27" t="str">
        <f t="shared" si="15"/>
        <v/>
      </c>
      <c r="Z77" s="150"/>
      <c r="AA77" s="27" t="str">
        <f t="shared" si="16"/>
        <v/>
      </c>
      <c r="AB77" s="150"/>
      <c r="AC77" s="27" t="str">
        <f t="shared" si="17"/>
        <v/>
      </c>
      <c r="AD77" s="150"/>
      <c r="AE77" s="27" t="str">
        <f t="shared" si="18"/>
        <v/>
      </c>
      <c r="AF77" s="48" t="str">
        <f t="shared" si="19"/>
        <v/>
      </c>
      <c r="AG77" s="48" t="str">
        <f t="shared" si="20"/>
        <v/>
      </c>
      <c r="AH77" s="131"/>
      <c r="AI77" s="149" t="str">
        <f t="shared" si="21"/>
        <v>Débil</v>
      </c>
      <c r="AJ77" s="21" t="str">
        <f>IFERROR(VLOOKUP((CONCATENATE(AG77,AI77)),Listados!$U$3:$V$11,2,FALSE),"")</f>
        <v/>
      </c>
      <c r="AK77" s="48">
        <f t="shared" si="22"/>
        <v>100</v>
      </c>
      <c r="AL77" s="431"/>
      <c r="AM77" s="433"/>
      <c r="AN77" s="169">
        <f>+IF(AND(Q77="Preventivo",AM73="Fuerte"),2,IF(AND(Q77="Preventivo",AM73="Moderado"),1,0))</f>
        <v>0</v>
      </c>
      <c r="AO77" s="169">
        <f t="shared" si="11"/>
        <v>0</v>
      </c>
      <c r="AP77" s="169">
        <f>+K73-AN77</f>
        <v>2</v>
      </c>
      <c r="AQ77" s="169">
        <f>+M73-AO77</f>
        <v>3</v>
      </c>
      <c r="AR77" s="422"/>
      <c r="AS77" s="422"/>
      <c r="AT77" s="422"/>
      <c r="AU77" s="422"/>
      <c r="AV77" s="387"/>
      <c r="AW77" s="388"/>
      <c r="AX77" s="389"/>
      <c r="AY77" s="387"/>
      <c r="AZ77" s="388"/>
      <c r="BA77" s="389"/>
      <c r="BB77" s="387"/>
      <c r="BC77" s="388"/>
      <c r="BD77" s="389"/>
    </row>
    <row r="78" spans="1:56" ht="15.75" thickBot="1">
      <c r="A78" s="406"/>
      <c r="B78" s="407"/>
      <c r="C78" s="408"/>
      <c r="D78" s="409"/>
      <c r="E78" s="164"/>
      <c r="F78" s="164"/>
      <c r="G78" s="165"/>
      <c r="H78" s="165"/>
      <c r="I78" s="165"/>
      <c r="J78" s="407"/>
      <c r="K78" s="426"/>
      <c r="L78" s="428"/>
      <c r="M78" s="426"/>
      <c r="N78" s="435"/>
      <c r="O78" s="164"/>
      <c r="P78" s="166"/>
      <c r="Q78" s="166"/>
      <c r="R78" s="172"/>
      <c r="S78" s="27" t="str">
        <f t="shared" si="12"/>
        <v/>
      </c>
      <c r="T78" s="172"/>
      <c r="U78" s="27" t="str">
        <f t="shared" si="13"/>
        <v/>
      </c>
      <c r="V78" s="150"/>
      <c r="W78" s="27" t="str">
        <f t="shared" si="14"/>
        <v/>
      </c>
      <c r="X78" s="150"/>
      <c r="Y78" s="27" t="str">
        <f t="shared" si="15"/>
        <v/>
      </c>
      <c r="Z78" s="150"/>
      <c r="AA78" s="27" t="str">
        <f t="shared" si="16"/>
        <v/>
      </c>
      <c r="AB78" s="150"/>
      <c r="AC78" s="27" t="str">
        <f t="shared" si="17"/>
        <v/>
      </c>
      <c r="AD78" s="150"/>
      <c r="AE78" s="27" t="str">
        <f t="shared" si="18"/>
        <v/>
      </c>
      <c r="AF78" s="48" t="str">
        <f t="shared" si="19"/>
        <v/>
      </c>
      <c r="AG78" s="48" t="str">
        <f t="shared" si="20"/>
        <v/>
      </c>
      <c r="AH78" s="131"/>
      <c r="AI78" s="149" t="str">
        <f t="shared" si="21"/>
        <v>Débil</v>
      </c>
      <c r="AJ78" s="21" t="str">
        <f>IFERROR(VLOOKUP((CONCATENATE(AG78,AI78)),Listados!$U$3:$V$11,2,FALSE),"")</f>
        <v/>
      </c>
      <c r="AK78" s="48">
        <f t="shared" si="22"/>
        <v>100</v>
      </c>
      <c r="AL78" s="432"/>
      <c r="AM78" s="433"/>
      <c r="AN78" s="169">
        <f>+IF(AND(Q78="Preventivo",AM73="Fuerte"),2,IF(AND(Q78="Preventivo",AM73="Moderado"),1,0))</f>
        <v>0</v>
      </c>
      <c r="AO78" s="169">
        <f t="shared" ref="AO78:AO141" si="23">+IF(AND(Q78="Detectivo",$AM$7="Fuerte"),2,IF(AND(Q78="Detectivo",$AM$7="Moderado"),1,IF(AND(Q78="Preventivo",$AM$7="Fuerte"),1,0)))</f>
        <v>0</v>
      </c>
      <c r="AP78" s="169">
        <f>+K73-AN78</f>
        <v>2</v>
      </c>
      <c r="AQ78" s="169">
        <f>+M73-AO78</f>
        <v>3</v>
      </c>
      <c r="AR78" s="423"/>
      <c r="AS78" s="423"/>
      <c r="AT78" s="423"/>
      <c r="AU78" s="423"/>
      <c r="AV78" s="387"/>
      <c r="AW78" s="388"/>
      <c r="AX78" s="389"/>
      <c r="AY78" s="387"/>
      <c r="AZ78" s="388"/>
      <c r="BA78" s="389"/>
      <c r="BB78" s="387"/>
      <c r="BC78" s="388"/>
      <c r="BD78" s="389"/>
    </row>
    <row r="79" spans="1:56" ht="186.75" thickBot="1">
      <c r="A79" s="404">
        <v>13</v>
      </c>
      <c r="B79" s="407" t="s">
        <v>79</v>
      </c>
      <c r="C79" s="408" t="str">
        <f>IFERROR(VLOOKUP(B79,Listados!B$3:C$20,2,FALSE),"")</f>
        <v>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v>
      </c>
      <c r="D79" s="409" t="s">
        <v>296</v>
      </c>
      <c r="E79" s="164" t="s">
        <v>52</v>
      </c>
      <c r="F79" s="164"/>
      <c r="G79" s="165" t="s">
        <v>297</v>
      </c>
      <c r="H79" s="165" t="s">
        <v>16</v>
      </c>
      <c r="I79" s="165" t="s">
        <v>298</v>
      </c>
      <c r="J79" s="407" t="s">
        <v>21</v>
      </c>
      <c r="K79" s="424">
        <f>+VLOOKUP(J79,Listados!$K$8:$L$12,2,0)</f>
        <v>1</v>
      </c>
      <c r="L79" s="427" t="s">
        <v>36</v>
      </c>
      <c r="M79" s="424">
        <f>+VLOOKUP(L79,Listados!$K$13:$L$17,2,0)</f>
        <v>3</v>
      </c>
      <c r="N79" s="434" t="str">
        <f>IF(AND(J79&lt;&gt;"",L79&lt;&gt;""),VLOOKUP(J79&amp;L79,Listados!$M$3:$N$27,2,FALSE),"")</f>
        <v>Moderado</v>
      </c>
      <c r="O79" s="166" t="s">
        <v>299</v>
      </c>
      <c r="P79" s="165" t="s">
        <v>297</v>
      </c>
      <c r="Q79" s="165" t="s">
        <v>20</v>
      </c>
      <c r="R79" s="172"/>
      <c r="S79" s="27" t="str">
        <f t="shared" si="12"/>
        <v/>
      </c>
      <c r="T79" s="172"/>
      <c r="U79" s="27" t="str">
        <f t="shared" si="13"/>
        <v/>
      </c>
      <c r="V79" s="150"/>
      <c r="W79" s="27" t="str">
        <f t="shared" si="14"/>
        <v/>
      </c>
      <c r="X79" s="150"/>
      <c r="Y79" s="27" t="str">
        <f t="shared" si="15"/>
        <v/>
      </c>
      <c r="Z79" s="150"/>
      <c r="AA79" s="27" t="str">
        <f t="shared" si="16"/>
        <v/>
      </c>
      <c r="AB79" s="150"/>
      <c r="AC79" s="27" t="str">
        <f t="shared" si="17"/>
        <v/>
      </c>
      <c r="AD79" s="150"/>
      <c r="AE79" s="27" t="str">
        <f t="shared" si="18"/>
        <v/>
      </c>
      <c r="AF79" s="48" t="str">
        <f t="shared" si="19"/>
        <v/>
      </c>
      <c r="AG79" s="48" t="str">
        <f t="shared" si="20"/>
        <v/>
      </c>
      <c r="AH79" s="131"/>
      <c r="AI79" s="149" t="str">
        <f t="shared" si="21"/>
        <v>Débil</v>
      </c>
      <c r="AJ79" s="21" t="str">
        <f>IFERROR(VLOOKUP((CONCATENATE(AG79,AI79)),Listados!$U$3:$V$11,2,FALSE),"")</f>
        <v/>
      </c>
      <c r="AK79" s="48">
        <f t="shared" si="22"/>
        <v>100</v>
      </c>
      <c r="AL79" s="430">
        <f>AVERAGE(AK79:AK84)</f>
        <v>100</v>
      </c>
      <c r="AM79" s="432" t="str">
        <f>IF(AL79&lt;=50, "Débil", IF(AL79&lt;=99,"Moderado","Fuerte"))</f>
        <v>Fuerte</v>
      </c>
      <c r="AN79" s="169">
        <f>+IF(AND(Q79="Preventivo",AM79="Fuerte"),2,IF(AND(Q79="Preventivo",AM79="Moderado"),1,0))</f>
        <v>2</v>
      </c>
      <c r="AO79" s="169">
        <f t="shared" si="23"/>
        <v>1</v>
      </c>
      <c r="AP79" s="169">
        <f>+K79-AN79</f>
        <v>-1</v>
      </c>
      <c r="AQ79" s="169">
        <f>+M79-AO79</f>
        <v>2</v>
      </c>
      <c r="AR79" s="421" t="str">
        <f>+VLOOKUP(MIN(AP79,AP80,AP81,AP82,AP83,AP84),Listados!$J$18:$K$24,2,TRUE)</f>
        <v>Rara Vez</v>
      </c>
      <c r="AS79" s="421" t="str">
        <f>+VLOOKUP(MIN(AQ79,AQ80,AQ81,AQ82,AQ83,AQ84),Listados!$J$27:$K$32,2,TRUE)</f>
        <v>Insignificante</v>
      </c>
      <c r="AT79" s="421" t="str">
        <f>IF(AND(AR79&lt;&gt;"",AS79&lt;&gt;""),VLOOKUP(AR79&amp;AS79,Listados!$M$3:$N$27,2,FALSE),"")</f>
        <v>Bajo</v>
      </c>
      <c r="AU79" s="421" t="str">
        <f>+VLOOKUP(AT79,Listados!$P$3:$Q$6,2,FALSE)</f>
        <v>Asumir el riesgo</v>
      </c>
      <c r="AV79" s="387"/>
      <c r="AW79" s="388"/>
      <c r="AX79" s="389"/>
      <c r="AY79" s="387"/>
      <c r="AZ79" s="388"/>
      <c r="BA79" s="389"/>
      <c r="BB79" s="387"/>
      <c r="BC79" s="388"/>
      <c r="BD79" s="389"/>
    </row>
    <row r="80" spans="1:56" ht="171.75" thickBot="1">
      <c r="A80" s="405"/>
      <c r="B80" s="407"/>
      <c r="C80" s="408"/>
      <c r="D80" s="409"/>
      <c r="E80" s="164"/>
      <c r="F80" s="164"/>
      <c r="G80" s="165" t="s">
        <v>300</v>
      </c>
      <c r="H80" s="165" t="s">
        <v>30</v>
      </c>
      <c r="I80" s="165" t="s">
        <v>301</v>
      </c>
      <c r="J80" s="407"/>
      <c r="K80" s="425"/>
      <c r="L80" s="428"/>
      <c r="M80" s="425"/>
      <c r="N80" s="435"/>
      <c r="O80" s="180" t="s">
        <v>302</v>
      </c>
      <c r="P80" s="165" t="s">
        <v>300</v>
      </c>
      <c r="Q80" s="165" t="s">
        <v>20</v>
      </c>
      <c r="R80" s="172"/>
      <c r="S80" s="27" t="str">
        <f t="shared" si="12"/>
        <v/>
      </c>
      <c r="T80" s="172"/>
      <c r="U80" s="27" t="str">
        <f t="shared" si="13"/>
        <v/>
      </c>
      <c r="V80" s="150"/>
      <c r="W80" s="27" t="str">
        <f t="shared" si="14"/>
        <v/>
      </c>
      <c r="X80" s="150"/>
      <c r="Y80" s="27" t="str">
        <f t="shared" si="15"/>
        <v/>
      </c>
      <c r="Z80" s="150"/>
      <c r="AA80" s="27" t="str">
        <f t="shared" si="16"/>
        <v/>
      </c>
      <c r="AB80" s="150"/>
      <c r="AC80" s="27" t="str">
        <f t="shared" si="17"/>
        <v/>
      </c>
      <c r="AD80" s="150"/>
      <c r="AE80" s="27" t="str">
        <f t="shared" si="18"/>
        <v/>
      </c>
      <c r="AF80" s="48" t="str">
        <f t="shared" si="19"/>
        <v/>
      </c>
      <c r="AG80" s="48" t="str">
        <f t="shared" si="20"/>
        <v/>
      </c>
      <c r="AH80" s="131"/>
      <c r="AI80" s="149" t="str">
        <f t="shared" si="21"/>
        <v>Débil</v>
      </c>
      <c r="AJ80" s="21" t="str">
        <f>IFERROR(VLOOKUP((CONCATENATE(AG80,AI80)),Listados!$U$3:$V$11,2,FALSE),"")</f>
        <v/>
      </c>
      <c r="AK80" s="48">
        <f t="shared" si="22"/>
        <v>100</v>
      </c>
      <c r="AL80" s="431"/>
      <c r="AM80" s="433"/>
      <c r="AN80" s="169">
        <f>+IF(AND(Q80="Preventivo",AM79="Fuerte"),2,IF(AND(Q80="Preventivo",AM79="Moderado"),1,0))</f>
        <v>2</v>
      </c>
      <c r="AO80" s="169">
        <f t="shared" si="23"/>
        <v>1</v>
      </c>
      <c r="AP80" s="169">
        <f>+K79-AN80</f>
        <v>-1</v>
      </c>
      <c r="AQ80" s="169">
        <f>+M79-AO80</f>
        <v>2</v>
      </c>
      <c r="AR80" s="422"/>
      <c r="AS80" s="422"/>
      <c r="AT80" s="422"/>
      <c r="AU80" s="422"/>
      <c r="AV80" s="387"/>
      <c r="AW80" s="388"/>
      <c r="AX80" s="389"/>
      <c r="AY80" s="387"/>
      <c r="AZ80" s="388"/>
      <c r="BA80" s="389"/>
      <c r="BB80" s="387"/>
      <c r="BC80" s="388"/>
      <c r="BD80" s="389"/>
    </row>
    <row r="81" spans="1:56" ht="270.75" customHeight="1" thickBot="1">
      <c r="A81" s="405"/>
      <c r="B81" s="407"/>
      <c r="C81" s="408"/>
      <c r="D81" s="409"/>
      <c r="E81" s="164"/>
      <c r="F81" s="164" t="s">
        <v>178</v>
      </c>
      <c r="G81" s="165" t="s">
        <v>303</v>
      </c>
      <c r="H81" s="165" t="s">
        <v>16</v>
      </c>
      <c r="I81" s="165"/>
      <c r="J81" s="407"/>
      <c r="K81" s="425"/>
      <c r="L81" s="428"/>
      <c r="M81" s="425"/>
      <c r="N81" s="435"/>
      <c r="O81" s="166" t="s">
        <v>304</v>
      </c>
      <c r="P81" s="165" t="s">
        <v>303</v>
      </c>
      <c r="Q81" s="165" t="s">
        <v>123</v>
      </c>
      <c r="R81" s="172"/>
      <c r="S81" s="27" t="str">
        <f t="shared" si="12"/>
        <v/>
      </c>
      <c r="T81" s="172"/>
      <c r="U81" s="27" t="str">
        <f t="shared" si="13"/>
        <v/>
      </c>
      <c r="V81" s="150"/>
      <c r="W81" s="27" t="str">
        <f t="shared" si="14"/>
        <v/>
      </c>
      <c r="X81" s="150"/>
      <c r="Y81" s="27" t="str">
        <f t="shared" si="15"/>
        <v/>
      </c>
      <c r="Z81" s="150"/>
      <c r="AA81" s="27" t="str">
        <f t="shared" si="16"/>
        <v/>
      </c>
      <c r="AB81" s="150"/>
      <c r="AC81" s="27" t="str">
        <f t="shared" si="17"/>
        <v/>
      </c>
      <c r="AD81" s="150"/>
      <c r="AE81" s="27" t="str">
        <f t="shared" si="18"/>
        <v/>
      </c>
      <c r="AF81" s="48" t="str">
        <f t="shared" si="19"/>
        <v/>
      </c>
      <c r="AG81" s="48" t="str">
        <f t="shared" si="20"/>
        <v/>
      </c>
      <c r="AH81" s="131"/>
      <c r="AI81" s="149" t="str">
        <f t="shared" si="21"/>
        <v>Débil</v>
      </c>
      <c r="AJ81" s="21" t="str">
        <f>IFERROR(VLOOKUP((CONCATENATE(AG81,AI81)),Listados!$U$3:$V$11,2,FALSE),"")</f>
        <v/>
      </c>
      <c r="AK81" s="48">
        <f t="shared" si="22"/>
        <v>100</v>
      </c>
      <c r="AL81" s="431"/>
      <c r="AM81" s="433"/>
      <c r="AN81" s="169">
        <f>+IF(AND(Q81="Preventivo",AM79="Fuerte"),2,IF(AND(Q81="Preventivo",AM79="Moderado"),1,0))</f>
        <v>0</v>
      </c>
      <c r="AO81" s="169">
        <f t="shared" si="23"/>
        <v>2</v>
      </c>
      <c r="AP81" s="169">
        <f>+K79-AN81</f>
        <v>1</v>
      </c>
      <c r="AQ81" s="169">
        <f>+M79-AO81</f>
        <v>1</v>
      </c>
      <c r="AR81" s="422"/>
      <c r="AS81" s="422"/>
      <c r="AT81" s="422"/>
      <c r="AU81" s="422"/>
      <c r="AV81" s="387"/>
      <c r="AW81" s="388"/>
      <c r="AX81" s="389"/>
      <c r="AY81" s="387"/>
      <c r="AZ81" s="388"/>
      <c r="BA81" s="389"/>
      <c r="BB81" s="387"/>
      <c r="BC81" s="388"/>
      <c r="BD81" s="389"/>
    </row>
    <row r="82" spans="1:56" ht="15.75" thickBot="1">
      <c r="A82" s="405"/>
      <c r="B82" s="407"/>
      <c r="C82" s="408"/>
      <c r="D82" s="409"/>
      <c r="E82" s="164"/>
      <c r="F82" s="164"/>
      <c r="G82" s="165"/>
      <c r="H82" s="165"/>
      <c r="I82" s="165"/>
      <c r="J82" s="407"/>
      <c r="K82" s="425"/>
      <c r="L82" s="428"/>
      <c r="M82" s="425"/>
      <c r="N82" s="435"/>
      <c r="O82" s="164"/>
      <c r="P82" s="166"/>
      <c r="Q82" s="166"/>
      <c r="R82" s="172"/>
      <c r="S82" s="27" t="str">
        <f t="shared" si="12"/>
        <v/>
      </c>
      <c r="T82" s="172"/>
      <c r="U82" s="27" t="str">
        <f t="shared" si="13"/>
        <v/>
      </c>
      <c r="V82" s="150"/>
      <c r="W82" s="27" t="str">
        <f t="shared" si="14"/>
        <v/>
      </c>
      <c r="X82" s="150"/>
      <c r="Y82" s="27" t="str">
        <f t="shared" si="15"/>
        <v/>
      </c>
      <c r="Z82" s="150"/>
      <c r="AA82" s="27" t="str">
        <f t="shared" si="16"/>
        <v/>
      </c>
      <c r="AB82" s="150"/>
      <c r="AC82" s="27" t="str">
        <f t="shared" si="17"/>
        <v/>
      </c>
      <c r="AD82" s="150"/>
      <c r="AE82" s="27" t="str">
        <f t="shared" si="18"/>
        <v/>
      </c>
      <c r="AF82" s="48" t="str">
        <f t="shared" si="19"/>
        <v/>
      </c>
      <c r="AG82" s="48" t="str">
        <f t="shared" si="20"/>
        <v/>
      </c>
      <c r="AH82" s="131"/>
      <c r="AI82" s="149" t="str">
        <f t="shared" si="21"/>
        <v>Débil</v>
      </c>
      <c r="AJ82" s="21" t="str">
        <f>IFERROR(VLOOKUP((CONCATENATE(AG82,AI82)),Listados!$U$3:$V$11,2,FALSE),"")</f>
        <v/>
      </c>
      <c r="AK82" s="48">
        <f t="shared" si="22"/>
        <v>100</v>
      </c>
      <c r="AL82" s="431"/>
      <c r="AM82" s="433"/>
      <c r="AN82" s="169">
        <f>+IF(AND(Q82="Preventivo",AM79="Fuerte"),2,IF(AND(Q82="Preventivo",AM79="Moderado"),1,0))</f>
        <v>0</v>
      </c>
      <c r="AO82" s="169">
        <f t="shared" si="23"/>
        <v>0</v>
      </c>
      <c r="AP82" s="169">
        <f>+K79-AN82</f>
        <v>1</v>
      </c>
      <c r="AQ82" s="169">
        <f>+M79-AO82</f>
        <v>3</v>
      </c>
      <c r="AR82" s="422"/>
      <c r="AS82" s="422"/>
      <c r="AT82" s="422"/>
      <c r="AU82" s="422"/>
      <c r="AV82" s="387"/>
      <c r="AW82" s="388"/>
      <c r="AX82" s="389"/>
      <c r="AY82" s="387"/>
      <c r="AZ82" s="388"/>
      <c r="BA82" s="389"/>
      <c r="BB82" s="387"/>
      <c r="BC82" s="388"/>
      <c r="BD82" s="389"/>
    </row>
    <row r="83" spans="1:56" ht="15.75" thickBot="1">
      <c r="A83" s="405"/>
      <c r="B83" s="407"/>
      <c r="C83" s="408"/>
      <c r="D83" s="409"/>
      <c r="E83" s="164"/>
      <c r="F83" s="164"/>
      <c r="G83" s="165"/>
      <c r="H83" s="165"/>
      <c r="I83" s="165"/>
      <c r="J83" s="407"/>
      <c r="K83" s="425"/>
      <c r="L83" s="428"/>
      <c r="M83" s="425"/>
      <c r="N83" s="435"/>
      <c r="O83" s="164"/>
      <c r="P83" s="166"/>
      <c r="Q83" s="166"/>
      <c r="R83" s="172"/>
      <c r="S83" s="27" t="str">
        <f t="shared" si="12"/>
        <v/>
      </c>
      <c r="T83" s="172"/>
      <c r="U83" s="27" t="str">
        <f t="shared" si="13"/>
        <v/>
      </c>
      <c r="V83" s="150"/>
      <c r="W83" s="27" t="str">
        <f t="shared" si="14"/>
        <v/>
      </c>
      <c r="X83" s="150"/>
      <c r="Y83" s="27" t="str">
        <f t="shared" si="15"/>
        <v/>
      </c>
      <c r="Z83" s="150"/>
      <c r="AA83" s="27" t="str">
        <f t="shared" si="16"/>
        <v/>
      </c>
      <c r="AB83" s="150"/>
      <c r="AC83" s="27" t="str">
        <f t="shared" si="17"/>
        <v/>
      </c>
      <c r="AD83" s="150"/>
      <c r="AE83" s="27" t="str">
        <f t="shared" si="18"/>
        <v/>
      </c>
      <c r="AF83" s="48" t="str">
        <f t="shared" si="19"/>
        <v/>
      </c>
      <c r="AG83" s="48" t="str">
        <f t="shared" si="20"/>
        <v/>
      </c>
      <c r="AH83" s="131"/>
      <c r="AI83" s="149" t="str">
        <f t="shared" si="21"/>
        <v>Débil</v>
      </c>
      <c r="AJ83" s="21" t="str">
        <f>IFERROR(VLOOKUP((CONCATENATE(AG83,AI83)),Listados!$U$3:$V$11,2,FALSE),"")</f>
        <v/>
      </c>
      <c r="AK83" s="48">
        <f t="shared" si="22"/>
        <v>100</v>
      </c>
      <c r="AL83" s="431"/>
      <c r="AM83" s="433"/>
      <c r="AN83" s="169">
        <f>+IF(AND(Q83="Preventivo",AM79="Fuerte"),2,IF(AND(Q83="Preventivo",AM79="Moderado"),1,0))</f>
        <v>0</v>
      </c>
      <c r="AO83" s="169">
        <f t="shared" si="23"/>
        <v>0</v>
      </c>
      <c r="AP83" s="169">
        <f>+K79-AN83</f>
        <v>1</v>
      </c>
      <c r="AQ83" s="169">
        <f>+M79-AO83</f>
        <v>3</v>
      </c>
      <c r="AR83" s="422"/>
      <c r="AS83" s="422"/>
      <c r="AT83" s="422"/>
      <c r="AU83" s="422"/>
      <c r="AV83" s="387"/>
      <c r="AW83" s="388"/>
      <c r="AX83" s="389"/>
      <c r="AY83" s="387"/>
      <c r="AZ83" s="388"/>
      <c r="BA83" s="389"/>
      <c r="BB83" s="387"/>
      <c r="BC83" s="388"/>
      <c r="BD83" s="389"/>
    </row>
    <row r="84" spans="1:56" ht="15.75" thickBot="1">
      <c r="A84" s="406"/>
      <c r="B84" s="407"/>
      <c r="C84" s="408"/>
      <c r="D84" s="409"/>
      <c r="E84" s="164"/>
      <c r="F84" s="164"/>
      <c r="G84" s="165"/>
      <c r="H84" s="165"/>
      <c r="I84" s="165"/>
      <c r="J84" s="407"/>
      <c r="K84" s="426"/>
      <c r="L84" s="428"/>
      <c r="M84" s="426"/>
      <c r="N84" s="435"/>
      <c r="O84" s="164"/>
      <c r="P84" s="166"/>
      <c r="Q84" s="166"/>
      <c r="R84" s="172"/>
      <c r="S84" s="27" t="str">
        <f t="shared" si="12"/>
        <v/>
      </c>
      <c r="T84" s="172"/>
      <c r="U84" s="27" t="str">
        <f t="shared" si="13"/>
        <v/>
      </c>
      <c r="V84" s="150"/>
      <c r="W84" s="27" t="str">
        <f t="shared" si="14"/>
        <v/>
      </c>
      <c r="X84" s="150"/>
      <c r="Y84" s="27" t="str">
        <f t="shared" si="15"/>
        <v/>
      </c>
      <c r="Z84" s="150"/>
      <c r="AA84" s="27" t="str">
        <f t="shared" si="16"/>
        <v/>
      </c>
      <c r="AB84" s="150"/>
      <c r="AC84" s="27" t="str">
        <f t="shared" si="17"/>
        <v/>
      </c>
      <c r="AD84" s="150"/>
      <c r="AE84" s="27" t="str">
        <f t="shared" si="18"/>
        <v/>
      </c>
      <c r="AF84" s="48" t="str">
        <f t="shared" si="19"/>
        <v/>
      </c>
      <c r="AG84" s="48" t="str">
        <f t="shared" si="20"/>
        <v/>
      </c>
      <c r="AH84" s="131"/>
      <c r="AI84" s="149" t="str">
        <f t="shared" si="21"/>
        <v>Débil</v>
      </c>
      <c r="AJ84" s="21" t="str">
        <f>IFERROR(VLOOKUP((CONCATENATE(AG84,AI84)),Listados!$U$3:$V$11,2,FALSE),"")</f>
        <v/>
      </c>
      <c r="AK84" s="48">
        <f t="shared" si="22"/>
        <v>100</v>
      </c>
      <c r="AL84" s="432"/>
      <c r="AM84" s="433"/>
      <c r="AN84" s="169">
        <f>+IF(AND(Q84="Preventivo",AM79="Fuerte"),2,IF(AND(Q84="Preventivo",AM79="Moderado"),1,0))</f>
        <v>0</v>
      </c>
      <c r="AO84" s="169">
        <f t="shared" si="23"/>
        <v>0</v>
      </c>
      <c r="AP84" s="169">
        <f>+K79-AN84</f>
        <v>1</v>
      </c>
      <c r="AQ84" s="169">
        <f>+M79-AO84</f>
        <v>3</v>
      </c>
      <c r="AR84" s="423"/>
      <c r="AS84" s="423"/>
      <c r="AT84" s="423"/>
      <c r="AU84" s="423"/>
      <c r="AV84" s="387"/>
      <c r="AW84" s="388"/>
      <c r="AX84" s="389"/>
      <c r="AY84" s="387"/>
      <c r="AZ84" s="388"/>
      <c r="BA84" s="389"/>
      <c r="BB84" s="387"/>
      <c r="BC84" s="388"/>
      <c r="BD84" s="389"/>
    </row>
    <row r="85" spans="1:56" ht="186.75" thickBot="1">
      <c r="A85" s="404">
        <v>14</v>
      </c>
      <c r="B85" s="407" t="s">
        <v>79</v>
      </c>
      <c r="C85" s="408" t="str">
        <f>IFERROR(VLOOKUP(B85,Listados!B$3:C$20,2,FALSE),"")</f>
        <v>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v>
      </c>
      <c r="D85" s="409" t="s">
        <v>305</v>
      </c>
      <c r="E85" s="164" t="s">
        <v>15</v>
      </c>
      <c r="F85" s="164" t="s">
        <v>178</v>
      </c>
      <c r="G85" s="165" t="s">
        <v>306</v>
      </c>
      <c r="H85" s="165" t="s">
        <v>16</v>
      </c>
      <c r="I85" s="165" t="s">
        <v>301</v>
      </c>
      <c r="J85" s="407" t="s">
        <v>53</v>
      </c>
      <c r="K85" s="424">
        <f>+VLOOKUP(J85,Listados!$K$8:$L$12,2,0)</f>
        <v>4</v>
      </c>
      <c r="L85" s="427" t="s">
        <v>54</v>
      </c>
      <c r="M85" s="424">
        <f>+VLOOKUP(L85,Listados!$K$13:$L$17,2,0)</f>
        <v>4</v>
      </c>
      <c r="N85" s="434" t="str">
        <f>IF(AND(J85&lt;&gt;"",L85&lt;&gt;""),VLOOKUP(J85&amp;L85,Listados!$M$3:$N$27,2,FALSE),"")</f>
        <v>Extremo</v>
      </c>
      <c r="O85" s="166" t="s">
        <v>307</v>
      </c>
      <c r="P85" s="165" t="s">
        <v>306</v>
      </c>
      <c r="Q85" s="165" t="s">
        <v>20</v>
      </c>
      <c r="R85" s="172"/>
      <c r="S85" s="27" t="str">
        <f t="shared" si="12"/>
        <v/>
      </c>
      <c r="T85" s="172"/>
      <c r="U85" s="27" t="str">
        <f t="shared" si="13"/>
        <v/>
      </c>
      <c r="V85" s="150"/>
      <c r="W85" s="27" t="str">
        <f t="shared" si="14"/>
        <v/>
      </c>
      <c r="X85" s="150"/>
      <c r="Y85" s="27" t="str">
        <f t="shared" si="15"/>
        <v/>
      </c>
      <c r="Z85" s="150"/>
      <c r="AA85" s="27" t="str">
        <f t="shared" si="16"/>
        <v/>
      </c>
      <c r="AB85" s="150"/>
      <c r="AC85" s="27" t="str">
        <f t="shared" si="17"/>
        <v/>
      </c>
      <c r="AD85" s="150"/>
      <c r="AE85" s="27" t="str">
        <f t="shared" si="18"/>
        <v/>
      </c>
      <c r="AF85" s="48" t="str">
        <f t="shared" si="19"/>
        <v/>
      </c>
      <c r="AG85" s="48" t="str">
        <f t="shared" si="20"/>
        <v/>
      </c>
      <c r="AH85" s="131"/>
      <c r="AI85" s="149" t="str">
        <f t="shared" si="21"/>
        <v>Débil</v>
      </c>
      <c r="AJ85" s="21" t="str">
        <f>IFERROR(VLOOKUP((CONCATENATE(AG85,AI85)),Listados!$U$3:$V$11,2,FALSE),"")</f>
        <v/>
      </c>
      <c r="AK85" s="48">
        <f t="shared" si="22"/>
        <v>100</v>
      </c>
      <c r="AL85" s="430">
        <f>AVERAGE(AK85:AK90)</f>
        <v>100</v>
      </c>
      <c r="AM85" s="432" t="str">
        <f>IF(AL85&lt;=50, "Débil", IF(AL85&lt;=99,"Moderado","Fuerte"))</f>
        <v>Fuerte</v>
      </c>
      <c r="AN85" s="169">
        <f>+IF(AND(Q85="Preventivo",AM85="Fuerte"),2,IF(AND(Q85="Preventivo",AM85="Moderado"),1,0))</f>
        <v>2</v>
      </c>
      <c r="AO85" s="169">
        <f t="shared" si="23"/>
        <v>1</v>
      </c>
      <c r="AP85" s="169">
        <f>+K85-AN85</f>
        <v>2</v>
      </c>
      <c r="AQ85" s="169">
        <f>+M85-AO85</f>
        <v>3</v>
      </c>
      <c r="AR85" s="421" t="str">
        <f>+VLOOKUP(MIN(AP85,AP86,AP87,AP88,AP89,AP90),Listados!$J$18:$K$24,2,TRUE)</f>
        <v>Improbable</v>
      </c>
      <c r="AS85" s="421" t="str">
        <f>+VLOOKUP(MIN(AQ85,AQ86,AQ87,AQ88,AQ89,AQ90),Listados!$J$27:$K$32,2,TRUE)</f>
        <v>Menor</v>
      </c>
      <c r="AT85" s="421" t="str">
        <f>IF(AND(AR85&lt;&gt;"",AS85&lt;&gt;""),VLOOKUP(AR85&amp;AS85,Listados!$M$3:$N$27,2,FALSE),"")</f>
        <v>Bajo</v>
      </c>
      <c r="AU85" s="421" t="str">
        <f>+VLOOKUP(AT85,Listados!$P$3:$Q$6,2,FALSE)</f>
        <v>Asumir el riesgo</v>
      </c>
      <c r="AV85" s="387"/>
      <c r="AW85" s="388"/>
      <c r="AX85" s="389"/>
      <c r="AY85" s="387"/>
      <c r="AZ85" s="388"/>
      <c r="BA85" s="389"/>
      <c r="BB85" s="387"/>
      <c r="BC85" s="388"/>
      <c r="BD85" s="389"/>
    </row>
    <row r="86" spans="1:56" ht="172.5" thickBot="1">
      <c r="A86" s="405"/>
      <c r="B86" s="407"/>
      <c r="C86" s="408"/>
      <c r="D86" s="409"/>
      <c r="E86" s="164"/>
      <c r="F86" s="164"/>
      <c r="G86" s="165" t="s">
        <v>303</v>
      </c>
      <c r="H86" s="165" t="s">
        <v>16</v>
      </c>
      <c r="I86" s="165" t="s">
        <v>298</v>
      </c>
      <c r="J86" s="407"/>
      <c r="K86" s="425"/>
      <c r="L86" s="428"/>
      <c r="M86" s="425"/>
      <c r="N86" s="435"/>
      <c r="O86" s="166" t="s">
        <v>304</v>
      </c>
      <c r="P86" s="165" t="s">
        <v>303</v>
      </c>
      <c r="Q86" s="165" t="s">
        <v>123</v>
      </c>
      <c r="R86" s="172"/>
      <c r="S86" s="27" t="str">
        <f t="shared" si="12"/>
        <v/>
      </c>
      <c r="T86" s="172"/>
      <c r="U86" s="27" t="str">
        <f t="shared" si="13"/>
        <v/>
      </c>
      <c r="V86" s="150"/>
      <c r="W86" s="27" t="str">
        <f t="shared" si="14"/>
        <v/>
      </c>
      <c r="X86" s="150"/>
      <c r="Y86" s="27" t="str">
        <f t="shared" si="15"/>
        <v/>
      </c>
      <c r="Z86" s="150"/>
      <c r="AA86" s="27" t="str">
        <f t="shared" si="16"/>
        <v/>
      </c>
      <c r="AB86" s="150"/>
      <c r="AC86" s="27" t="str">
        <f t="shared" si="17"/>
        <v/>
      </c>
      <c r="AD86" s="150"/>
      <c r="AE86" s="27" t="str">
        <f t="shared" si="18"/>
        <v/>
      </c>
      <c r="AF86" s="48" t="str">
        <f t="shared" si="19"/>
        <v/>
      </c>
      <c r="AG86" s="48" t="str">
        <f t="shared" si="20"/>
        <v/>
      </c>
      <c r="AH86" s="131"/>
      <c r="AI86" s="149" t="str">
        <f t="shared" si="21"/>
        <v>Débil</v>
      </c>
      <c r="AJ86" s="21" t="str">
        <f>IFERROR(VLOOKUP((CONCATENATE(AG86,AI86)),Listados!$U$3:$V$11,2,FALSE),"")</f>
        <v/>
      </c>
      <c r="AK86" s="48">
        <f t="shared" si="22"/>
        <v>100</v>
      </c>
      <c r="AL86" s="431"/>
      <c r="AM86" s="433"/>
      <c r="AN86" s="169">
        <f>+IF(AND(Q86="Preventivo",AM85="Fuerte"),2,IF(AND(Q86="Preventivo",AM85="Moderado"),1,0))</f>
        <v>0</v>
      </c>
      <c r="AO86" s="169">
        <f t="shared" si="23"/>
        <v>2</v>
      </c>
      <c r="AP86" s="169">
        <f>+K85-AN86</f>
        <v>4</v>
      </c>
      <c r="AQ86" s="169">
        <f>+M85-AO86</f>
        <v>2</v>
      </c>
      <c r="AR86" s="422"/>
      <c r="AS86" s="422"/>
      <c r="AT86" s="422"/>
      <c r="AU86" s="422"/>
      <c r="AV86" s="387"/>
      <c r="AW86" s="388"/>
      <c r="AX86" s="389"/>
      <c r="AY86" s="387"/>
      <c r="AZ86" s="388"/>
      <c r="BA86" s="389"/>
      <c r="BB86" s="387"/>
      <c r="BC86" s="388"/>
      <c r="BD86" s="389"/>
    </row>
    <row r="87" spans="1:56" ht="15.75" thickBot="1">
      <c r="A87" s="405"/>
      <c r="B87" s="407"/>
      <c r="C87" s="408"/>
      <c r="D87" s="409"/>
      <c r="E87" s="164"/>
      <c r="F87" s="164"/>
      <c r="G87" s="165"/>
      <c r="H87" s="165"/>
      <c r="I87" s="165"/>
      <c r="J87" s="407"/>
      <c r="K87" s="425"/>
      <c r="L87" s="428"/>
      <c r="M87" s="425"/>
      <c r="N87" s="435"/>
      <c r="O87" s="164"/>
      <c r="P87" s="166"/>
      <c r="Q87" s="166"/>
      <c r="R87" s="172"/>
      <c r="S87" s="27" t="str">
        <f t="shared" si="12"/>
        <v/>
      </c>
      <c r="T87" s="172"/>
      <c r="U87" s="27" t="str">
        <f t="shared" si="13"/>
        <v/>
      </c>
      <c r="V87" s="150"/>
      <c r="W87" s="27" t="str">
        <f t="shared" si="14"/>
        <v/>
      </c>
      <c r="X87" s="150"/>
      <c r="Y87" s="27" t="str">
        <f t="shared" si="15"/>
        <v/>
      </c>
      <c r="Z87" s="150"/>
      <c r="AA87" s="27" t="str">
        <f t="shared" si="16"/>
        <v/>
      </c>
      <c r="AB87" s="150"/>
      <c r="AC87" s="27" t="str">
        <f t="shared" si="17"/>
        <v/>
      </c>
      <c r="AD87" s="150"/>
      <c r="AE87" s="27" t="str">
        <f t="shared" si="18"/>
        <v/>
      </c>
      <c r="AF87" s="48" t="str">
        <f t="shared" si="19"/>
        <v/>
      </c>
      <c r="AG87" s="48" t="str">
        <f t="shared" si="20"/>
        <v/>
      </c>
      <c r="AH87" s="131"/>
      <c r="AI87" s="149" t="str">
        <f t="shared" si="21"/>
        <v>Débil</v>
      </c>
      <c r="AJ87" s="21" t="str">
        <f>IFERROR(VLOOKUP((CONCATENATE(AG87,AI87)),Listados!$U$3:$V$11,2,FALSE),"")</f>
        <v/>
      </c>
      <c r="AK87" s="48">
        <f t="shared" si="22"/>
        <v>100</v>
      </c>
      <c r="AL87" s="431"/>
      <c r="AM87" s="433"/>
      <c r="AN87" s="169">
        <f>+IF(AND(Q87="Preventivo",AM85="Fuerte"),2,IF(AND(Q87="Preventivo",AM85="Moderado"),1,0))</f>
        <v>0</v>
      </c>
      <c r="AO87" s="169">
        <f t="shared" si="23"/>
        <v>0</v>
      </c>
      <c r="AP87" s="169">
        <f>+K85-AN87</f>
        <v>4</v>
      </c>
      <c r="AQ87" s="169">
        <f>+M85-AO87</f>
        <v>4</v>
      </c>
      <c r="AR87" s="422"/>
      <c r="AS87" s="422"/>
      <c r="AT87" s="422"/>
      <c r="AU87" s="422"/>
      <c r="AV87" s="387"/>
      <c r="AW87" s="388"/>
      <c r="AX87" s="389"/>
      <c r="AY87" s="387"/>
      <c r="AZ87" s="388"/>
      <c r="BA87" s="389"/>
      <c r="BB87" s="387"/>
      <c r="BC87" s="388"/>
      <c r="BD87" s="389"/>
    </row>
    <row r="88" spans="1:56" ht="15.75" thickBot="1">
      <c r="A88" s="405"/>
      <c r="B88" s="407"/>
      <c r="C88" s="408"/>
      <c r="D88" s="409"/>
      <c r="E88" s="164"/>
      <c r="F88" s="164"/>
      <c r="G88" s="165"/>
      <c r="H88" s="165"/>
      <c r="I88" s="165"/>
      <c r="J88" s="407"/>
      <c r="K88" s="425"/>
      <c r="L88" s="428"/>
      <c r="M88" s="425"/>
      <c r="N88" s="435"/>
      <c r="O88" s="164"/>
      <c r="P88" s="166"/>
      <c r="Q88" s="166"/>
      <c r="R88" s="172"/>
      <c r="S88" s="27" t="str">
        <f t="shared" si="12"/>
        <v/>
      </c>
      <c r="T88" s="172"/>
      <c r="U88" s="27" t="str">
        <f t="shared" si="13"/>
        <v/>
      </c>
      <c r="V88" s="150"/>
      <c r="W88" s="27" t="str">
        <f t="shared" si="14"/>
        <v/>
      </c>
      <c r="X88" s="150"/>
      <c r="Y88" s="27" t="str">
        <f t="shared" si="15"/>
        <v/>
      </c>
      <c r="Z88" s="150"/>
      <c r="AA88" s="27" t="str">
        <f t="shared" si="16"/>
        <v/>
      </c>
      <c r="AB88" s="150"/>
      <c r="AC88" s="27" t="str">
        <f t="shared" si="17"/>
        <v/>
      </c>
      <c r="AD88" s="150"/>
      <c r="AE88" s="27" t="str">
        <f t="shared" si="18"/>
        <v/>
      </c>
      <c r="AF88" s="48" t="str">
        <f t="shared" si="19"/>
        <v/>
      </c>
      <c r="AG88" s="48" t="str">
        <f t="shared" si="20"/>
        <v/>
      </c>
      <c r="AH88" s="131"/>
      <c r="AI88" s="149" t="str">
        <f t="shared" si="21"/>
        <v>Débil</v>
      </c>
      <c r="AJ88" s="21" t="str">
        <f>IFERROR(VLOOKUP((CONCATENATE(AG88,AI88)),Listados!$U$3:$V$11,2,FALSE),"")</f>
        <v/>
      </c>
      <c r="AK88" s="48">
        <f t="shared" si="22"/>
        <v>100</v>
      </c>
      <c r="AL88" s="431"/>
      <c r="AM88" s="433"/>
      <c r="AN88" s="169">
        <f>+IF(AND(Q88="Preventivo",AM85="Fuerte"),2,IF(AND(Q88="Preventivo",AM85="Moderado"),1,0))</f>
        <v>0</v>
      </c>
      <c r="AO88" s="169">
        <f t="shared" si="23"/>
        <v>0</v>
      </c>
      <c r="AP88" s="169">
        <f>+K85-AN88</f>
        <v>4</v>
      </c>
      <c r="AQ88" s="169">
        <f>+M85-AO88</f>
        <v>4</v>
      </c>
      <c r="AR88" s="422"/>
      <c r="AS88" s="422"/>
      <c r="AT88" s="422"/>
      <c r="AU88" s="422"/>
      <c r="AV88" s="387"/>
      <c r="AW88" s="388"/>
      <c r="AX88" s="389"/>
      <c r="AY88" s="387"/>
      <c r="AZ88" s="388"/>
      <c r="BA88" s="389"/>
      <c r="BB88" s="387"/>
      <c r="BC88" s="388"/>
      <c r="BD88" s="389"/>
    </row>
    <row r="89" spans="1:56" ht="15.75" thickBot="1">
      <c r="A89" s="405"/>
      <c r="B89" s="407"/>
      <c r="C89" s="408"/>
      <c r="D89" s="409"/>
      <c r="E89" s="164"/>
      <c r="F89" s="164"/>
      <c r="G89" s="165"/>
      <c r="H89" s="165"/>
      <c r="I89" s="165"/>
      <c r="J89" s="407"/>
      <c r="K89" s="425"/>
      <c r="L89" s="428"/>
      <c r="M89" s="425"/>
      <c r="N89" s="435"/>
      <c r="O89" s="164"/>
      <c r="P89" s="166"/>
      <c r="Q89" s="166"/>
      <c r="R89" s="172"/>
      <c r="S89" s="27" t="str">
        <f t="shared" si="12"/>
        <v/>
      </c>
      <c r="T89" s="172"/>
      <c r="U89" s="27" t="str">
        <f t="shared" si="13"/>
        <v/>
      </c>
      <c r="V89" s="150"/>
      <c r="W89" s="27" t="str">
        <f t="shared" si="14"/>
        <v/>
      </c>
      <c r="X89" s="150"/>
      <c r="Y89" s="27" t="str">
        <f t="shared" si="15"/>
        <v/>
      </c>
      <c r="Z89" s="150"/>
      <c r="AA89" s="27" t="str">
        <f t="shared" si="16"/>
        <v/>
      </c>
      <c r="AB89" s="150"/>
      <c r="AC89" s="27" t="str">
        <f t="shared" si="17"/>
        <v/>
      </c>
      <c r="AD89" s="150"/>
      <c r="AE89" s="27" t="str">
        <f t="shared" si="18"/>
        <v/>
      </c>
      <c r="AF89" s="48" t="str">
        <f t="shared" si="19"/>
        <v/>
      </c>
      <c r="AG89" s="48" t="str">
        <f t="shared" si="20"/>
        <v/>
      </c>
      <c r="AH89" s="131"/>
      <c r="AI89" s="149" t="str">
        <f t="shared" si="21"/>
        <v>Débil</v>
      </c>
      <c r="AJ89" s="21" t="str">
        <f>IFERROR(VLOOKUP((CONCATENATE(AG89,AI89)),Listados!$U$3:$V$11,2,FALSE),"")</f>
        <v/>
      </c>
      <c r="AK89" s="48">
        <f t="shared" si="22"/>
        <v>100</v>
      </c>
      <c r="AL89" s="431"/>
      <c r="AM89" s="433"/>
      <c r="AN89" s="169">
        <f>+IF(AND(Q89="Preventivo",AM85="Fuerte"),2,IF(AND(Q89="Preventivo",AM85="Moderado"),1,0))</f>
        <v>0</v>
      </c>
      <c r="AO89" s="169">
        <f t="shared" si="23"/>
        <v>0</v>
      </c>
      <c r="AP89" s="169">
        <f>+K85-AN89</f>
        <v>4</v>
      </c>
      <c r="AQ89" s="169">
        <f>+M85-AO89</f>
        <v>4</v>
      </c>
      <c r="AR89" s="422"/>
      <c r="AS89" s="422"/>
      <c r="AT89" s="422"/>
      <c r="AU89" s="422"/>
      <c r="AV89" s="387"/>
      <c r="AW89" s="388"/>
      <c r="AX89" s="389"/>
      <c r="AY89" s="387"/>
      <c r="AZ89" s="388"/>
      <c r="BA89" s="389"/>
      <c r="BB89" s="387"/>
      <c r="BC89" s="388"/>
      <c r="BD89" s="389"/>
    </row>
    <row r="90" spans="1:56" ht="15.75" thickBot="1">
      <c r="A90" s="406"/>
      <c r="B90" s="407"/>
      <c r="C90" s="408"/>
      <c r="D90" s="409"/>
      <c r="E90" s="164"/>
      <c r="F90" s="164"/>
      <c r="G90" s="165"/>
      <c r="H90" s="165"/>
      <c r="I90" s="165"/>
      <c r="J90" s="407"/>
      <c r="K90" s="426"/>
      <c r="L90" s="428"/>
      <c r="M90" s="426"/>
      <c r="N90" s="435"/>
      <c r="O90" s="164"/>
      <c r="P90" s="166"/>
      <c r="Q90" s="166"/>
      <c r="R90" s="172"/>
      <c r="S90" s="27" t="str">
        <f t="shared" si="12"/>
        <v/>
      </c>
      <c r="T90" s="172"/>
      <c r="U90" s="27" t="str">
        <f t="shared" si="13"/>
        <v/>
      </c>
      <c r="V90" s="150"/>
      <c r="W90" s="27" t="str">
        <f t="shared" si="14"/>
        <v/>
      </c>
      <c r="X90" s="150"/>
      <c r="Y90" s="27" t="str">
        <f t="shared" si="15"/>
        <v/>
      </c>
      <c r="Z90" s="150"/>
      <c r="AA90" s="27" t="str">
        <f t="shared" si="16"/>
        <v/>
      </c>
      <c r="AB90" s="150"/>
      <c r="AC90" s="27" t="str">
        <f t="shared" si="17"/>
        <v/>
      </c>
      <c r="AD90" s="150"/>
      <c r="AE90" s="27" t="str">
        <f t="shared" si="18"/>
        <v/>
      </c>
      <c r="AF90" s="48" t="str">
        <f t="shared" si="19"/>
        <v/>
      </c>
      <c r="AG90" s="48" t="str">
        <f t="shared" si="20"/>
        <v/>
      </c>
      <c r="AH90" s="131"/>
      <c r="AI90" s="149" t="str">
        <f t="shared" si="21"/>
        <v>Débil</v>
      </c>
      <c r="AJ90" s="21" t="str">
        <f>IFERROR(VLOOKUP((CONCATENATE(AG90,AI90)),Listados!$U$3:$V$11,2,FALSE),"")</f>
        <v/>
      </c>
      <c r="AK90" s="48">
        <f t="shared" si="22"/>
        <v>100</v>
      </c>
      <c r="AL90" s="432"/>
      <c r="AM90" s="433"/>
      <c r="AN90" s="169">
        <f>+IF(AND(Q90="Preventivo",AM85="Fuerte"),2,IF(AND(Q90="Preventivo",AM85="Moderado"),1,0))</f>
        <v>0</v>
      </c>
      <c r="AO90" s="169">
        <f t="shared" si="23"/>
        <v>0</v>
      </c>
      <c r="AP90" s="169">
        <f>+K85-AN90</f>
        <v>4</v>
      </c>
      <c r="AQ90" s="169">
        <f>+M85-AO90</f>
        <v>4</v>
      </c>
      <c r="AR90" s="423"/>
      <c r="AS90" s="423"/>
      <c r="AT90" s="423"/>
      <c r="AU90" s="423"/>
      <c r="AV90" s="387"/>
      <c r="AW90" s="388"/>
      <c r="AX90" s="389"/>
      <c r="AY90" s="387"/>
      <c r="AZ90" s="388"/>
      <c r="BA90" s="389"/>
      <c r="BB90" s="387"/>
      <c r="BC90" s="388"/>
      <c r="BD90" s="389"/>
    </row>
    <row r="91" spans="1:56" ht="85.5">
      <c r="A91" s="404">
        <v>15</v>
      </c>
      <c r="B91" s="407" t="s">
        <v>104</v>
      </c>
      <c r="C91" s="408" t="str">
        <f>IFERROR(VLOOKUP(B91,Listados!B$3:C$20,2,FALSE),"")</f>
        <v>Evaluar y/o hacer seguimiento a la planeación, ejecución y control en la gestión de los procesos (SIG), programas, planes y proyectos del Ministerio de Justicia y del Derecho para el mejoramiento continuo de la gestión de la Entidad.</v>
      </c>
      <c r="D91" s="409" t="s">
        <v>308</v>
      </c>
      <c r="E91" s="164" t="s">
        <v>29</v>
      </c>
      <c r="F91" s="164"/>
      <c r="G91" s="164" t="s">
        <v>309</v>
      </c>
      <c r="H91" s="165" t="s">
        <v>16</v>
      </c>
      <c r="I91" s="165" t="s">
        <v>310</v>
      </c>
      <c r="J91" s="407" t="s">
        <v>21</v>
      </c>
      <c r="K91" s="424">
        <f>+VLOOKUP(J91,Listados!$K$8:$L$12,2,0)</f>
        <v>1</v>
      </c>
      <c r="L91" s="436" t="s">
        <v>54</v>
      </c>
      <c r="M91" s="424">
        <f>+VLOOKUP(L91,Listados!$K$13:$L$17,2,0)</f>
        <v>4</v>
      </c>
      <c r="N91" s="434" t="str">
        <f>IF(AND(J91&lt;&gt;"",L91&lt;&gt;""),VLOOKUP(J91&amp;L91,Listados!$M$3:$N$27,2,FALSE),"")</f>
        <v>Alto</v>
      </c>
      <c r="O91" s="179" t="s">
        <v>311</v>
      </c>
      <c r="P91" s="164" t="s">
        <v>309</v>
      </c>
      <c r="Q91" s="182" t="s">
        <v>123</v>
      </c>
      <c r="R91" s="148" t="s">
        <v>116</v>
      </c>
      <c r="S91" s="27">
        <f>+IF(R91="si",15,"")</f>
        <v>15</v>
      </c>
      <c r="T91" s="148" t="s">
        <v>312</v>
      </c>
      <c r="U91" s="27">
        <f>+IF(T91="si",15,"")</f>
        <v>15</v>
      </c>
      <c r="V91" s="148" t="s">
        <v>312</v>
      </c>
      <c r="W91" s="27">
        <f>+IF(V91="si",15,"")</f>
        <v>15</v>
      </c>
      <c r="X91" s="148" t="s">
        <v>312</v>
      </c>
      <c r="Y91" s="27">
        <f>+IF(X91="si",15,"")</f>
        <v>15</v>
      </c>
      <c r="Z91" s="148" t="s">
        <v>312</v>
      </c>
      <c r="AA91" s="27">
        <f>+IF(Z91="si",15,"")</f>
        <v>15</v>
      </c>
      <c r="AB91" s="148" t="s">
        <v>312</v>
      </c>
      <c r="AC91" s="27">
        <f>+IF(AB91="si",15,"")</f>
        <v>15</v>
      </c>
      <c r="AD91" s="148" t="s">
        <v>117</v>
      </c>
      <c r="AE91" s="27">
        <f t="shared" si="18"/>
        <v>10</v>
      </c>
      <c r="AF91" s="48">
        <f t="shared" si="19"/>
        <v>100</v>
      </c>
      <c r="AG91" s="48" t="str">
        <f t="shared" si="20"/>
        <v>Fuerte</v>
      </c>
      <c r="AH91" s="149" t="s">
        <v>118</v>
      </c>
      <c r="AI91" s="149" t="str">
        <f t="shared" si="21"/>
        <v>Fuerte</v>
      </c>
      <c r="AJ91" s="21" t="str">
        <f>IFERROR(VLOOKUP((CONCATENATE(AG91,AI91)),Listados!$U$3:$V$11,2,FALSE),"")</f>
        <v>Fuerte</v>
      </c>
      <c r="AK91" s="48">
        <f t="shared" si="22"/>
        <v>100</v>
      </c>
      <c r="AL91" s="430">
        <f>AVERAGE(AK91:AK96)</f>
        <v>100</v>
      </c>
      <c r="AM91" s="432" t="str">
        <f>IF(AL91&lt;=50, "Débil", IF(AL91&lt;=99,"Moderado","Fuerte"))</f>
        <v>Fuerte</v>
      </c>
      <c r="AN91" s="169">
        <f>+IF(AND(Q91="Preventivo",AM91="Fuerte"),2,IF(AND(Q91="Preventivo",AM91="Moderado"),1,0))</f>
        <v>0</v>
      </c>
      <c r="AO91" s="169">
        <f t="shared" si="23"/>
        <v>2</v>
      </c>
      <c r="AP91" s="169">
        <f>+K91-AN91</f>
        <v>1</v>
      </c>
      <c r="AQ91" s="169">
        <f>+M91-AO91</f>
        <v>2</v>
      </c>
      <c r="AR91" s="421" t="str">
        <f>+VLOOKUP(MIN(AP91,AP92,AP93,AP94,AP95,AP96),Listados!$J$18:$K$24,2,TRUE)</f>
        <v>Rara Vez</v>
      </c>
      <c r="AS91" s="421" t="str">
        <f>+VLOOKUP(MIN(AQ91,AQ92,AQ93,AQ94,AQ95,AQ96),Listados!$J$27:$K$32,2,TRUE)</f>
        <v>Menor</v>
      </c>
      <c r="AT91" s="421" t="str">
        <f>IF(AND(AR91&lt;&gt;"",AS91&lt;&gt;""),VLOOKUP(AR91&amp;AS91,Listados!$M$3:$N$27,2,FALSE),"")</f>
        <v>Bajo</v>
      </c>
      <c r="AU91" s="421" t="str">
        <f>+VLOOKUP(AT91,Listados!$P$3:$Q$6,2,FALSE)</f>
        <v>Asumir el riesgo</v>
      </c>
      <c r="AV91" s="387"/>
      <c r="AW91" s="388"/>
      <c r="AX91" s="389"/>
      <c r="AY91" s="387"/>
      <c r="AZ91" s="388"/>
      <c r="BA91" s="389"/>
      <c r="BB91" s="387"/>
      <c r="BC91" s="388"/>
      <c r="BD91" s="389"/>
    </row>
    <row r="92" spans="1:56" ht="86.25" thickBot="1">
      <c r="A92" s="405"/>
      <c r="B92" s="407"/>
      <c r="C92" s="408"/>
      <c r="D92" s="409"/>
      <c r="E92" s="164"/>
      <c r="F92" s="164"/>
      <c r="G92" s="164" t="s">
        <v>313</v>
      </c>
      <c r="H92" s="165" t="s">
        <v>16</v>
      </c>
      <c r="I92" s="165" t="s">
        <v>314</v>
      </c>
      <c r="J92" s="407"/>
      <c r="K92" s="425"/>
      <c r="L92" s="437"/>
      <c r="M92" s="425"/>
      <c r="N92" s="435"/>
      <c r="O92" s="179" t="s">
        <v>315</v>
      </c>
      <c r="P92" s="179" t="s">
        <v>313</v>
      </c>
      <c r="Q92" s="182" t="s">
        <v>20</v>
      </c>
      <c r="R92" s="148" t="s">
        <v>312</v>
      </c>
      <c r="S92" s="27">
        <f t="shared" ref="S92:S93" si="24">+IF(R92="si",15,"")</f>
        <v>15</v>
      </c>
      <c r="T92" s="148" t="s">
        <v>312</v>
      </c>
      <c r="U92" s="27">
        <f t="shared" ref="U92:U93" si="25">+IF(T92="si",15,"")</f>
        <v>15</v>
      </c>
      <c r="V92" s="148" t="s">
        <v>312</v>
      </c>
      <c r="W92" s="27">
        <f t="shared" ref="W92:W93" si="26">+IF(V92="si",15,"")</f>
        <v>15</v>
      </c>
      <c r="X92" s="148" t="s">
        <v>312</v>
      </c>
      <c r="Y92" s="27">
        <f t="shared" ref="Y92:Y93" si="27">+IF(X92="si",15,"")</f>
        <v>15</v>
      </c>
      <c r="Z92" s="148" t="s">
        <v>312</v>
      </c>
      <c r="AA92" s="27">
        <f t="shared" ref="AA92:AA93" si="28">+IF(Z92="si",15,"")</f>
        <v>15</v>
      </c>
      <c r="AB92" s="148" t="s">
        <v>312</v>
      </c>
      <c r="AC92" s="27">
        <f t="shared" ref="AC92:AC93" si="29">+IF(AB92="si",15,"")</f>
        <v>15</v>
      </c>
      <c r="AD92" s="148" t="s">
        <v>117</v>
      </c>
      <c r="AE92" s="27">
        <f t="shared" si="18"/>
        <v>10</v>
      </c>
      <c r="AF92" s="48">
        <f t="shared" si="19"/>
        <v>100</v>
      </c>
      <c r="AG92" s="48" t="str">
        <f t="shared" si="20"/>
        <v>Fuerte</v>
      </c>
      <c r="AH92" s="149" t="s">
        <v>118</v>
      </c>
      <c r="AI92" s="149" t="str">
        <f t="shared" si="21"/>
        <v>Fuerte</v>
      </c>
      <c r="AJ92" s="21" t="str">
        <f>IFERROR(VLOOKUP((CONCATENATE(AG92,AI92)),Listados!$U$3:$V$11,2,FALSE),"")</f>
        <v>Fuerte</v>
      </c>
      <c r="AK92" s="48">
        <f t="shared" si="22"/>
        <v>100</v>
      </c>
      <c r="AL92" s="431"/>
      <c r="AM92" s="433"/>
      <c r="AN92" s="169">
        <f>+IF(AND(Q92="Preventivo",AM91="Fuerte"),2,IF(AND(Q92="Preventivo",AM91="Moderado"),1,0))</f>
        <v>2</v>
      </c>
      <c r="AO92" s="169">
        <f t="shared" si="23"/>
        <v>1</v>
      </c>
      <c r="AP92" s="169">
        <f>+K91-AN92</f>
        <v>-1</v>
      </c>
      <c r="AQ92" s="169">
        <f>+M91-AO92</f>
        <v>3</v>
      </c>
      <c r="AR92" s="422"/>
      <c r="AS92" s="422"/>
      <c r="AT92" s="422"/>
      <c r="AU92" s="422"/>
      <c r="AV92" s="387"/>
      <c r="AW92" s="388"/>
      <c r="AX92" s="389"/>
      <c r="AY92" s="387"/>
      <c r="AZ92" s="388"/>
      <c r="BA92" s="389"/>
      <c r="BB92" s="387"/>
      <c r="BC92" s="388"/>
      <c r="BD92" s="389"/>
    </row>
    <row r="93" spans="1:56" ht="100.5" thickBot="1">
      <c r="A93" s="405"/>
      <c r="B93" s="407"/>
      <c r="C93" s="408"/>
      <c r="D93" s="409"/>
      <c r="E93" s="164"/>
      <c r="F93" s="164"/>
      <c r="G93" s="164" t="s">
        <v>316</v>
      </c>
      <c r="H93" s="165" t="s">
        <v>16</v>
      </c>
      <c r="I93" s="165" t="s">
        <v>317</v>
      </c>
      <c r="J93" s="407"/>
      <c r="K93" s="425"/>
      <c r="L93" s="437"/>
      <c r="M93" s="425"/>
      <c r="N93" s="435"/>
      <c r="O93" s="179" t="s">
        <v>318</v>
      </c>
      <c r="P93" s="179" t="s">
        <v>319</v>
      </c>
      <c r="Q93" s="182" t="s">
        <v>20</v>
      </c>
      <c r="R93" s="148" t="s">
        <v>312</v>
      </c>
      <c r="S93" s="27">
        <f t="shared" si="24"/>
        <v>15</v>
      </c>
      <c r="T93" s="148" t="s">
        <v>312</v>
      </c>
      <c r="U93" s="27">
        <f t="shared" si="25"/>
        <v>15</v>
      </c>
      <c r="V93" s="148" t="s">
        <v>312</v>
      </c>
      <c r="W93" s="27">
        <f t="shared" si="26"/>
        <v>15</v>
      </c>
      <c r="X93" s="148" t="s">
        <v>312</v>
      </c>
      <c r="Y93" s="27">
        <f t="shared" si="27"/>
        <v>15</v>
      </c>
      <c r="Z93" s="148" t="s">
        <v>312</v>
      </c>
      <c r="AA93" s="27">
        <f t="shared" si="28"/>
        <v>15</v>
      </c>
      <c r="AB93" s="148" t="s">
        <v>312</v>
      </c>
      <c r="AC93" s="27">
        <f t="shared" si="29"/>
        <v>15</v>
      </c>
      <c r="AD93" s="148" t="s">
        <v>117</v>
      </c>
      <c r="AE93" s="27">
        <f t="shared" si="18"/>
        <v>10</v>
      </c>
      <c r="AF93" s="48">
        <f t="shared" si="19"/>
        <v>100</v>
      </c>
      <c r="AG93" s="48" t="str">
        <f t="shared" si="20"/>
        <v>Fuerte</v>
      </c>
      <c r="AH93" s="149" t="s">
        <v>118</v>
      </c>
      <c r="AI93" s="149" t="str">
        <f t="shared" si="21"/>
        <v>Fuerte</v>
      </c>
      <c r="AJ93" s="21" t="str">
        <f>IFERROR(VLOOKUP((CONCATENATE(AG93,AI93)),Listados!$U$3:$V$11,2,FALSE),"")</f>
        <v>Fuerte</v>
      </c>
      <c r="AK93" s="48">
        <f t="shared" si="22"/>
        <v>100</v>
      </c>
      <c r="AL93" s="431"/>
      <c r="AM93" s="433"/>
      <c r="AN93" s="169">
        <f>+IF(AND(Q93="Preventivo",AM91="Fuerte"),2,IF(AND(Q93="Preventivo",AM91="Moderado"),1,0))</f>
        <v>2</v>
      </c>
      <c r="AO93" s="169">
        <f t="shared" si="23"/>
        <v>1</v>
      </c>
      <c r="AP93" s="169">
        <f>+K91-AN93</f>
        <v>-1</v>
      </c>
      <c r="AQ93" s="169">
        <f>+M91-AO93</f>
        <v>3</v>
      </c>
      <c r="AR93" s="422"/>
      <c r="AS93" s="422"/>
      <c r="AT93" s="422"/>
      <c r="AU93" s="422"/>
      <c r="AV93" s="387"/>
      <c r="AW93" s="388"/>
      <c r="AX93" s="389"/>
      <c r="AY93" s="387"/>
      <c r="AZ93" s="388"/>
      <c r="BA93" s="389"/>
      <c r="BB93" s="387"/>
      <c r="BC93" s="388"/>
      <c r="BD93" s="389"/>
    </row>
    <row r="94" spans="1:56" ht="15.75" thickBot="1">
      <c r="A94" s="405"/>
      <c r="B94" s="407"/>
      <c r="C94" s="408"/>
      <c r="D94" s="409"/>
      <c r="E94" s="164"/>
      <c r="F94" s="164"/>
      <c r="G94" s="165"/>
      <c r="H94" s="165"/>
      <c r="I94" s="165"/>
      <c r="J94" s="407"/>
      <c r="K94" s="425"/>
      <c r="L94" s="437"/>
      <c r="M94" s="425"/>
      <c r="N94" s="435"/>
      <c r="O94" s="164"/>
      <c r="P94" s="166"/>
      <c r="Q94" s="166"/>
      <c r="R94" s="172"/>
      <c r="S94" s="27" t="str">
        <f t="shared" si="12"/>
        <v/>
      </c>
      <c r="T94" s="172"/>
      <c r="U94" s="27" t="str">
        <f t="shared" si="13"/>
        <v/>
      </c>
      <c r="V94" s="150"/>
      <c r="W94" s="27" t="str">
        <f t="shared" si="14"/>
        <v/>
      </c>
      <c r="X94" s="150"/>
      <c r="Y94" s="27" t="str">
        <f t="shared" si="15"/>
        <v/>
      </c>
      <c r="Z94" s="150"/>
      <c r="AA94" s="27" t="str">
        <f t="shared" si="16"/>
        <v/>
      </c>
      <c r="AB94" s="150"/>
      <c r="AC94" s="27" t="str">
        <f t="shared" si="17"/>
        <v/>
      </c>
      <c r="AD94" s="150"/>
      <c r="AE94" s="27" t="str">
        <f t="shared" si="18"/>
        <v/>
      </c>
      <c r="AF94" s="48" t="str">
        <f t="shared" si="19"/>
        <v/>
      </c>
      <c r="AG94" s="48" t="str">
        <f t="shared" si="20"/>
        <v/>
      </c>
      <c r="AH94" s="131"/>
      <c r="AI94" s="149" t="str">
        <f t="shared" si="21"/>
        <v>Débil</v>
      </c>
      <c r="AJ94" s="21" t="str">
        <f>IFERROR(VLOOKUP((CONCATENATE(AG94,AI94)),Listados!$U$3:$V$11,2,FALSE),"")</f>
        <v/>
      </c>
      <c r="AK94" s="48">
        <f t="shared" si="22"/>
        <v>100</v>
      </c>
      <c r="AL94" s="431"/>
      <c r="AM94" s="433"/>
      <c r="AN94" s="169">
        <f>+IF(AND(Q94="Preventivo",AM91="Fuerte"),2,IF(AND(Q94="Preventivo",AM91="Moderado"),1,0))</f>
        <v>0</v>
      </c>
      <c r="AO94" s="169">
        <f t="shared" si="23"/>
        <v>0</v>
      </c>
      <c r="AP94" s="169">
        <f>+K91-AN94</f>
        <v>1</v>
      </c>
      <c r="AQ94" s="169">
        <f>+M91-AO94</f>
        <v>4</v>
      </c>
      <c r="AR94" s="422"/>
      <c r="AS94" s="422"/>
      <c r="AT94" s="422"/>
      <c r="AU94" s="422"/>
      <c r="AV94" s="387"/>
      <c r="AW94" s="388"/>
      <c r="AX94" s="389"/>
      <c r="AY94" s="387"/>
      <c r="AZ94" s="388"/>
      <c r="BA94" s="389"/>
      <c r="BB94" s="387"/>
      <c r="BC94" s="388"/>
      <c r="BD94" s="389"/>
    </row>
    <row r="95" spans="1:56" ht="15.75" thickBot="1">
      <c r="A95" s="405"/>
      <c r="B95" s="407"/>
      <c r="C95" s="408"/>
      <c r="D95" s="409"/>
      <c r="E95" s="164"/>
      <c r="F95" s="164"/>
      <c r="G95" s="165"/>
      <c r="H95" s="165"/>
      <c r="I95" s="165"/>
      <c r="J95" s="407"/>
      <c r="K95" s="425"/>
      <c r="L95" s="437"/>
      <c r="M95" s="425"/>
      <c r="N95" s="435"/>
      <c r="O95" s="164"/>
      <c r="P95" s="166"/>
      <c r="Q95" s="166"/>
      <c r="R95" s="172"/>
      <c r="S95" s="27" t="str">
        <f t="shared" si="12"/>
        <v/>
      </c>
      <c r="T95" s="172"/>
      <c r="U95" s="27" t="str">
        <f t="shared" si="13"/>
        <v/>
      </c>
      <c r="V95" s="150"/>
      <c r="W95" s="27" t="str">
        <f t="shared" si="14"/>
        <v/>
      </c>
      <c r="X95" s="150"/>
      <c r="Y95" s="27" t="str">
        <f t="shared" si="15"/>
        <v/>
      </c>
      <c r="Z95" s="150"/>
      <c r="AA95" s="27" t="str">
        <f t="shared" si="16"/>
        <v/>
      </c>
      <c r="AB95" s="150"/>
      <c r="AC95" s="27" t="str">
        <f t="shared" si="17"/>
        <v/>
      </c>
      <c r="AD95" s="150"/>
      <c r="AE95" s="27" t="str">
        <f t="shared" si="18"/>
        <v/>
      </c>
      <c r="AF95" s="48" t="str">
        <f t="shared" si="19"/>
        <v/>
      </c>
      <c r="AG95" s="48" t="str">
        <f t="shared" si="20"/>
        <v/>
      </c>
      <c r="AH95" s="131"/>
      <c r="AI95" s="149" t="str">
        <f t="shared" si="21"/>
        <v>Débil</v>
      </c>
      <c r="AJ95" s="21" t="str">
        <f>IFERROR(VLOOKUP((CONCATENATE(AG95,AI95)),Listados!$U$3:$V$11,2,FALSE),"")</f>
        <v/>
      </c>
      <c r="AK95" s="48">
        <f t="shared" si="22"/>
        <v>100</v>
      </c>
      <c r="AL95" s="431"/>
      <c r="AM95" s="433"/>
      <c r="AN95" s="169">
        <f>+IF(AND(Q95="Preventivo",AM91="Fuerte"),2,IF(AND(Q95="Preventivo",AM91="Moderado"),1,0))</f>
        <v>0</v>
      </c>
      <c r="AO95" s="169">
        <f t="shared" si="23"/>
        <v>0</v>
      </c>
      <c r="AP95" s="169">
        <f>+K91-AN95</f>
        <v>1</v>
      </c>
      <c r="AQ95" s="169">
        <f>+M91-AO95</f>
        <v>4</v>
      </c>
      <c r="AR95" s="422"/>
      <c r="AS95" s="422"/>
      <c r="AT95" s="422"/>
      <c r="AU95" s="422"/>
      <c r="AV95" s="387"/>
      <c r="AW95" s="388"/>
      <c r="AX95" s="389"/>
      <c r="AY95" s="387"/>
      <c r="AZ95" s="388"/>
      <c r="BA95" s="389"/>
      <c r="BB95" s="387"/>
      <c r="BC95" s="388"/>
      <c r="BD95" s="389"/>
    </row>
    <row r="96" spans="1:56" ht="15.75" thickBot="1">
      <c r="A96" s="406"/>
      <c r="B96" s="407"/>
      <c r="C96" s="408"/>
      <c r="D96" s="409"/>
      <c r="E96" s="164"/>
      <c r="F96" s="164"/>
      <c r="G96" s="165"/>
      <c r="H96" s="165"/>
      <c r="I96" s="165"/>
      <c r="J96" s="407"/>
      <c r="K96" s="426"/>
      <c r="L96" s="427"/>
      <c r="M96" s="426"/>
      <c r="N96" s="435"/>
      <c r="O96" s="164"/>
      <c r="P96" s="166"/>
      <c r="Q96" s="166"/>
      <c r="R96" s="172"/>
      <c r="S96" s="27" t="str">
        <f t="shared" si="12"/>
        <v/>
      </c>
      <c r="T96" s="172"/>
      <c r="U96" s="27" t="str">
        <f t="shared" si="13"/>
        <v/>
      </c>
      <c r="V96" s="150"/>
      <c r="W96" s="27" t="str">
        <f t="shared" si="14"/>
        <v/>
      </c>
      <c r="X96" s="150"/>
      <c r="Y96" s="27" t="str">
        <f t="shared" si="15"/>
        <v/>
      </c>
      <c r="Z96" s="150"/>
      <c r="AA96" s="27" t="str">
        <f t="shared" si="16"/>
        <v/>
      </c>
      <c r="AB96" s="150"/>
      <c r="AC96" s="27" t="str">
        <f t="shared" si="17"/>
        <v/>
      </c>
      <c r="AD96" s="150"/>
      <c r="AE96" s="27" t="str">
        <f t="shared" si="18"/>
        <v/>
      </c>
      <c r="AF96" s="48" t="str">
        <f t="shared" si="19"/>
        <v/>
      </c>
      <c r="AG96" s="48" t="str">
        <f t="shared" si="20"/>
        <v/>
      </c>
      <c r="AH96" s="131"/>
      <c r="AI96" s="149" t="str">
        <f t="shared" si="21"/>
        <v>Débil</v>
      </c>
      <c r="AJ96" s="21" t="str">
        <f>IFERROR(VLOOKUP((CONCATENATE(AG96,AI96)),Listados!$U$3:$V$11,2,FALSE),"")</f>
        <v/>
      </c>
      <c r="AK96" s="48">
        <f t="shared" si="22"/>
        <v>100</v>
      </c>
      <c r="AL96" s="432"/>
      <c r="AM96" s="433"/>
      <c r="AN96" s="169">
        <f>+IF(AND(Q96="Preventivo",AM91="Fuerte"),2,IF(AND(Q96="Preventivo",AM91="Moderado"),1,0))</f>
        <v>0</v>
      </c>
      <c r="AO96" s="169">
        <f t="shared" si="23"/>
        <v>0</v>
      </c>
      <c r="AP96" s="169">
        <f>+K91-AN96</f>
        <v>1</v>
      </c>
      <c r="AQ96" s="169">
        <f>+M91-AO96</f>
        <v>4</v>
      </c>
      <c r="AR96" s="423"/>
      <c r="AS96" s="423"/>
      <c r="AT96" s="423"/>
      <c r="AU96" s="423"/>
      <c r="AV96" s="387"/>
      <c r="AW96" s="388"/>
      <c r="AX96" s="389"/>
      <c r="AY96" s="387"/>
      <c r="AZ96" s="388"/>
      <c r="BA96" s="389"/>
      <c r="BB96" s="387"/>
      <c r="BC96" s="388"/>
      <c r="BD96" s="389"/>
    </row>
    <row r="97" spans="1:56" ht="85.5">
      <c r="A97" s="404">
        <v>16</v>
      </c>
      <c r="B97" s="407" t="s">
        <v>104</v>
      </c>
      <c r="C97" s="408" t="str">
        <f>IFERROR(VLOOKUP(B97,Listados!B$3:C$20,2,FALSE),"")</f>
        <v>Evaluar y/o hacer seguimiento a la planeación, ejecución y control en la gestión de los procesos (SIG), programas, planes y proyectos del Ministerio de Justicia y del Derecho para el mejoramiento continuo de la gestión de la Entidad.</v>
      </c>
      <c r="D97" s="409" t="s">
        <v>320</v>
      </c>
      <c r="E97" s="164" t="s">
        <v>52</v>
      </c>
      <c r="F97" s="164"/>
      <c r="G97" s="164" t="s">
        <v>321</v>
      </c>
      <c r="H97" s="165" t="s">
        <v>16</v>
      </c>
      <c r="I97" s="165" t="s">
        <v>322</v>
      </c>
      <c r="J97" s="407" t="s">
        <v>31</v>
      </c>
      <c r="K97" s="424">
        <f>+VLOOKUP(J97,Listados!$K$8:$L$12,2,0)</f>
        <v>2</v>
      </c>
      <c r="L97" s="427" t="s">
        <v>54</v>
      </c>
      <c r="M97" s="424">
        <f>+VLOOKUP(L97,Listados!$K$13:$L$17,2,0)</f>
        <v>4</v>
      </c>
      <c r="N97" s="434" t="str">
        <f>IF(AND(J97&lt;&gt;"",L97&lt;&gt;""),VLOOKUP(J97&amp;L97,Listados!$M$3:$N$27,2,FALSE),"")</f>
        <v>Alto</v>
      </c>
      <c r="O97" s="179" t="s">
        <v>323</v>
      </c>
      <c r="P97" s="183" t="s">
        <v>321</v>
      </c>
      <c r="Q97" s="183" t="s">
        <v>20</v>
      </c>
      <c r="R97" s="184" t="s">
        <v>116</v>
      </c>
      <c r="S97" s="27">
        <f t="shared" si="12"/>
        <v>15</v>
      </c>
      <c r="T97" s="184" t="s">
        <v>312</v>
      </c>
      <c r="U97" s="27">
        <f t="shared" si="13"/>
        <v>15</v>
      </c>
      <c r="V97" s="148" t="s">
        <v>312</v>
      </c>
      <c r="W97" s="27">
        <f t="shared" si="14"/>
        <v>15</v>
      </c>
      <c r="X97" s="148" t="s">
        <v>312</v>
      </c>
      <c r="Y97" s="27">
        <f t="shared" ref="Y97:Y98" si="30">+IF(X97="si",15,"")</f>
        <v>15</v>
      </c>
      <c r="Z97" s="148" t="s">
        <v>312</v>
      </c>
      <c r="AA97" s="27">
        <f t="shared" si="16"/>
        <v>15</v>
      </c>
      <c r="AB97" s="148" t="s">
        <v>312</v>
      </c>
      <c r="AC97" s="27">
        <f t="shared" si="17"/>
        <v>15</v>
      </c>
      <c r="AD97" s="150" t="s">
        <v>117</v>
      </c>
      <c r="AE97" s="27">
        <f t="shared" si="18"/>
        <v>10</v>
      </c>
      <c r="AF97" s="48">
        <f t="shared" si="19"/>
        <v>100</v>
      </c>
      <c r="AG97" s="48" t="str">
        <f t="shared" si="20"/>
        <v>Fuerte</v>
      </c>
      <c r="AH97" s="131" t="s">
        <v>118</v>
      </c>
      <c r="AI97" s="149" t="str">
        <f t="shared" si="21"/>
        <v>Fuerte</v>
      </c>
      <c r="AJ97" s="21" t="str">
        <f>IFERROR(VLOOKUP((CONCATENATE(AG97,AI97)),Listados!$U$3:$V$11,2,FALSE),"")</f>
        <v>Fuerte</v>
      </c>
      <c r="AK97" s="48">
        <f t="shared" si="22"/>
        <v>100</v>
      </c>
      <c r="AL97" s="430">
        <f>AVERAGE(AK97:AK102)</f>
        <v>100</v>
      </c>
      <c r="AM97" s="432" t="str">
        <f>IF(AL97&lt;=50, "Débil", IF(AL97&lt;=99,"Moderado","Fuerte"))</f>
        <v>Fuerte</v>
      </c>
      <c r="AN97" s="169">
        <f>+IF(AND(Q97="Preventivo",AM97="Fuerte"),2,IF(AND(Q97="Preventivo",AM97="Moderado"),1,0))</f>
        <v>2</v>
      </c>
      <c r="AO97" s="169">
        <f t="shared" si="23"/>
        <v>1</v>
      </c>
      <c r="AP97" s="169">
        <f>+K97-AN97</f>
        <v>0</v>
      </c>
      <c r="AQ97" s="169">
        <f>+M97-AO97</f>
        <v>3</v>
      </c>
      <c r="AR97" s="421" t="str">
        <f>+VLOOKUP(MIN(AP97,AP98,AP99,AP100,AP101,AP102),Listados!$J$18:$K$24,2,TRUE)</f>
        <v>Rara Vez</v>
      </c>
      <c r="AS97" s="421" t="str">
        <f>+VLOOKUP(MIN(AQ97,AQ98,AQ99,AQ100,AQ101,AQ102),Listados!$J$27:$K$32,2,TRUE)</f>
        <v>Menor</v>
      </c>
      <c r="AT97" s="421" t="str">
        <f>IF(AND(AR97&lt;&gt;"",AS97&lt;&gt;""),VLOOKUP(AR97&amp;AS97,Listados!$M$3:$N$27,2,FALSE),"")</f>
        <v>Bajo</v>
      </c>
      <c r="AU97" s="421" t="str">
        <f>+VLOOKUP(AT97,Listados!$P$3:$Q$6,2,FALSE)</f>
        <v>Asumir el riesgo</v>
      </c>
      <c r="AV97" s="387"/>
      <c r="AW97" s="388"/>
      <c r="AX97" s="389"/>
      <c r="AY97" s="387"/>
      <c r="AZ97" s="388"/>
      <c r="BA97" s="389"/>
      <c r="BB97" s="387"/>
      <c r="BC97" s="388"/>
      <c r="BD97" s="389"/>
    </row>
    <row r="98" spans="1:56" ht="129" thickBot="1">
      <c r="A98" s="405"/>
      <c r="B98" s="407"/>
      <c r="C98" s="408"/>
      <c r="D98" s="409"/>
      <c r="E98" s="164"/>
      <c r="F98" s="164"/>
      <c r="G98" s="164" t="s">
        <v>324</v>
      </c>
      <c r="H98" s="165" t="s">
        <v>30</v>
      </c>
      <c r="I98" s="165" t="s">
        <v>325</v>
      </c>
      <c r="J98" s="407"/>
      <c r="K98" s="425"/>
      <c r="L98" s="428"/>
      <c r="M98" s="425"/>
      <c r="N98" s="435"/>
      <c r="O98" s="179" t="s">
        <v>326</v>
      </c>
      <c r="P98" s="183" t="s">
        <v>324</v>
      </c>
      <c r="Q98" s="183" t="s">
        <v>20</v>
      </c>
      <c r="R98" s="184" t="s">
        <v>116</v>
      </c>
      <c r="S98" s="27">
        <f t="shared" si="12"/>
        <v>15</v>
      </c>
      <c r="T98" s="184" t="s">
        <v>312</v>
      </c>
      <c r="U98" s="27">
        <f t="shared" si="13"/>
        <v>15</v>
      </c>
      <c r="V98" s="148" t="s">
        <v>312</v>
      </c>
      <c r="W98" s="27">
        <f t="shared" si="14"/>
        <v>15</v>
      </c>
      <c r="X98" s="148" t="s">
        <v>312</v>
      </c>
      <c r="Y98" s="27">
        <f t="shared" si="30"/>
        <v>15</v>
      </c>
      <c r="Z98" s="148" t="s">
        <v>312</v>
      </c>
      <c r="AA98" s="27">
        <f t="shared" si="16"/>
        <v>15</v>
      </c>
      <c r="AB98" s="148" t="s">
        <v>312</v>
      </c>
      <c r="AC98" s="27">
        <f t="shared" si="17"/>
        <v>15</v>
      </c>
      <c r="AD98" s="150" t="s">
        <v>117</v>
      </c>
      <c r="AE98" s="27">
        <f t="shared" si="18"/>
        <v>10</v>
      </c>
      <c r="AF98" s="48">
        <f t="shared" si="19"/>
        <v>100</v>
      </c>
      <c r="AG98" s="48" t="str">
        <f t="shared" si="20"/>
        <v>Fuerte</v>
      </c>
      <c r="AH98" s="131" t="s">
        <v>118</v>
      </c>
      <c r="AI98" s="149" t="str">
        <f t="shared" si="21"/>
        <v>Fuerte</v>
      </c>
      <c r="AJ98" s="21" t="str">
        <f>IFERROR(VLOOKUP((CONCATENATE(AG98,AI98)),Listados!$U$3:$V$11,2,FALSE),"")</f>
        <v>Fuerte</v>
      </c>
      <c r="AK98" s="48">
        <f t="shared" si="22"/>
        <v>100</v>
      </c>
      <c r="AL98" s="431"/>
      <c r="AM98" s="433"/>
      <c r="AN98" s="169">
        <f>+IF(AND(Q98="Preventivo",AM97="Fuerte"),2,IF(AND(Q98="Preventivo",AM97="Moderado"),1,0))</f>
        <v>2</v>
      </c>
      <c r="AO98" s="169">
        <f t="shared" si="23"/>
        <v>1</v>
      </c>
      <c r="AP98" s="169">
        <f>+K97-AN98</f>
        <v>0</v>
      </c>
      <c r="AQ98" s="169">
        <f>+M97-AO98</f>
        <v>3</v>
      </c>
      <c r="AR98" s="422"/>
      <c r="AS98" s="422"/>
      <c r="AT98" s="422"/>
      <c r="AU98" s="422"/>
      <c r="AV98" s="387"/>
      <c r="AW98" s="388"/>
      <c r="AX98" s="389"/>
      <c r="AY98" s="387"/>
      <c r="AZ98" s="388"/>
      <c r="BA98" s="389"/>
      <c r="BB98" s="387"/>
      <c r="BC98" s="388"/>
      <c r="BD98" s="389"/>
    </row>
    <row r="99" spans="1:56" ht="129" thickBot="1">
      <c r="A99" s="405"/>
      <c r="B99" s="407"/>
      <c r="C99" s="408"/>
      <c r="D99" s="409"/>
      <c r="E99" s="164"/>
      <c r="F99" s="164"/>
      <c r="G99" s="164" t="s">
        <v>327</v>
      </c>
      <c r="H99" s="165" t="s">
        <v>16</v>
      </c>
      <c r="I99" s="165"/>
      <c r="J99" s="407"/>
      <c r="K99" s="425"/>
      <c r="L99" s="428"/>
      <c r="M99" s="425"/>
      <c r="N99" s="435"/>
      <c r="O99" s="182" t="s">
        <v>326</v>
      </c>
      <c r="P99" s="183" t="s">
        <v>327</v>
      </c>
      <c r="Q99" s="183" t="s">
        <v>20</v>
      </c>
      <c r="R99" s="172"/>
      <c r="S99" s="27" t="str">
        <f t="shared" si="12"/>
        <v/>
      </c>
      <c r="T99" s="172"/>
      <c r="U99" s="27" t="str">
        <f t="shared" si="13"/>
        <v/>
      </c>
      <c r="V99" s="150"/>
      <c r="W99" s="27" t="str">
        <f t="shared" si="14"/>
        <v/>
      </c>
      <c r="X99" s="150"/>
      <c r="Y99" s="27" t="str">
        <f t="shared" si="15"/>
        <v/>
      </c>
      <c r="Z99" s="150"/>
      <c r="AA99" s="27" t="str">
        <f t="shared" si="16"/>
        <v/>
      </c>
      <c r="AB99" s="150"/>
      <c r="AC99" s="27" t="str">
        <f t="shared" si="17"/>
        <v/>
      </c>
      <c r="AD99" s="150"/>
      <c r="AE99" s="27" t="str">
        <f t="shared" si="18"/>
        <v/>
      </c>
      <c r="AF99" s="48" t="str">
        <f t="shared" si="19"/>
        <v/>
      </c>
      <c r="AG99" s="48" t="str">
        <f t="shared" si="20"/>
        <v/>
      </c>
      <c r="AH99" s="131"/>
      <c r="AI99" s="149" t="str">
        <f t="shared" si="21"/>
        <v>Débil</v>
      </c>
      <c r="AJ99" s="21" t="str">
        <f>IFERROR(VLOOKUP((CONCATENATE(AG99,AI99)),Listados!$U$3:$V$11,2,FALSE),"")</f>
        <v/>
      </c>
      <c r="AK99" s="48">
        <f t="shared" si="22"/>
        <v>100</v>
      </c>
      <c r="AL99" s="431"/>
      <c r="AM99" s="433"/>
      <c r="AN99" s="169">
        <f>+IF(AND(Q99="Preventivo",AM97="Fuerte"),2,IF(AND(Q99="Preventivo",AM97="Moderado"),1,0))</f>
        <v>2</v>
      </c>
      <c r="AO99" s="169">
        <f t="shared" si="23"/>
        <v>1</v>
      </c>
      <c r="AP99" s="169">
        <f>+K97-AN99</f>
        <v>0</v>
      </c>
      <c r="AQ99" s="169">
        <f>+M97-AO99</f>
        <v>3</v>
      </c>
      <c r="AR99" s="422"/>
      <c r="AS99" s="422"/>
      <c r="AT99" s="422"/>
      <c r="AU99" s="422"/>
      <c r="AV99" s="387"/>
      <c r="AW99" s="388"/>
      <c r="AX99" s="389"/>
      <c r="AY99" s="387"/>
      <c r="AZ99" s="388"/>
      <c r="BA99" s="389"/>
      <c r="BB99" s="387"/>
      <c r="BC99" s="388"/>
      <c r="BD99" s="389"/>
    </row>
    <row r="100" spans="1:56" ht="114.75" thickBot="1">
      <c r="A100" s="405"/>
      <c r="B100" s="407"/>
      <c r="C100" s="408"/>
      <c r="D100" s="409"/>
      <c r="E100" s="164"/>
      <c r="F100" s="164"/>
      <c r="G100" s="164" t="s">
        <v>328</v>
      </c>
      <c r="H100" s="165" t="s">
        <v>16</v>
      </c>
      <c r="I100" s="165"/>
      <c r="J100" s="407"/>
      <c r="K100" s="425"/>
      <c r="L100" s="428"/>
      <c r="M100" s="425"/>
      <c r="N100" s="435"/>
      <c r="O100" s="182" t="s">
        <v>329</v>
      </c>
      <c r="P100" s="166" t="s">
        <v>328</v>
      </c>
      <c r="Q100" s="166" t="s">
        <v>123</v>
      </c>
      <c r="R100" s="184" t="s">
        <v>116</v>
      </c>
      <c r="S100" s="27">
        <f t="shared" si="12"/>
        <v>15</v>
      </c>
      <c r="T100" s="184" t="s">
        <v>116</v>
      </c>
      <c r="U100" s="27">
        <f t="shared" si="13"/>
        <v>15</v>
      </c>
      <c r="V100" s="148" t="s">
        <v>116</v>
      </c>
      <c r="W100" s="27">
        <f t="shared" si="14"/>
        <v>15</v>
      </c>
      <c r="X100" s="148" t="s">
        <v>116</v>
      </c>
      <c r="Y100" s="27">
        <f t="shared" ref="Y100" si="31">+IF(X100="si",15,"")</f>
        <v>15</v>
      </c>
      <c r="Z100" s="148" t="s">
        <v>116</v>
      </c>
      <c r="AA100" s="27">
        <f t="shared" si="16"/>
        <v>15</v>
      </c>
      <c r="AB100" s="148" t="s">
        <v>116</v>
      </c>
      <c r="AC100" s="27">
        <f t="shared" si="17"/>
        <v>15</v>
      </c>
      <c r="AD100" s="150" t="s">
        <v>117</v>
      </c>
      <c r="AE100" s="27">
        <f t="shared" si="18"/>
        <v>10</v>
      </c>
      <c r="AF100" s="48">
        <f t="shared" si="19"/>
        <v>100</v>
      </c>
      <c r="AG100" s="48" t="str">
        <f t="shared" si="20"/>
        <v>Fuerte</v>
      </c>
      <c r="AH100" s="131" t="s">
        <v>118</v>
      </c>
      <c r="AI100" s="149" t="str">
        <f t="shared" si="21"/>
        <v>Fuerte</v>
      </c>
      <c r="AJ100" s="21" t="str">
        <f>IFERROR(VLOOKUP((CONCATENATE(AG100,AI100)),Listados!$U$3:$V$11,2,FALSE),"")</f>
        <v>Fuerte</v>
      </c>
      <c r="AK100" s="48">
        <f t="shared" si="22"/>
        <v>100</v>
      </c>
      <c r="AL100" s="431"/>
      <c r="AM100" s="433"/>
      <c r="AN100" s="169">
        <f>+IF(AND(Q100="Preventivo",AM97="Fuerte"),2,IF(AND(Q100="Preventivo",AM97="Moderado"),1,0))</f>
        <v>0</v>
      </c>
      <c r="AO100" s="169">
        <f t="shared" si="23"/>
        <v>2</v>
      </c>
      <c r="AP100" s="169">
        <f>+K97-AN100</f>
        <v>2</v>
      </c>
      <c r="AQ100" s="169">
        <f>+M97-AO100</f>
        <v>2</v>
      </c>
      <c r="AR100" s="422"/>
      <c r="AS100" s="422"/>
      <c r="AT100" s="422"/>
      <c r="AU100" s="422"/>
      <c r="AV100" s="387"/>
      <c r="AW100" s="388"/>
      <c r="AX100" s="389"/>
      <c r="AY100" s="387"/>
      <c r="AZ100" s="388"/>
      <c r="BA100" s="389"/>
      <c r="BB100" s="387"/>
      <c r="BC100" s="388"/>
      <c r="BD100" s="389"/>
    </row>
    <row r="101" spans="1:56" ht="15.75" thickBot="1">
      <c r="A101" s="405"/>
      <c r="B101" s="407"/>
      <c r="C101" s="408"/>
      <c r="D101" s="409"/>
      <c r="E101" s="164"/>
      <c r="F101" s="164"/>
      <c r="G101" s="165"/>
      <c r="H101" s="165"/>
      <c r="I101" s="165"/>
      <c r="J101" s="407"/>
      <c r="K101" s="425"/>
      <c r="L101" s="428"/>
      <c r="M101" s="425"/>
      <c r="N101" s="435"/>
      <c r="O101" s="164"/>
      <c r="P101" s="166"/>
      <c r="Q101" s="166"/>
      <c r="R101" s="172"/>
      <c r="S101" s="27" t="str">
        <f t="shared" si="12"/>
        <v/>
      </c>
      <c r="T101" s="172"/>
      <c r="U101" s="27" t="str">
        <f t="shared" si="13"/>
        <v/>
      </c>
      <c r="V101" s="150"/>
      <c r="W101" s="27" t="str">
        <f t="shared" si="14"/>
        <v/>
      </c>
      <c r="X101" s="150"/>
      <c r="Y101" s="27" t="str">
        <f t="shared" si="15"/>
        <v/>
      </c>
      <c r="Z101" s="150"/>
      <c r="AA101" s="27" t="str">
        <f t="shared" si="16"/>
        <v/>
      </c>
      <c r="AB101" s="150"/>
      <c r="AC101" s="27" t="str">
        <f t="shared" si="17"/>
        <v/>
      </c>
      <c r="AD101" s="150"/>
      <c r="AE101" s="27" t="str">
        <f t="shared" si="18"/>
        <v/>
      </c>
      <c r="AF101" s="48" t="str">
        <f t="shared" si="19"/>
        <v/>
      </c>
      <c r="AG101" s="48" t="str">
        <f t="shared" si="20"/>
        <v/>
      </c>
      <c r="AH101" s="131"/>
      <c r="AI101" s="149" t="str">
        <f t="shared" si="21"/>
        <v>Débil</v>
      </c>
      <c r="AJ101" s="21" t="str">
        <f>IFERROR(VLOOKUP((CONCATENATE(AG101,AI101)),Listados!$U$3:$V$11,2,FALSE),"")</f>
        <v/>
      </c>
      <c r="AK101" s="48">
        <f t="shared" si="22"/>
        <v>100</v>
      </c>
      <c r="AL101" s="431"/>
      <c r="AM101" s="433"/>
      <c r="AN101" s="169">
        <f>+IF(AND(Q101="Preventivo",AM97="Fuerte"),2,IF(AND(Q101="Preventivo",AM97="Moderado"),1,0))</f>
        <v>0</v>
      </c>
      <c r="AO101" s="169">
        <f t="shared" si="23"/>
        <v>0</v>
      </c>
      <c r="AP101" s="169">
        <f>+K97-AN101</f>
        <v>2</v>
      </c>
      <c r="AQ101" s="169">
        <f>+M97-AO101</f>
        <v>4</v>
      </c>
      <c r="AR101" s="422"/>
      <c r="AS101" s="422"/>
      <c r="AT101" s="422"/>
      <c r="AU101" s="422"/>
      <c r="AV101" s="387"/>
      <c r="AW101" s="388"/>
      <c r="AX101" s="389"/>
      <c r="AY101" s="387"/>
      <c r="AZ101" s="388"/>
      <c r="BA101" s="389"/>
      <c r="BB101" s="387"/>
      <c r="BC101" s="388"/>
      <c r="BD101" s="389"/>
    </row>
    <row r="102" spans="1:56" ht="15.75" thickBot="1">
      <c r="A102" s="406"/>
      <c r="B102" s="407"/>
      <c r="C102" s="408"/>
      <c r="D102" s="409"/>
      <c r="E102" s="164"/>
      <c r="F102" s="164"/>
      <c r="G102" s="165"/>
      <c r="H102" s="165"/>
      <c r="I102" s="165"/>
      <c r="J102" s="407"/>
      <c r="K102" s="426"/>
      <c r="L102" s="428"/>
      <c r="M102" s="426"/>
      <c r="N102" s="435"/>
      <c r="O102" s="164"/>
      <c r="P102" s="166"/>
      <c r="Q102" s="166"/>
      <c r="R102" s="172"/>
      <c r="S102" s="27" t="str">
        <f t="shared" si="12"/>
        <v/>
      </c>
      <c r="T102" s="172"/>
      <c r="U102" s="27" t="str">
        <f t="shared" si="13"/>
        <v/>
      </c>
      <c r="V102" s="150"/>
      <c r="W102" s="27" t="str">
        <f t="shared" si="14"/>
        <v/>
      </c>
      <c r="X102" s="150"/>
      <c r="Y102" s="27" t="str">
        <f t="shared" si="15"/>
        <v/>
      </c>
      <c r="Z102" s="150"/>
      <c r="AA102" s="27" t="str">
        <f t="shared" si="16"/>
        <v/>
      </c>
      <c r="AB102" s="150"/>
      <c r="AC102" s="27" t="str">
        <f t="shared" si="17"/>
        <v/>
      </c>
      <c r="AD102" s="150"/>
      <c r="AE102" s="27" t="str">
        <f t="shared" si="18"/>
        <v/>
      </c>
      <c r="AF102" s="48" t="str">
        <f t="shared" si="19"/>
        <v/>
      </c>
      <c r="AG102" s="48" t="str">
        <f t="shared" si="20"/>
        <v/>
      </c>
      <c r="AH102" s="131"/>
      <c r="AI102" s="149" t="str">
        <f t="shared" si="21"/>
        <v>Débil</v>
      </c>
      <c r="AJ102" s="21" t="str">
        <f>IFERROR(VLOOKUP((CONCATENATE(AG102,AI102)),Listados!$U$3:$V$11,2,FALSE),"")</f>
        <v/>
      </c>
      <c r="AK102" s="48">
        <f t="shared" si="22"/>
        <v>100</v>
      </c>
      <c r="AL102" s="432"/>
      <c r="AM102" s="433"/>
      <c r="AN102" s="169">
        <f>+IF(AND(Q102="Preventivo",AM97="Fuerte"),2,IF(AND(Q102="Preventivo",AM97="Moderado"),1,0))</f>
        <v>0</v>
      </c>
      <c r="AO102" s="169">
        <f t="shared" si="23"/>
        <v>0</v>
      </c>
      <c r="AP102" s="169">
        <f>+K97-AN102</f>
        <v>2</v>
      </c>
      <c r="AQ102" s="169">
        <f>+M97-AO102</f>
        <v>4</v>
      </c>
      <c r="AR102" s="423"/>
      <c r="AS102" s="423"/>
      <c r="AT102" s="423"/>
      <c r="AU102" s="423"/>
      <c r="AV102" s="387"/>
      <c r="AW102" s="388"/>
      <c r="AX102" s="389"/>
      <c r="AY102" s="387"/>
      <c r="AZ102" s="388"/>
      <c r="BA102" s="389"/>
      <c r="BB102" s="387"/>
      <c r="BC102" s="388"/>
      <c r="BD102" s="389"/>
    </row>
    <row r="103" spans="1:56" ht="172.5" thickBot="1">
      <c r="A103" s="404">
        <v>17</v>
      </c>
      <c r="B103" s="407" t="s">
        <v>71</v>
      </c>
      <c r="C103" s="408" t="str">
        <f>IFERROR(VLOOKUP(B103,Listados!B$3:C$20,2,FALSE),"")</f>
        <v>Formularlos criterios,parámetros o lineamientos generales elegidos para abordar las prioridades de la agenda pública en materia de justicia y del derecho y orientar las decisiones respecto a una necesidad o situación de interés público en las materias de competencia del sector de Justicia y del Derecho;hacer seguimiento a las acciones definidas para su implementación o desarrollo y efectuar los ajustes que se requieran.</v>
      </c>
      <c r="D103" s="409" t="s">
        <v>330</v>
      </c>
      <c r="E103" s="164" t="s">
        <v>15</v>
      </c>
      <c r="F103" s="164" t="s">
        <v>178</v>
      </c>
      <c r="G103" s="165" t="s">
        <v>331</v>
      </c>
      <c r="H103" s="165" t="s">
        <v>16</v>
      </c>
      <c r="I103" s="165" t="s">
        <v>332</v>
      </c>
      <c r="J103" s="407" t="s">
        <v>44</v>
      </c>
      <c r="K103" s="424">
        <f>+VLOOKUP(J103,Listados!$K$8:$L$12,2,0)</f>
        <v>3</v>
      </c>
      <c r="L103" s="427" t="s">
        <v>64</v>
      </c>
      <c r="M103" s="424">
        <f>+VLOOKUP(L103,Listados!$K$13:$L$17,2,0)</f>
        <v>5</v>
      </c>
      <c r="N103" s="434" t="str">
        <f>IF(AND(J103&lt;&gt;"",L103&lt;&gt;""),VLOOKUP(J103&amp;L103,Listados!$M$3:$N$27,2,FALSE),"")</f>
        <v>Extremo</v>
      </c>
      <c r="O103" s="166" t="s">
        <v>333</v>
      </c>
      <c r="P103" s="164" t="s">
        <v>334</v>
      </c>
      <c r="Q103" s="165" t="s">
        <v>20</v>
      </c>
      <c r="R103" s="172"/>
      <c r="S103" s="27" t="str">
        <f t="shared" si="12"/>
        <v/>
      </c>
      <c r="T103" s="172"/>
      <c r="U103" s="27" t="str">
        <f t="shared" si="13"/>
        <v/>
      </c>
      <c r="V103" s="150"/>
      <c r="W103" s="27" t="str">
        <f t="shared" si="14"/>
        <v/>
      </c>
      <c r="X103" s="150"/>
      <c r="Y103" s="27" t="str">
        <f t="shared" si="15"/>
        <v/>
      </c>
      <c r="Z103" s="150"/>
      <c r="AA103" s="27" t="str">
        <f t="shared" si="16"/>
        <v/>
      </c>
      <c r="AB103" s="150"/>
      <c r="AC103" s="27" t="str">
        <f t="shared" si="17"/>
        <v/>
      </c>
      <c r="AD103" s="150"/>
      <c r="AE103" s="27" t="str">
        <f t="shared" si="18"/>
        <v/>
      </c>
      <c r="AF103" s="48" t="str">
        <f t="shared" si="19"/>
        <v/>
      </c>
      <c r="AG103" s="48" t="str">
        <f t="shared" si="20"/>
        <v/>
      </c>
      <c r="AH103" s="131"/>
      <c r="AI103" s="149" t="str">
        <f t="shared" si="21"/>
        <v>Débil</v>
      </c>
      <c r="AJ103" s="21" t="str">
        <f>IFERROR(VLOOKUP((CONCATENATE(AG103,AI103)),Listados!$U$3:$V$11,2,FALSE),"")</f>
        <v/>
      </c>
      <c r="AK103" s="48">
        <f t="shared" si="22"/>
        <v>100</v>
      </c>
      <c r="AL103" s="430">
        <f>AVERAGE(AK103:AK108)</f>
        <v>100</v>
      </c>
      <c r="AM103" s="432" t="str">
        <f>IF(AL103&lt;=50, "Débil", IF(AL103&lt;=99,"Moderado","Fuerte"))</f>
        <v>Fuerte</v>
      </c>
      <c r="AN103" s="169">
        <f>+IF(AND(Q103="Preventivo",AM103="Fuerte"),2,IF(AND(Q103="Preventivo",AM103="Moderado"),1,0))</f>
        <v>2</v>
      </c>
      <c r="AO103" s="169">
        <f t="shared" si="23"/>
        <v>1</v>
      </c>
      <c r="AP103" s="169">
        <f>+K103-AN103</f>
        <v>1</v>
      </c>
      <c r="AQ103" s="169">
        <f>+M103-AO103</f>
        <v>4</v>
      </c>
      <c r="AR103" s="421" t="str">
        <f>+VLOOKUP(MIN(AP103,AP104,AP105,AP106,AP107,AP108),Listados!$J$18:$K$24,2,TRUE)</f>
        <v>Rara Vez</v>
      </c>
      <c r="AS103" s="421" t="str">
        <f>+VLOOKUP(MIN(AQ103,AQ104,AQ105,AQ106,AQ107,AQ108),Listados!$J$27:$K$32,2,TRUE)</f>
        <v>Mayor</v>
      </c>
      <c r="AT103" s="421" t="str">
        <f>IF(AND(AR103&lt;&gt;"",AS103&lt;&gt;""),VLOOKUP(AR103&amp;AS103,Listados!$M$3:$N$27,2,FALSE),"")</f>
        <v>Alto</v>
      </c>
      <c r="AU103" s="421" t="str">
        <f>+VLOOKUP(AT103,Listados!$P$3:$Q$6,2,FALSE)</f>
        <v>Reducir el riesgo</v>
      </c>
      <c r="AV103" s="387"/>
      <c r="AW103" s="388"/>
      <c r="AX103" s="389"/>
      <c r="AY103" s="387"/>
      <c r="AZ103" s="388"/>
      <c r="BA103" s="389"/>
      <c r="BB103" s="387"/>
      <c r="BC103" s="388"/>
      <c r="BD103" s="389"/>
    </row>
    <row r="104" spans="1:56" ht="172.5" thickBot="1">
      <c r="A104" s="405"/>
      <c r="B104" s="407"/>
      <c r="C104" s="408"/>
      <c r="D104" s="409"/>
      <c r="E104" s="164"/>
      <c r="F104" s="164" t="s">
        <v>335</v>
      </c>
      <c r="G104" s="165" t="s">
        <v>336</v>
      </c>
      <c r="H104" s="165" t="s">
        <v>30</v>
      </c>
      <c r="I104" s="165" t="s">
        <v>337</v>
      </c>
      <c r="J104" s="407"/>
      <c r="K104" s="425"/>
      <c r="L104" s="428"/>
      <c r="M104" s="425"/>
      <c r="N104" s="435"/>
      <c r="O104" s="166" t="s">
        <v>338</v>
      </c>
      <c r="P104" s="164" t="s">
        <v>336</v>
      </c>
      <c r="Q104" s="165" t="s">
        <v>20</v>
      </c>
      <c r="R104" s="172"/>
      <c r="S104" s="27" t="str">
        <f t="shared" si="12"/>
        <v/>
      </c>
      <c r="T104" s="172"/>
      <c r="U104" s="27" t="str">
        <f t="shared" si="13"/>
        <v/>
      </c>
      <c r="V104" s="150"/>
      <c r="W104" s="27" t="str">
        <f t="shared" si="14"/>
        <v/>
      </c>
      <c r="X104" s="150"/>
      <c r="Y104" s="27" t="str">
        <f t="shared" si="15"/>
        <v/>
      </c>
      <c r="Z104" s="150"/>
      <c r="AA104" s="27" t="str">
        <f t="shared" si="16"/>
        <v/>
      </c>
      <c r="AB104" s="150"/>
      <c r="AC104" s="27" t="str">
        <f t="shared" si="17"/>
        <v/>
      </c>
      <c r="AD104" s="150"/>
      <c r="AE104" s="27" t="str">
        <f t="shared" si="18"/>
        <v/>
      </c>
      <c r="AF104" s="48" t="str">
        <f t="shared" si="19"/>
        <v/>
      </c>
      <c r="AG104" s="48" t="str">
        <f t="shared" si="20"/>
        <v/>
      </c>
      <c r="AH104" s="131"/>
      <c r="AI104" s="149" t="str">
        <f t="shared" si="21"/>
        <v>Débil</v>
      </c>
      <c r="AJ104" s="21" t="str">
        <f>IFERROR(VLOOKUP((CONCATENATE(AG104,AI104)),Listados!$U$3:$V$11,2,FALSE),"")</f>
        <v/>
      </c>
      <c r="AK104" s="48">
        <f t="shared" si="22"/>
        <v>100</v>
      </c>
      <c r="AL104" s="431"/>
      <c r="AM104" s="433"/>
      <c r="AN104" s="169">
        <f>+IF(AND(Q104="Preventivo",AM103="Fuerte"),2,IF(AND(Q104="Preventivo",AM103="Moderado"),1,0))</f>
        <v>2</v>
      </c>
      <c r="AO104" s="169">
        <f t="shared" si="23"/>
        <v>1</v>
      </c>
      <c r="AP104" s="169">
        <f>+K103-AN104</f>
        <v>1</v>
      </c>
      <c r="AQ104" s="169">
        <f>+M103-AO104</f>
        <v>4</v>
      </c>
      <c r="AR104" s="422"/>
      <c r="AS104" s="422"/>
      <c r="AT104" s="422"/>
      <c r="AU104" s="422"/>
      <c r="AV104" s="387"/>
      <c r="AW104" s="388"/>
      <c r="AX104" s="389"/>
      <c r="AY104" s="387"/>
      <c r="AZ104" s="388"/>
      <c r="BA104" s="389"/>
      <c r="BB104" s="387"/>
      <c r="BC104" s="388"/>
      <c r="BD104" s="389"/>
    </row>
    <row r="105" spans="1:56" ht="172.5" thickBot="1">
      <c r="A105" s="405"/>
      <c r="B105" s="407"/>
      <c r="C105" s="408"/>
      <c r="D105" s="409"/>
      <c r="E105" s="164"/>
      <c r="F105" s="164" t="s">
        <v>339</v>
      </c>
      <c r="G105" s="165" t="s">
        <v>340</v>
      </c>
      <c r="H105" s="165" t="s">
        <v>16</v>
      </c>
      <c r="I105" s="165" t="s">
        <v>341</v>
      </c>
      <c r="J105" s="407"/>
      <c r="K105" s="425"/>
      <c r="L105" s="428"/>
      <c r="M105" s="425"/>
      <c r="N105" s="435"/>
      <c r="O105" s="166" t="s">
        <v>342</v>
      </c>
      <c r="P105" s="164" t="s">
        <v>340</v>
      </c>
      <c r="Q105" s="165" t="s">
        <v>20</v>
      </c>
      <c r="R105" s="172"/>
      <c r="S105" s="27" t="str">
        <f t="shared" si="12"/>
        <v/>
      </c>
      <c r="T105" s="172"/>
      <c r="U105" s="27" t="str">
        <f t="shared" si="13"/>
        <v/>
      </c>
      <c r="V105" s="150"/>
      <c r="W105" s="27" t="str">
        <f t="shared" si="14"/>
        <v/>
      </c>
      <c r="X105" s="150"/>
      <c r="Y105" s="27" t="str">
        <f t="shared" si="15"/>
        <v/>
      </c>
      <c r="Z105" s="150"/>
      <c r="AA105" s="27" t="str">
        <f t="shared" si="16"/>
        <v/>
      </c>
      <c r="AB105" s="150"/>
      <c r="AC105" s="27" t="str">
        <f t="shared" si="17"/>
        <v/>
      </c>
      <c r="AD105" s="150"/>
      <c r="AE105" s="27" t="str">
        <f t="shared" si="18"/>
        <v/>
      </c>
      <c r="AF105" s="48" t="str">
        <f t="shared" si="19"/>
        <v/>
      </c>
      <c r="AG105" s="48" t="str">
        <f t="shared" si="20"/>
        <v/>
      </c>
      <c r="AH105" s="131"/>
      <c r="AI105" s="149" t="str">
        <f t="shared" si="21"/>
        <v>Débil</v>
      </c>
      <c r="AJ105" s="21" t="str">
        <f>IFERROR(VLOOKUP((CONCATENATE(AG105,AI105)),Listados!$U$3:$V$11,2,FALSE),"")</f>
        <v/>
      </c>
      <c r="AK105" s="48">
        <f t="shared" si="22"/>
        <v>100</v>
      </c>
      <c r="AL105" s="431"/>
      <c r="AM105" s="433"/>
      <c r="AN105" s="169">
        <f>+IF(AND(Q105="Preventivo",AM103="Fuerte"),2,IF(AND(Q105="Preventivo",AM103="Moderado"),1,0))</f>
        <v>2</v>
      </c>
      <c r="AO105" s="169">
        <f t="shared" si="23"/>
        <v>1</v>
      </c>
      <c r="AP105" s="169">
        <f>+K103-AN105</f>
        <v>1</v>
      </c>
      <c r="AQ105" s="169">
        <f>+M103-AO105</f>
        <v>4</v>
      </c>
      <c r="AR105" s="422"/>
      <c r="AS105" s="422"/>
      <c r="AT105" s="422"/>
      <c r="AU105" s="422"/>
      <c r="AV105" s="387"/>
      <c r="AW105" s="388"/>
      <c r="AX105" s="389"/>
      <c r="AY105" s="387"/>
      <c r="AZ105" s="388"/>
      <c r="BA105" s="389"/>
      <c r="BB105" s="387"/>
      <c r="BC105" s="388"/>
      <c r="BD105" s="389"/>
    </row>
    <row r="106" spans="1:56" ht="43.5" thickBot="1">
      <c r="A106" s="405"/>
      <c r="B106" s="407"/>
      <c r="C106" s="408"/>
      <c r="D106" s="409"/>
      <c r="E106" s="164"/>
      <c r="F106" s="164" t="s">
        <v>343</v>
      </c>
      <c r="G106" s="165"/>
      <c r="H106" s="165"/>
      <c r="I106" s="165"/>
      <c r="J106" s="407"/>
      <c r="K106" s="425"/>
      <c r="L106" s="428"/>
      <c r="M106" s="425"/>
      <c r="N106" s="435"/>
      <c r="O106" s="164"/>
      <c r="P106" s="166"/>
      <c r="Q106" s="166"/>
      <c r="R106" s="172"/>
      <c r="S106" s="27" t="str">
        <f t="shared" si="12"/>
        <v/>
      </c>
      <c r="T106" s="172"/>
      <c r="U106" s="27" t="str">
        <f t="shared" si="13"/>
        <v/>
      </c>
      <c r="V106" s="150"/>
      <c r="W106" s="27" t="str">
        <f t="shared" si="14"/>
        <v/>
      </c>
      <c r="X106" s="150"/>
      <c r="Y106" s="27" t="str">
        <f t="shared" si="15"/>
        <v/>
      </c>
      <c r="Z106" s="150"/>
      <c r="AA106" s="27" t="str">
        <f t="shared" si="16"/>
        <v/>
      </c>
      <c r="AB106" s="150"/>
      <c r="AC106" s="27" t="str">
        <f t="shared" si="17"/>
        <v/>
      </c>
      <c r="AD106" s="150"/>
      <c r="AE106" s="27" t="str">
        <f t="shared" si="18"/>
        <v/>
      </c>
      <c r="AF106" s="48" t="str">
        <f t="shared" si="19"/>
        <v/>
      </c>
      <c r="AG106" s="48" t="str">
        <f t="shared" si="20"/>
        <v/>
      </c>
      <c r="AH106" s="131"/>
      <c r="AI106" s="149" t="str">
        <f t="shared" si="21"/>
        <v>Débil</v>
      </c>
      <c r="AJ106" s="21" t="str">
        <f>IFERROR(VLOOKUP((CONCATENATE(AG106,AI106)),Listados!$U$3:$V$11,2,FALSE),"")</f>
        <v/>
      </c>
      <c r="AK106" s="48">
        <f t="shared" si="22"/>
        <v>100</v>
      </c>
      <c r="AL106" s="431"/>
      <c r="AM106" s="433"/>
      <c r="AN106" s="169">
        <f>+IF(AND(Q106="Preventivo",AM103="Fuerte"),2,IF(AND(Q106="Preventivo",AM103="Moderado"),1,0))</f>
        <v>0</v>
      </c>
      <c r="AO106" s="169">
        <f t="shared" si="23"/>
        <v>0</v>
      </c>
      <c r="AP106" s="169">
        <f>+K103-AN106</f>
        <v>3</v>
      </c>
      <c r="AQ106" s="169">
        <f>+M103-AO106</f>
        <v>5</v>
      </c>
      <c r="AR106" s="422"/>
      <c r="AS106" s="422"/>
      <c r="AT106" s="422"/>
      <c r="AU106" s="422"/>
      <c r="AV106" s="387"/>
      <c r="AW106" s="388"/>
      <c r="AX106" s="389"/>
      <c r="AY106" s="387"/>
      <c r="AZ106" s="388"/>
      <c r="BA106" s="389"/>
      <c r="BB106" s="387"/>
      <c r="BC106" s="388"/>
      <c r="BD106" s="389"/>
    </row>
    <row r="107" spans="1:56" ht="15.75" thickBot="1">
      <c r="A107" s="405"/>
      <c r="B107" s="407"/>
      <c r="C107" s="408"/>
      <c r="D107" s="409"/>
      <c r="E107" s="164"/>
      <c r="F107" s="164"/>
      <c r="G107" s="165"/>
      <c r="H107" s="165"/>
      <c r="I107" s="165"/>
      <c r="J107" s="407"/>
      <c r="K107" s="425"/>
      <c r="L107" s="428"/>
      <c r="M107" s="425"/>
      <c r="N107" s="435"/>
      <c r="O107" s="164"/>
      <c r="P107" s="166"/>
      <c r="Q107" s="166"/>
      <c r="R107" s="172"/>
      <c r="S107" s="27" t="str">
        <f t="shared" si="12"/>
        <v/>
      </c>
      <c r="T107" s="172"/>
      <c r="U107" s="27" t="str">
        <f t="shared" si="13"/>
        <v/>
      </c>
      <c r="V107" s="150"/>
      <c r="W107" s="27" t="str">
        <f t="shared" si="14"/>
        <v/>
      </c>
      <c r="X107" s="150"/>
      <c r="Y107" s="27" t="str">
        <f t="shared" si="15"/>
        <v/>
      </c>
      <c r="Z107" s="150"/>
      <c r="AA107" s="27" t="str">
        <f t="shared" si="16"/>
        <v/>
      </c>
      <c r="AB107" s="150"/>
      <c r="AC107" s="27" t="str">
        <f t="shared" si="17"/>
        <v/>
      </c>
      <c r="AD107" s="150"/>
      <c r="AE107" s="27" t="str">
        <f t="shared" si="18"/>
        <v/>
      </c>
      <c r="AF107" s="48" t="str">
        <f t="shared" si="19"/>
        <v/>
      </c>
      <c r="AG107" s="48" t="str">
        <f t="shared" si="20"/>
        <v/>
      </c>
      <c r="AH107" s="131"/>
      <c r="AI107" s="149" t="str">
        <f t="shared" si="21"/>
        <v>Débil</v>
      </c>
      <c r="AJ107" s="21" t="str">
        <f>IFERROR(VLOOKUP((CONCATENATE(AG107,AI107)),Listados!$U$3:$V$11,2,FALSE),"")</f>
        <v/>
      </c>
      <c r="AK107" s="48">
        <f t="shared" si="22"/>
        <v>100</v>
      </c>
      <c r="AL107" s="431"/>
      <c r="AM107" s="433"/>
      <c r="AN107" s="169">
        <f>+IF(AND(Q107="Preventivo",AM103="Fuerte"),2,IF(AND(Q107="Preventivo",AM103="Moderado"),1,0))</f>
        <v>0</v>
      </c>
      <c r="AO107" s="169">
        <f t="shared" si="23"/>
        <v>0</v>
      </c>
      <c r="AP107" s="169">
        <f>+K103-AN107</f>
        <v>3</v>
      </c>
      <c r="AQ107" s="169">
        <f>+M103-AO107</f>
        <v>5</v>
      </c>
      <c r="AR107" s="422"/>
      <c r="AS107" s="422"/>
      <c r="AT107" s="422"/>
      <c r="AU107" s="422"/>
      <c r="AV107" s="387"/>
      <c r="AW107" s="388"/>
      <c r="AX107" s="389"/>
      <c r="AY107" s="387"/>
      <c r="AZ107" s="388"/>
      <c r="BA107" s="389"/>
      <c r="BB107" s="387"/>
      <c r="BC107" s="388"/>
      <c r="BD107" s="389"/>
    </row>
    <row r="108" spans="1:56" ht="15.75" thickBot="1">
      <c r="A108" s="406"/>
      <c r="B108" s="407"/>
      <c r="C108" s="408"/>
      <c r="D108" s="409"/>
      <c r="E108" s="164"/>
      <c r="F108" s="164"/>
      <c r="G108" s="165"/>
      <c r="H108" s="165"/>
      <c r="I108" s="165"/>
      <c r="J108" s="407"/>
      <c r="K108" s="426"/>
      <c r="L108" s="428"/>
      <c r="M108" s="426"/>
      <c r="N108" s="435"/>
      <c r="O108" s="164"/>
      <c r="P108" s="166"/>
      <c r="Q108" s="166"/>
      <c r="R108" s="172"/>
      <c r="S108" s="27" t="str">
        <f t="shared" si="12"/>
        <v/>
      </c>
      <c r="T108" s="172"/>
      <c r="U108" s="27" t="str">
        <f t="shared" si="13"/>
        <v/>
      </c>
      <c r="V108" s="150"/>
      <c r="W108" s="27" t="str">
        <f t="shared" si="14"/>
        <v/>
      </c>
      <c r="X108" s="150"/>
      <c r="Y108" s="27" t="str">
        <f t="shared" si="15"/>
        <v/>
      </c>
      <c r="Z108" s="150"/>
      <c r="AA108" s="27" t="str">
        <f t="shared" si="16"/>
        <v/>
      </c>
      <c r="AB108" s="150"/>
      <c r="AC108" s="27" t="str">
        <f t="shared" si="17"/>
        <v/>
      </c>
      <c r="AD108" s="150"/>
      <c r="AE108" s="27" t="str">
        <f t="shared" si="18"/>
        <v/>
      </c>
      <c r="AF108" s="48" t="str">
        <f t="shared" si="19"/>
        <v/>
      </c>
      <c r="AG108" s="48" t="str">
        <f t="shared" si="20"/>
        <v/>
      </c>
      <c r="AH108" s="131"/>
      <c r="AI108" s="149" t="str">
        <f t="shared" si="21"/>
        <v>Débil</v>
      </c>
      <c r="AJ108" s="21" t="str">
        <f>IFERROR(VLOOKUP((CONCATENATE(AG108,AI108)),Listados!$U$3:$V$11,2,FALSE),"")</f>
        <v/>
      </c>
      <c r="AK108" s="48">
        <f t="shared" si="22"/>
        <v>100</v>
      </c>
      <c r="AL108" s="432"/>
      <c r="AM108" s="433"/>
      <c r="AN108" s="169">
        <f>+IF(AND(Q108="Preventivo",AM103="Fuerte"),2,IF(AND(Q108="Preventivo",AM103="Moderado"),1,0))</f>
        <v>0</v>
      </c>
      <c r="AO108" s="169">
        <f t="shared" si="23"/>
        <v>0</v>
      </c>
      <c r="AP108" s="169">
        <f>+K103-AN108</f>
        <v>3</v>
      </c>
      <c r="AQ108" s="169">
        <f>+M103-AO108</f>
        <v>5</v>
      </c>
      <c r="AR108" s="423"/>
      <c r="AS108" s="423"/>
      <c r="AT108" s="423"/>
      <c r="AU108" s="423"/>
      <c r="AV108" s="387"/>
      <c r="AW108" s="388"/>
      <c r="AX108" s="389"/>
      <c r="AY108" s="387"/>
      <c r="AZ108" s="388"/>
      <c r="BA108" s="389"/>
      <c r="BB108" s="387"/>
      <c r="BC108" s="388"/>
      <c r="BD108" s="389"/>
    </row>
    <row r="109" spans="1:56" ht="186.75" thickBot="1">
      <c r="A109" s="404">
        <v>18</v>
      </c>
      <c r="B109" s="407" t="s">
        <v>92</v>
      </c>
      <c r="C109" s="408" t="str">
        <f>IFERROR(VLOOKUP(B109,Listados!B$3:C$20,2,FALSE),"")</f>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
      <c r="D109" s="409" t="s">
        <v>344</v>
      </c>
      <c r="E109" s="164" t="s">
        <v>52</v>
      </c>
      <c r="F109" s="164"/>
      <c r="G109" s="165" t="s">
        <v>345</v>
      </c>
      <c r="H109" s="165" t="s">
        <v>30</v>
      </c>
      <c r="I109" s="165" t="s">
        <v>346</v>
      </c>
      <c r="J109" s="407" t="s">
        <v>21</v>
      </c>
      <c r="K109" s="427" t="s">
        <v>36</v>
      </c>
      <c r="L109" s="427" t="s">
        <v>36</v>
      </c>
      <c r="M109" s="424">
        <f>+VLOOKUP(L109,Listados!$K$13:$L$17,2,0)</f>
        <v>3</v>
      </c>
      <c r="N109" s="434" t="str">
        <f>IF(AND(J109&lt;&gt;"",L109&lt;&gt;""),VLOOKUP(J109&amp;L109,Listados!$M$3:$N$27,2,FALSE),"")</f>
        <v>Moderado</v>
      </c>
      <c r="O109" s="166" t="s">
        <v>347</v>
      </c>
      <c r="P109" s="164" t="s">
        <v>345</v>
      </c>
      <c r="Q109" s="166" t="s">
        <v>123</v>
      </c>
      <c r="R109" s="172"/>
      <c r="S109" s="27" t="str">
        <f t="shared" si="12"/>
        <v/>
      </c>
      <c r="T109" s="172"/>
      <c r="U109" s="27" t="str">
        <f t="shared" si="13"/>
        <v/>
      </c>
      <c r="V109" s="150"/>
      <c r="W109" s="27" t="str">
        <f t="shared" si="14"/>
        <v/>
      </c>
      <c r="X109" s="150"/>
      <c r="Y109" s="27" t="str">
        <f t="shared" si="15"/>
        <v/>
      </c>
      <c r="Z109" s="150"/>
      <c r="AA109" s="27" t="str">
        <f t="shared" si="16"/>
        <v/>
      </c>
      <c r="AB109" s="150"/>
      <c r="AC109" s="27" t="str">
        <f t="shared" si="17"/>
        <v/>
      </c>
      <c r="AD109" s="150"/>
      <c r="AE109" s="27" t="str">
        <f t="shared" si="18"/>
        <v/>
      </c>
      <c r="AF109" s="48" t="str">
        <f t="shared" si="19"/>
        <v/>
      </c>
      <c r="AG109" s="48" t="str">
        <f t="shared" si="20"/>
        <v/>
      </c>
      <c r="AH109" s="131"/>
      <c r="AI109" s="149" t="str">
        <f t="shared" si="21"/>
        <v>Débil</v>
      </c>
      <c r="AJ109" s="21" t="str">
        <f>IFERROR(VLOOKUP((CONCATENATE(AG109,AI109)),Listados!$U$3:$V$11,2,FALSE),"")</f>
        <v/>
      </c>
      <c r="AK109" s="48">
        <f t="shared" si="22"/>
        <v>100</v>
      </c>
      <c r="AL109" s="430">
        <f>AVERAGE(AK109:AK114)</f>
        <v>100</v>
      </c>
      <c r="AM109" s="432" t="str">
        <f>IF(AL109&lt;=50, "Débil", IF(AL109&lt;=99,"Moderado","Fuerte"))</f>
        <v>Fuerte</v>
      </c>
      <c r="AN109" s="169">
        <f>+IF(AND(Q109="Preventivo",AM109="Fuerte"),2,IF(AND(Q109="Preventivo",AM109="Moderado"),1,0))</f>
        <v>0</v>
      </c>
      <c r="AO109" s="169">
        <f t="shared" si="23"/>
        <v>2</v>
      </c>
      <c r="AP109" s="169" t="e">
        <f>+K109-AN109</f>
        <v>#VALUE!</v>
      </c>
      <c r="AQ109" s="169">
        <f>+M109-AO109</f>
        <v>1</v>
      </c>
      <c r="AR109" s="421" t="e">
        <f>+VLOOKUP(MIN(AP109,AP110,AP111,AP112,AP113,AP114),Listados!$J$18:$K$24,2,TRUE)</f>
        <v>#VALUE!</v>
      </c>
      <c r="AS109" s="421" t="str">
        <f>+VLOOKUP(MIN(AQ109,AQ110,AQ111,AQ112,AQ113,AQ114),Listados!$J$27:$K$32,2,TRUE)</f>
        <v>Insignificante</v>
      </c>
      <c r="AT109" s="421" t="e">
        <f>IF(AND(AR109&lt;&gt;"",AS109&lt;&gt;""),VLOOKUP(AR109&amp;AS109,Listados!$M$3:$N$27,2,FALSE),"")</f>
        <v>#VALUE!</v>
      </c>
      <c r="AU109" s="421" t="e">
        <f>+VLOOKUP(AT109,Listados!$P$3:$Q$6,2,FALSE)</f>
        <v>#VALUE!</v>
      </c>
      <c r="AV109" s="387"/>
      <c r="AW109" s="388"/>
      <c r="AX109" s="389"/>
      <c r="AY109" s="387"/>
      <c r="AZ109" s="388"/>
      <c r="BA109" s="389"/>
      <c r="BB109" s="387"/>
      <c r="BC109" s="388"/>
      <c r="BD109" s="389"/>
    </row>
    <row r="110" spans="1:56" ht="172.5" thickBot="1">
      <c r="A110" s="405"/>
      <c r="B110" s="407"/>
      <c r="C110" s="408"/>
      <c r="D110" s="409"/>
      <c r="E110" s="164"/>
      <c r="F110" s="164"/>
      <c r="G110" s="165" t="s">
        <v>348</v>
      </c>
      <c r="H110" s="165" t="s">
        <v>16</v>
      </c>
      <c r="I110" s="165" t="s">
        <v>349</v>
      </c>
      <c r="J110" s="407"/>
      <c r="K110" s="428"/>
      <c r="L110" s="428"/>
      <c r="M110" s="425"/>
      <c r="N110" s="435"/>
      <c r="O110" s="166" t="s">
        <v>350</v>
      </c>
      <c r="P110" s="164" t="s">
        <v>345</v>
      </c>
      <c r="Q110" s="166" t="s">
        <v>123</v>
      </c>
      <c r="R110" s="172"/>
      <c r="S110" s="27" t="str">
        <f t="shared" si="12"/>
        <v/>
      </c>
      <c r="T110" s="172"/>
      <c r="U110" s="27" t="str">
        <f t="shared" si="13"/>
        <v/>
      </c>
      <c r="V110" s="150"/>
      <c r="W110" s="27" t="str">
        <f t="shared" si="14"/>
        <v/>
      </c>
      <c r="X110" s="150"/>
      <c r="Y110" s="27" t="str">
        <f t="shared" si="15"/>
        <v/>
      </c>
      <c r="Z110" s="150"/>
      <c r="AA110" s="27" t="str">
        <f t="shared" si="16"/>
        <v/>
      </c>
      <c r="AB110" s="150"/>
      <c r="AC110" s="27" t="str">
        <f t="shared" si="17"/>
        <v/>
      </c>
      <c r="AD110" s="150"/>
      <c r="AE110" s="27" t="str">
        <f t="shared" si="18"/>
        <v/>
      </c>
      <c r="AF110" s="48" t="str">
        <f t="shared" si="19"/>
        <v/>
      </c>
      <c r="AG110" s="48" t="str">
        <f t="shared" si="20"/>
        <v/>
      </c>
      <c r="AH110" s="131"/>
      <c r="AI110" s="149" t="str">
        <f t="shared" si="21"/>
        <v>Débil</v>
      </c>
      <c r="AJ110" s="21" t="str">
        <f>IFERROR(VLOOKUP((CONCATENATE(AG110,AI110)),Listados!$U$3:$V$11,2,FALSE),"")</f>
        <v/>
      </c>
      <c r="AK110" s="48">
        <f t="shared" si="22"/>
        <v>100</v>
      </c>
      <c r="AL110" s="431"/>
      <c r="AM110" s="433"/>
      <c r="AN110" s="169">
        <f>+IF(AND(Q110="Preventivo",AM109="Fuerte"),2,IF(AND(Q110="Preventivo",AM109="Moderado"),1,0))</f>
        <v>0</v>
      </c>
      <c r="AO110" s="169">
        <f t="shared" si="23"/>
        <v>2</v>
      </c>
      <c r="AP110" s="169" t="e">
        <f>+K109-AN110</f>
        <v>#VALUE!</v>
      </c>
      <c r="AQ110" s="169">
        <f>+M109-AO110</f>
        <v>1</v>
      </c>
      <c r="AR110" s="422"/>
      <c r="AS110" s="422"/>
      <c r="AT110" s="422"/>
      <c r="AU110" s="422"/>
      <c r="AV110" s="387"/>
      <c r="AW110" s="388"/>
      <c r="AX110" s="389"/>
      <c r="AY110" s="387"/>
      <c r="AZ110" s="388"/>
      <c r="BA110" s="389"/>
      <c r="BB110" s="387"/>
      <c r="BC110" s="388"/>
      <c r="BD110" s="389"/>
    </row>
    <row r="111" spans="1:56" ht="215.25" thickBot="1">
      <c r="A111" s="405"/>
      <c r="B111" s="407"/>
      <c r="C111" s="408"/>
      <c r="D111" s="409"/>
      <c r="E111" s="164"/>
      <c r="F111" s="164"/>
      <c r="G111" s="165" t="s">
        <v>351</v>
      </c>
      <c r="H111" s="165" t="s">
        <v>16</v>
      </c>
      <c r="I111" s="165" t="s">
        <v>352</v>
      </c>
      <c r="J111" s="407"/>
      <c r="K111" s="428"/>
      <c r="L111" s="428"/>
      <c r="M111" s="425"/>
      <c r="N111" s="435"/>
      <c r="O111" s="166" t="s">
        <v>353</v>
      </c>
      <c r="P111" s="164" t="s">
        <v>348</v>
      </c>
      <c r="Q111" s="166" t="s">
        <v>20</v>
      </c>
      <c r="R111" s="172"/>
      <c r="S111" s="27" t="str">
        <f t="shared" si="12"/>
        <v/>
      </c>
      <c r="T111" s="172"/>
      <c r="U111" s="27" t="str">
        <f t="shared" si="13"/>
        <v/>
      </c>
      <c r="V111" s="150"/>
      <c r="W111" s="27" t="str">
        <f t="shared" si="14"/>
        <v/>
      </c>
      <c r="X111" s="150"/>
      <c r="Y111" s="27" t="str">
        <f t="shared" si="15"/>
        <v/>
      </c>
      <c r="Z111" s="150"/>
      <c r="AA111" s="27" t="str">
        <f t="shared" si="16"/>
        <v/>
      </c>
      <c r="AB111" s="150"/>
      <c r="AC111" s="27" t="str">
        <f t="shared" si="17"/>
        <v/>
      </c>
      <c r="AD111" s="150"/>
      <c r="AE111" s="27" t="str">
        <f t="shared" si="18"/>
        <v/>
      </c>
      <c r="AF111" s="48" t="str">
        <f t="shared" si="19"/>
        <v/>
      </c>
      <c r="AG111" s="48" t="str">
        <f t="shared" si="20"/>
        <v/>
      </c>
      <c r="AH111" s="131"/>
      <c r="AI111" s="149" t="str">
        <f t="shared" si="21"/>
        <v>Débil</v>
      </c>
      <c r="AJ111" s="21" t="str">
        <f>IFERROR(VLOOKUP((CONCATENATE(AG111,AI111)),Listados!$U$3:$V$11,2,FALSE),"")</f>
        <v/>
      </c>
      <c r="AK111" s="48">
        <f t="shared" si="22"/>
        <v>100</v>
      </c>
      <c r="AL111" s="431"/>
      <c r="AM111" s="433"/>
      <c r="AN111" s="169">
        <f>+IF(AND(Q111="Preventivo",AM109="Fuerte"),2,IF(AND(Q111="Preventivo",AM109="Moderado"),1,0))</f>
        <v>2</v>
      </c>
      <c r="AO111" s="169">
        <f t="shared" si="23"/>
        <v>1</v>
      </c>
      <c r="AP111" s="169" t="e">
        <f>+K109-AN111</f>
        <v>#VALUE!</v>
      </c>
      <c r="AQ111" s="169">
        <f>+M109-AO111</f>
        <v>2</v>
      </c>
      <c r="AR111" s="422"/>
      <c r="AS111" s="422"/>
      <c r="AT111" s="422"/>
      <c r="AU111" s="422"/>
      <c r="AV111" s="387"/>
      <c r="AW111" s="388"/>
      <c r="AX111" s="389"/>
      <c r="AY111" s="387"/>
      <c r="AZ111" s="388"/>
      <c r="BA111" s="389"/>
      <c r="BB111" s="387"/>
      <c r="BC111" s="388"/>
      <c r="BD111" s="389"/>
    </row>
    <row r="112" spans="1:56" ht="43.5" thickBot="1">
      <c r="A112" s="405"/>
      <c r="B112" s="407"/>
      <c r="C112" s="408"/>
      <c r="D112" s="409"/>
      <c r="E112" s="164"/>
      <c r="F112" s="164"/>
      <c r="G112" s="165"/>
      <c r="H112" s="165"/>
      <c r="I112" s="165" t="s">
        <v>354</v>
      </c>
      <c r="J112" s="407"/>
      <c r="K112" s="428"/>
      <c r="L112" s="428"/>
      <c r="M112" s="425"/>
      <c r="N112" s="435"/>
      <c r="O112" s="164"/>
      <c r="P112" s="166"/>
      <c r="Q112" s="166"/>
      <c r="R112" s="172"/>
      <c r="S112" s="27" t="str">
        <f t="shared" si="12"/>
        <v/>
      </c>
      <c r="T112" s="172"/>
      <c r="U112" s="27" t="str">
        <f t="shared" si="13"/>
        <v/>
      </c>
      <c r="V112" s="150"/>
      <c r="W112" s="27" t="str">
        <f t="shared" si="14"/>
        <v/>
      </c>
      <c r="X112" s="150"/>
      <c r="Y112" s="27" t="str">
        <f t="shared" si="15"/>
        <v/>
      </c>
      <c r="Z112" s="150"/>
      <c r="AA112" s="27" t="str">
        <f t="shared" si="16"/>
        <v/>
      </c>
      <c r="AB112" s="150"/>
      <c r="AC112" s="27" t="str">
        <f t="shared" si="17"/>
        <v/>
      </c>
      <c r="AD112" s="150"/>
      <c r="AE112" s="27" t="str">
        <f t="shared" si="18"/>
        <v/>
      </c>
      <c r="AF112" s="48" t="str">
        <f t="shared" si="19"/>
        <v/>
      </c>
      <c r="AG112" s="48" t="str">
        <f t="shared" si="20"/>
        <v/>
      </c>
      <c r="AH112" s="131"/>
      <c r="AI112" s="149" t="str">
        <f t="shared" si="21"/>
        <v>Débil</v>
      </c>
      <c r="AJ112" s="21" t="str">
        <f>IFERROR(VLOOKUP((CONCATENATE(AG112,AI112)),Listados!$U$3:$V$11,2,FALSE),"")</f>
        <v/>
      </c>
      <c r="AK112" s="48">
        <f t="shared" si="22"/>
        <v>100</v>
      </c>
      <c r="AL112" s="431"/>
      <c r="AM112" s="433"/>
      <c r="AN112" s="169">
        <f>+IF(AND(Q112="Preventivo",AM109="Fuerte"),2,IF(AND(Q112="Preventivo",AM109="Moderado"),1,0))</f>
        <v>0</v>
      </c>
      <c r="AO112" s="169">
        <f t="shared" si="23"/>
        <v>0</v>
      </c>
      <c r="AP112" s="169" t="e">
        <f>+K109-AN112</f>
        <v>#VALUE!</v>
      </c>
      <c r="AQ112" s="169">
        <f>+M109-AO112</f>
        <v>3</v>
      </c>
      <c r="AR112" s="422"/>
      <c r="AS112" s="422"/>
      <c r="AT112" s="422"/>
      <c r="AU112" s="422"/>
      <c r="AV112" s="387"/>
      <c r="AW112" s="388"/>
      <c r="AX112" s="389"/>
      <c r="AY112" s="387"/>
      <c r="AZ112" s="388"/>
      <c r="BA112" s="389"/>
      <c r="BB112" s="387"/>
      <c r="BC112" s="388"/>
      <c r="BD112" s="389"/>
    </row>
    <row r="113" spans="1:56" ht="15.75" thickBot="1">
      <c r="A113" s="405"/>
      <c r="B113" s="407"/>
      <c r="C113" s="408"/>
      <c r="D113" s="409"/>
      <c r="E113" s="164"/>
      <c r="F113" s="164"/>
      <c r="G113" s="165"/>
      <c r="H113" s="165"/>
      <c r="I113" s="165"/>
      <c r="J113" s="407"/>
      <c r="K113" s="428"/>
      <c r="L113" s="428"/>
      <c r="M113" s="425"/>
      <c r="N113" s="435"/>
      <c r="O113" s="164"/>
      <c r="P113" s="166"/>
      <c r="Q113" s="166"/>
      <c r="R113" s="172"/>
      <c r="S113" s="27" t="str">
        <f t="shared" si="12"/>
        <v/>
      </c>
      <c r="T113" s="172"/>
      <c r="U113" s="27" t="str">
        <f t="shared" si="13"/>
        <v/>
      </c>
      <c r="V113" s="150"/>
      <c r="W113" s="27" t="str">
        <f t="shared" si="14"/>
        <v/>
      </c>
      <c r="X113" s="150"/>
      <c r="Y113" s="27" t="str">
        <f t="shared" si="15"/>
        <v/>
      </c>
      <c r="Z113" s="150"/>
      <c r="AA113" s="27" t="str">
        <f t="shared" si="16"/>
        <v/>
      </c>
      <c r="AB113" s="150"/>
      <c r="AC113" s="27" t="str">
        <f t="shared" si="17"/>
        <v/>
      </c>
      <c r="AD113" s="150"/>
      <c r="AE113" s="27" t="str">
        <f t="shared" si="18"/>
        <v/>
      </c>
      <c r="AF113" s="48" t="str">
        <f t="shared" si="19"/>
        <v/>
      </c>
      <c r="AG113" s="48" t="str">
        <f t="shared" si="20"/>
        <v/>
      </c>
      <c r="AH113" s="131"/>
      <c r="AI113" s="149" t="str">
        <f t="shared" si="21"/>
        <v>Débil</v>
      </c>
      <c r="AJ113" s="21" t="str">
        <f>IFERROR(VLOOKUP((CONCATENATE(AG113,AI113)),Listados!$U$3:$V$11,2,FALSE),"")</f>
        <v/>
      </c>
      <c r="AK113" s="48">
        <f t="shared" si="22"/>
        <v>100</v>
      </c>
      <c r="AL113" s="431"/>
      <c r="AM113" s="433"/>
      <c r="AN113" s="169">
        <f>+IF(AND(Q113="Preventivo",AM109="Fuerte"),2,IF(AND(Q113="Preventivo",AM109="Moderado"),1,0))</f>
        <v>0</v>
      </c>
      <c r="AO113" s="169">
        <f t="shared" si="23"/>
        <v>0</v>
      </c>
      <c r="AP113" s="169" t="e">
        <f>+K109-AN113</f>
        <v>#VALUE!</v>
      </c>
      <c r="AQ113" s="169">
        <f>+M109-AO113</f>
        <v>3</v>
      </c>
      <c r="AR113" s="422"/>
      <c r="AS113" s="422"/>
      <c r="AT113" s="422"/>
      <c r="AU113" s="422"/>
      <c r="AV113" s="387"/>
      <c r="AW113" s="388"/>
      <c r="AX113" s="389"/>
      <c r="AY113" s="387"/>
      <c r="AZ113" s="388"/>
      <c r="BA113" s="389"/>
      <c r="BB113" s="387"/>
      <c r="BC113" s="388"/>
      <c r="BD113" s="389"/>
    </row>
    <row r="114" spans="1:56" ht="15.75" thickBot="1">
      <c r="A114" s="406"/>
      <c r="B114" s="407"/>
      <c r="C114" s="408"/>
      <c r="D114" s="409"/>
      <c r="E114" s="164"/>
      <c r="F114" s="164"/>
      <c r="G114" s="165"/>
      <c r="H114" s="165"/>
      <c r="I114" s="165"/>
      <c r="J114" s="407"/>
      <c r="K114" s="428"/>
      <c r="L114" s="428"/>
      <c r="M114" s="426"/>
      <c r="N114" s="435"/>
      <c r="O114" s="164"/>
      <c r="P114" s="166"/>
      <c r="Q114" s="166"/>
      <c r="R114" s="172"/>
      <c r="S114" s="27" t="str">
        <f t="shared" si="12"/>
        <v/>
      </c>
      <c r="T114" s="172"/>
      <c r="U114" s="27" t="str">
        <f t="shared" si="13"/>
        <v/>
      </c>
      <c r="V114" s="150"/>
      <c r="W114" s="27" t="str">
        <f t="shared" si="14"/>
        <v/>
      </c>
      <c r="X114" s="150"/>
      <c r="Y114" s="27" t="str">
        <f t="shared" si="15"/>
        <v/>
      </c>
      <c r="Z114" s="150"/>
      <c r="AA114" s="27" t="str">
        <f t="shared" si="16"/>
        <v/>
      </c>
      <c r="AB114" s="150"/>
      <c r="AC114" s="27" t="str">
        <f t="shared" si="17"/>
        <v/>
      </c>
      <c r="AD114" s="150"/>
      <c r="AE114" s="27" t="str">
        <f t="shared" si="18"/>
        <v/>
      </c>
      <c r="AF114" s="48" t="str">
        <f t="shared" si="19"/>
        <v/>
      </c>
      <c r="AG114" s="48" t="str">
        <f t="shared" si="20"/>
        <v/>
      </c>
      <c r="AH114" s="131"/>
      <c r="AI114" s="149" t="str">
        <f t="shared" si="21"/>
        <v>Débil</v>
      </c>
      <c r="AJ114" s="21" t="str">
        <f>IFERROR(VLOOKUP((CONCATENATE(AG114,AI114)),Listados!$U$3:$V$11,2,FALSE),"")</f>
        <v/>
      </c>
      <c r="AK114" s="48">
        <f t="shared" si="22"/>
        <v>100</v>
      </c>
      <c r="AL114" s="432"/>
      <c r="AM114" s="433"/>
      <c r="AN114" s="169">
        <f>+IF(AND(Q114="Preventivo",AM109="Fuerte"),2,IF(AND(Q114="Preventivo",AM109="Moderado"),1,0))</f>
        <v>0</v>
      </c>
      <c r="AO114" s="169">
        <f t="shared" si="23"/>
        <v>0</v>
      </c>
      <c r="AP114" s="169" t="e">
        <f>+K109-AN114</f>
        <v>#VALUE!</v>
      </c>
      <c r="AQ114" s="169">
        <f>+M109-AO114</f>
        <v>3</v>
      </c>
      <c r="AR114" s="423"/>
      <c r="AS114" s="423"/>
      <c r="AT114" s="423"/>
      <c r="AU114" s="423"/>
      <c r="AV114" s="387"/>
      <c r="AW114" s="388"/>
      <c r="AX114" s="389"/>
      <c r="AY114" s="387"/>
      <c r="AZ114" s="388"/>
      <c r="BA114" s="389"/>
      <c r="BB114" s="387"/>
      <c r="BC114" s="388"/>
      <c r="BD114" s="389"/>
    </row>
    <row r="115" spans="1:56" ht="158.25" thickBot="1">
      <c r="A115" s="404">
        <v>19</v>
      </c>
      <c r="B115" s="407" t="s">
        <v>27</v>
      </c>
      <c r="C115" s="408" t="str">
        <f>IFERROR(VLOOKUP(B115,Listados!B$3:C$20,2,FALSE),"")</f>
        <v>Proveer información oportuna, confiable, veraz y accesible a clientes internos y externos del Ministerio de Justicia y del Derecho.</v>
      </c>
      <c r="D115" s="409" t="s">
        <v>355</v>
      </c>
      <c r="E115" s="164" t="s">
        <v>69</v>
      </c>
      <c r="F115" s="164"/>
      <c r="G115" s="165" t="s">
        <v>356</v>
      </c>
      <c r="H115" s="165" t="s">
        <v>16</v>
      </c>
      <c r="I115" s="165" t="s">
        <v>357</v>
      </c>
      <c r="J115" s="407" t="s">
        <v>21</v>
      </c>
      <c r="K115" s="424">
        <f>+VLOOKUP(J115,Listados!$K$8:$L$12,2,0)</f>
        <v>1</v>
      </c>
      <c r="L115" s="427" t="s">
        <v>64</v>
      </c>
      <c r="M115" s="424">
        <f>+VLOOKUP(L115,Listados!$K$13:$L$17,2,0)</f>
        <v>5</v>
      </c>
      <c r="N115" s="434" t="str">
        <f>IF(AND(J115&lt;&gt;"",L115&lt;&gt;""),VLOOKUP(J115&amp;L115,Listados!$M$3:$N$27,2,FALSE),"")</f>
        <v>Extremo</v>
      </c>
      <c r="O115" s="166" t="s">
        <v>358</v>
      </c>
      <c r="P115" s="164" t="s">
        <v>356</v>
      </c>
      <c r="Q115" s="165" t="s">
        <v>20</v>
      </c>
      <c r="R115" s="172"/>
      <c r="S115" s="27" t="str">
        <f t="shared" si="12"/>
        <v/>
      </c>
      <c r="T115" s="172"/>
      <c r="U115" s="27" t="str">
        <f t="shared" si="13"/>
        <v/>
      </c>
      <c r="V115" s="150"/>
      <c r="W115" s="27" t="str">
        <f t="shared" si="14"/>
        <v/>
      </c>
      <c r="X115" s="150"/>
      <c r="Y115" s="27" t="str">
        <f t="shared" si="15"/>
        <v/>
      </c>
      <c r="Z115" s="150"/>
      <c r="AA115" s="27" t="str">
        <f t="shared" si="16"/>
        <v/>
      </c>
      <c r="AB115" s="150"/>
      <c r="AC115" s="27" t="str">
        <f t="shared" si="17"/>
        <v/>
      </c>
      <c r="AD115" s="150"/>
      <c r="AE115" s="27" t="str">
        <f t="shared" si="18"/>
        <v/>
      </c>
      <c r="AF115" s="48" t="str">
        <f t="shared" si="19"/>
        <v/>
      </c>
      <c r="AG115" s="48" t="str">
        <f t="shared" si="20"/>
        <v/>
      </c>
      <c r="AH115" s="131"/>
      <c r="AI115" s="149" t="str">
        <f t="shared" si="21"/>
        <v>Débil</v>
      </c>
      <c r="AJ115" s="21" t="str">
        <f>IFERROR(VLOOKUP((CONCATENATE(AG115,AI115)),Listados!$U$3:$V$11,2,FALSE),"")</f>
        <v/>
      </c>
      <c r="AK115" s="48">
        <f t="shared" si="22"/>
        <v>100</v>
      </c>
      <c r="AL115" s="430">
        <f>AVERAGE(AK115:AK120)</f>
        <v>100</v>
      </c>
      <c r="AM115" s="432" t="str">
        <f>IF(AL115&lt;=50, "Débil", IF(AL115&lt;=99,"Moderado","Fuerte"))</f>
        <v>Fuerte</v>
      </c>
      <c r="AN115" s="169">
        <f>+IF(AND(Q115="Preventivo",AM115="Fuerte"),2,IF(AND(Q115="Preventivo",AM115="Moderado"),1,0))</f>
        <v>2</v>
      </c>
      <c r="AO115" s="169">
        <f t="shared" si="23"/>
        <v>1</v>
      </c>
      <c r="AP115" s="169">
        <f>+K115-AN115</f>
        <v>-1</v>
      </c>
      <c r="AQ115" s="169">
        <f>+M115-AO115</f>
        <v>4</v>
      </c>
      <c r="AR115" s="421" t="str">
        <f>+VLOOKUP(MIN(AP115,AP116,AP117,AP118,AP119,AP120),Listados!$J$18:$K$24,2,TRUE)</f>
        <v>Rara Vez</v>
      </c>
      <c r="AS115" s="421" t="str">
        <f>+VLOOKUP(MIN(AQ115,AQ116,AQ117,AQ118,AQ119,AQ120),Listados!$J$27:$K$32,2,TRUE)</f>
        <v>Mayor</v>
      </c>
      <c r="AT115" s="421" t="str">
        <f>IF(AND(AR115&lt;&gt;"",AS115&lt;&gt;""),VLOOKUP(AR115&amp;AS115,Listados!$M$3:$N$27,2,FALSE),"")</f>
        <v>Alto</v>
      </c>
      <c r="AU115" s="421" t="str">
        <f>+VLOOKUP(AT115,Listados!$P$3:$Q$6,2,FALSE)</f>
        <v>Reducir el riesgo</v>
      </c>
      <c r="AV115" s="387"/>
      <c r="AW115" s="388"/>
      <c r="AX115" s="389"/>
      <c r="AY115" s="387"/>
      <c r="AZ115" s="388"/>
      <c r="BA115" s="389"/>
      <c r="BB115" s="387"/>
      <c r="BC115" s="388"/>
      <c r="BD115" s="389"/>
    </row>
    <row r="116" spans="1:56" ht="129.75" thickBot="1">
      <c r="A116" s="405"/>
      <c r="B116" s="407"/>
      <c r="C116" s="408"/>
      <c r="D116" s="409"/>
      <c r="E116" s="164"/>
      <c r="F116" s="164"/>
      <c r="G116" s="165" t="s">
        <v>359</v>
      </c>
      <c r="H116" s="165" t="s">
        <v>16</v>
      </c>
      <c r="I116" s="165" t="s">
        <v>360</v>
      </c>
      <c r="J116" s="407"/>
      <c r="K116" s="425"/>
      <c r="L116" s="428"/>
      <c r="M116" s="425"/>
      <c r="N116" s="435"/>
      <c r="O116" s="166" t="s">
        <v>361</v>
      </c>
      <c r="P116" s="164" t="s">
        <v>359</v>
      </c>
      <c r="Q116" s="165" t="s">
        <v>20</v>
      </c>
      <c r="R116" s="172"/>
      <c r="S116" s="27" t="str">
        <f t="shared" si="12"/>
        <v/>
      </c>
      <c r="T116" s="172"/>
      <c r="U116" s="27" t="str">
        <f t="shared" si="13"/>
        <v/>
      </c>
      <c r="V116" s="150"/>
      <c r="W116" s="27" t="str">
        <f t="shared" si="14"/>
        <v/>
      </c>
      <c r="X116" s="150"/>
      <c r="Y116" s="27" t="str">
        <f t="shared" si="15"/>
        <v/>
      </c>
      <c r="Z116" s="150"/>
      <c r="AA116" s="27" t="str">
        <f t="shared" si="16"/>
        <v/>
      </c>
      <c r="AB116" s="150"/>
      <c r="AC116" s="27" t="str">
        <f t="shared" si="17"/>
        <v/>
      </c>
      <c r="AD116" s="150"/>
      <c r="AE116" s="27" t="str">
        <f t="shared" si="18"/>
        <v/>
      </c>
      <c r="AF116" s="48" t="str">
        <f t="shared" si="19"/>
        <v/>
      </c>
      <c r="AG116" s="48" t="str">
        <f t="shared" si="20"/>
        <v/>
      </c>
      <c r="AH116" s="131"/>
      <c r="AI116" s="149" t="str">
        <f t="shared" si="21"/>
        <v>Débil</v>
      </c>
      <c r="AJ116" s="21" t="str">
        <f>IFERROR(VLOOKUP((CONCATENATE(AG116,AI116)),Listados!$U$3:$V$11,2,FALSE),"")</f>
        <v/>
      </c>
      <c r="AK116" s="48">
        <f t="shared" si="22"/>
        <v>100</v>
      </c>
      <c r="AL116" s="431"/>
      <c r="AM116" s="433"/>
      <c r="AN116" s="169">
        <f>+IF(AND(Q116="Preventivo",AM115="Fuerte"),2,IF(AND(Q116="Preventivo",AM115="Moderado"),1,0))</f>
        <v>2</v>
      </c>
      <c r="AO116" s="169">
        <f t="shared" si="23"/>
        <v>1</v>
      </c>
      <c r="AP116" s="169">
        <f>+K115-AN116</f>
        <v>-1</v>
      </c>
      <c r="AQ116" s="169">
        <f>+M115-AO116</f>
        <v>4</v>
      </c>
      <c r="AR116" s="422"/>
      <c r="AS116" s="422"/>
      <c r="AT116" s="422"/>
      <c r="AU116" s="422"/>
      <c r="AV116" s="387"/>
      <c r="AW116" s="388"/>
      <c r="AX116" s="389"/>
      <c r="AY116" s="387"/>
      <c r="AZ116" s="388"/>
      <c r="BA116" s="389"/>
      <c r="BB116" s="387"/>
      <c r="BC116" s="388"/>
      <c r="BD116" s="389"/>
    </row>
    <row r="117" spans="1:56" ht="115.5" thickBot="1">
      <c r="A117" s="405"/>
      <c r="B117" s="407"/>
      <c r="C117" s="408"/>
      <c r="D117" s="409"/>
      <c r="E117" s="164"/>
      <c r="F117" s="164"/>
      <c r="G117" s="165" t="s">
        <v>362</v>
      </c>
      <c r="H117" s="165" t="s">
        <v>16</v>
      </c>
      <c r="I117" s="165" t="s">
        <v>363</v>
      </c>
      <c r="J117" s="407"/>
      <c r="K117" s="425"/>
      <c r="L117" s="428"/>
      <c r="M117" s="425"/>
      <c r="N117" s="435"/>
      <c r="O117" s="166" t="s">
        <v>364</v>
      </c>
      <c r="P117" s="164" t="s">
        <v>362</v>
      </c>
      <c r="Q117" s="165" t="s">
        <v>20</v>
      </c>
      <c r="R117" s="172"/>
      <c r="S117" s="27" t="str">
        <f t="shared" si="12"/>
        <v/>
      </c>
      <c r="T117" s="172"/>
      <c r="U117" s="27" t="str">
        <f t="shared" si="13"/>
        <v/>
      </c>
      <c r="V117" s="150"/>
      <c r="W117" s="27" t="str">
        <f t="shared" si="14"/>
        <v/>
      </c>
      <c r="X117" s="150"/>
      <c r="Y117" s="27" t="str">
        <f t="shared" si="15"/>
        <v/>
      </c>
      <c r="Z117" s="150"/>
      <c r="AA117" s="27" t="str">
        <f t="shared" si="16"/>
        <v/>
      </c>
      <c r="AB117" s="150"/>
      <c r="AC117" s="27" t="str">
        <f t="shared" si="17"/>
        <v/>
      </c>
      <c r="AD117" s="150"/>
      <c r="AE117" s="27" t="str">
        <f t="shared" si="18"/>
        <v/>
      </c>
      <c r="AF117" s="48" t="str">
        <f t="shared" si="19"/>
        <v/>
      </c>
      <c r="AG117" s="48" t="str">
        <f t="shared" si="20"/>
        <v/>
      </c>
      <c r="AH117" s="131"/>
      <c r="AI117" s="149" t="str">
        <f t="shared" si="21"/>
        <v>Débil</v>
      </c>
      <c r="AJ117" s="21" t="str">
        <f>IFERROR(VLOOKUP((CONCATENATE(AG117,AI117)),Listados!$U$3:$V$11,2,FALSE),"")</f>
        <v/>
      </c>
      <c r="AK117" s="48">
        <f t="shared" si="22"/>
        <v>100</v>
      </c>
      <c r="AL117" s="431"/>
      <c r="AM117" s="433"/>
      <c r="AN117" s="169">
        <f>+IF(AND(Q117="Preventivo",AM115="Fuerte"),2,IF(AND(Q117="Preventivo",AM115="Moderado"),1,0))</f>
        <v>2</v>
      </c>
      <c r="AO117" s="169">
        <f t="shared" si="23"/>
        <v>1</v>
      </c>
      <c r="AP117" s="169">
        <f>+K115-AN117</f>
        <v>-1</v>
      </c>
      <c r="AQ117" s="169">
        <f>+M115-AO117</f>
        <v>4</v>
      </c>
      <c r="AR117" s="422"/>
      <c r="AS117" s="422"/>
      <c r="AT117" s="422"/>
      <c r="AU117" s="422"/>
      <c r="AV117" s="387"/>
      <c r="AW117" s="388"/>
      <c r="AX117" s="389"/>
      <c r="AY117" s="387"/>
      <c r="AZ117" s="388"/>
      <c r="BA117" s="389"/>
      <c r="BB117" s="387"/>
      <c r="BC117" s="388"/>
      <c r="BD117" s="389"/>
    </row>
    <row r="118" spans="1:56" ht="15.75" thickBot="1">
      <c r="A118" s="405"/>
      <c r="B118" s="407"/>
      <c r="C118" s="408"/>
      <c r="D118" s="409"/>
      <c r="E118" s="164"/>
      <c r="F118" s="164"/>
      <c r="G118" s="165"/>
      <c r="H118" s="165"/>
      <c r="I118" s="165"/>
      <c r="J118" s="407"/>
      <c r="K118" s="425"/>
      <c r="L118" s="428"/>
      <c r="M118" s="425"/>
      <c r="N118" s="435"/>
      <c r="O118" s="164"/>
      <c r="P118" s="166"/>
      <c r="Q118" s="166"/>
      <c r="R118" s="172"/>
      <c r="S118" s="27" t="str">
        <f t="shared" si="12"/>
        <v/>
      </c>
      <c r="T118" s="172"/>
      <c r="U118" s="27" t="str">
        <f t="shared" si="13"/>
        <v/>
      </c>
      <c r="V118" s="150"/>
      <c r="W118" s="27" t="str">
        <f t="shared" si="14"/>
        <v/>
      </c>
      <c r="X118" s="150"/>
      <c r="Y118" s="27" t="str">
        <f t="shared" si="15"/>
        <v/>
      </c>
      <c r="Z118" s="150"/>
      <c r="AA118" s="27" t="str">
        <f t="shared" si="16"/>
        <v/>
      </c>
      <c r="AB118" s="150"/>
      <c r="AC118" s="27" t="str">
        <f t="shared" si="17"/>
        <v/>
      </c>
      <c r="AD118" s="150"/>
      <c r="AE118" s="27" t="str">
        <f t="shared" si="18"/>
        <v/>
      </c>
      <c r="AF118" s="48" t="str">
        <f t="shared" si="19"/>
        <v/>
      </c>
      <c r="AG118" s="48" t="str">
        <f t="shared" si="20"/>
        <v/>
      </c>
      <c r="AH118" s="131"/>
      <c r="AI118" s="149" t="str">
        <f t="shared" si="21"/>
        <v>Débil</v>
      </c>
      <c r="AJ118" s="21" t="str">
        <f>IFERROR(VLOOKUP((CONCATENATE(AG118,AI118)),Listados!$U$3:$V$11,2,FALSE),"")</f>
        <v/>
      </c>
      <c r="AK118" s="48">
        <f t="shared" si="22"/>
        <v>100</v>
      </c>
      <c r="AL118" s="431"/>
      <c r="AM118" s="433"/>
      <c r="AN118" s="169">
        <f>+IF(AND(Q118="Preventivo",AM115="Fuerte"),2,IF(AND(Q118="Preventivo",AM115="Moderado"),1,0))</f>
        <v>0</v>
      </c>
      <c r="AO118" s="169">
        <f t="shared" si="23"/>
        <v>0</v>
      </c>
      <c r="AP118" s="169">
        <f>+K115-AN118</f>
        <v>1</v>
      </c>
      <c r="AQ118" s="169">
        <f>+M115-AO118</f>
        <v>5</v>
      </c>
      <c r="AR118" s="422"/>
      <c r="AS118" s="422"/>
      <c r="AT118" s="422"/>
      <c r="AU118" s="422"/>
      <c r="AV118" s="387"/>
      <c r="AW118" s="388"/>
      <c r="AX118" s="389"/>
      <c r="AY118" s="387"/>
      <c r="AZ118" s="388"/>
      <c r="BA118" s="389"/>
      <c r="BB118" s="387"/>
      <c r="BC118" s="388"/>
      <c r="BD118" s="389"/>
    </row>
    <row r="119" spans="1:56" ht="15.75" thickBot="1">
      <c r="A119" s="405"/>
      <c r="B119" s="407"/>
      <c r="C119" s="408"/>
      <c r="D119" s="409"/>
      <c r="E119" s="164"/>
      <c r="F119" s="164"/>
      <c r="G119" s="165"/>
      <c r="H119" s="165"/>
      <c r="I119" s="165"/>
      <c r="J119" s="407"/>
      <c r="K119" s="425"/>
      <c r="L119" s="428"/>
      <c r="M119" s="425"/>
      <c r="N119" s="435"/>
      <c r="O119" s="164"/>
      <c r="P119" s="166"/>
      <c r="Q119" s="166"/>
      <c r="R119" s="172"/>
      <c r="S119" s="27" t="str">
        <f t="shared" si="12"/>
        <v/>
      </c>
      <c r="T119" s="172"/>
      <c r="U119" s="27" t="str">
        <f t="shared" si="13"/>
        <v/>
      </c>
      <c r="V119" s="150"/>
      <c r="W119" s="27" t="str">
        <f t="shared" si="14"/>
        <v/>
      </c>
      <c r="X119" s="150"/>
      <c r="Y119" s="27" t="str">
        <f t="shared" si="15"/>
        <v/>
      </c>
      <c r="Z119" s="150"/>
      <c r="AA119" s="27" t="str">
        <f t="shared" si="16"/>
        <v/>
      </c>
      <c r="AB119" s="150"/>
      <c r="AC119" s="27" t="str">
        <f t="shared" si="17"/>
        <v/>
      </c>
      <c r="AD119" s="150"/>
      <c r="AE119" s="27" t="str">
        <f t="shared" si="18"/>
        <v/>
      </c>
      <c r="AF119" s="48" t="str">
        <f t="shared" si="19"/>
        <v/>
      </c>
      <c r="AG119" s="48" t="str">
        <f t="shared" si="20"/>
        <v/>
      </c>
      <c r="AH119" s="131"/>
      <c r="AI119" s="149" t="str">
        <f t="shared" si="21"/>
        <v>Débil</v>
      </c>
      <c r="AJ119" s="21" t="str">
        <f>IFERROR(VLOOKUP((CONCATENATE(AG119,AI119)),Listados!$U$3:$V$11,2,FALSE),"")</f>
        <v/>
      </c>
      <c r="AK119" s="48">
        <f t="shared" si="22"/>
        <v>100</v>
      </c>
      <c r="AL119" s="431"/>
      <c r="AM119" s="433"/>
      <c r="AN119" s="169">
        <f>+IF(AND(Q119="Preventivo",AM115="Fuerte"),2,IF(AND(Q119="Preventivo",AM115="Moderado"),1,0))</f>
        <v>0</v>
      </c>
      <c r="AO119" s="169">
        <f t="shared" si="23"/>
        <v>0</v>
      </c>
      <c r="AP119" s="169">
        <f>+K115-AN119</f>
        <v>1</v>
      </c>
      <c r="AQ119" s="169">
        <f>+M115-AO119</f>
        <v>5</v>
      </c>
      <c r="AR119" s="422"/>
      <c r="AS119" s="422"/>
      <c r="AT119" s="422"/>
      <c r="AU119" s="422"/>
      <c r="AV119" s="387"/>
      <c r="AW119" s="388"/>
      <c r="AX119" s="389"/>
      <c r="AY119" s="387"/>
      <c r="AZ119" s="388"/>
      <c r="BA119" s="389"/>
      <c r="BB119" s="387"/>
      <c r="BC119" s="388"/>
      <c r="BD119" s="389"/>
    </row>
    <row r="120" spans="1:56" ht="15.75" thickBot="1">
      <c r="A120" s="406"/>
      <c r="B120" s="407"/>
      <c r="C120" s="408"/>
      <c r="D120" s="409"/>
      <c r="E120" s="164"/>
      <c r="F120" s="164"/>
      <c r="G120" s="165"/>
      <c r="H120" s="165"/>
      <c r="I120" s="165"/>
      <c r="J120" s="407"/>
      <c r="K120" s="426"/>
      <c r="L120" s="428"/>
      <c r="M120" s="426"/>
      <c r="N120" s="435"/>
      <c r="O120" s="164"/>
      <c r="P120" s="166"/>
      <c r="Q120" s="166"/>
      <c r="R120" s="172"/>
      <c r="S120" s="27" t="str">
        <f t="shared" si="12"/>
        <v/>
      </c>
      <c r="T120" s="172"/>
      <c r="U120" s="27" t="str">
        <f t="shared" si="13"/>
        <v/>
      </c>
      <c r="V120" s="150"/>
      <c r="W120" s="27" t="str">
        <f t="shared" si="14"/>
        <v/>
      </c>
      <c r="X120" s="150"/>
      <c r="Y120" s="27" t="str">
        <f t="shared" si="15"/>
        <v/>
      </c>
      <c r="Z120" s="150"/>
      <c r="AA120" s="27" t="str">
        <f t="shared" si="16"/>
        <v/>
      </c>
      <c r="AB120" s="150"/>
      <c r="AC120" s="27" t="str">
        <f t="shared" si="17"/>
        <v/>
      </c>
      <c r="AD120" s="150"/>
      <c r="AE120" s="27" t="str">
        <f t="shared" si="18"/>
        <v/>
      </c>
      <c r="AF120" s="48" t="str">
        <f t="shared" si="19"/>
        <v/>
      </c>
      <c r="AG120" s="48" t="str">
        <f t="shared" si="20"/>
        <v/>
      </c>
      <c r="AH120" s="131"/>
      <c r="AI120" s="149" t="str">
        <f t="shared" si="21"/>
        <v>Débil</v>
      </c>
      <c r="AJ120" s="21" t="str">
        <f>IFERROR(VLOOKUP((CONCATENATE(AG120,AI120)),Listados!$U$3:$V$11,2,FALSE),"")</f>
        <v/>
      </c>
      <c r="AK120" s="48">
        <f t="shared" si="22"/>
        <v>100</v>
      </c>
      <c r="AL120" s="432"/>
      <c r="AM120" s="433"/>
      <c r="AN120" s="169">
        <f>+IF(AND(Q120="Preventivo",AM115="Fuerte"),2,IF(AND(Q120="Preventivo",AM115="Moderado"),1,0))</f>
        <v>0</v>
      </c>
      <c r="AO120" s="169">
        <f t="shared" si="23"/>
        <v>0</v>
      </c>
      <c r="AP120" s="169">
        <f>+K115-AN120</f>
        <v>1</v>
      </c>
      <c r="AQ120" s="169">
        <f>+M115-AO120</f>
        <v>5</v>
      </c>
      <c r="AR120" s="423"/>
      <c r="AS120" s="423"/>
      <c r="AT120" s="423"/>
      <c r="AU120" s="423"/>
      <c r="AV120" s="387"/>
      <c r="AW120" s="388"/>
      <c r="AX120" s="389"/>
      <c r="AY120" s="387"/>
      <c r="AZ120" s="388"/>
      <c r="BA120" s="389"/>
      <c r="BB120" s="387"/>
      <c r="BC120" s="388"/>
      <c r="BD120" s="389"/>
    </row>
    <row r="121" spans="1:56" ht="172.5" thickBot="1">
      <c r="A121" s="404">
        <v>20</v>
      </c>
      <c r="B121" s="407" t="s">
        <v>74</v>
      </c>
      <c r="C121" s="408" t="str">
        <f>IFERROR(VLOOKUP(B121,Listados!B$3:C$20,2,FALSE),"")</f>
        <v>Formular proyectos de actos normativos de acuerdo con las políticas que orientan el sector Justicia y del Derecho,que sirven de herramienta para cumplir con los objetivos del Ministerio en beneficio de la comunidad y partes interesadas de acuerdo con el ordenamiento jurídico vigente.</v>
      </c>
      <c r="D121" s="409" t="s">
        <v>365</v>
      </c>
      <c r="E121" s="164" t="s">
        <v>15</v>
      </c>
      <c r="F121" s="164" t="s">
        <v>178</v>
      </c>
      <c r="G121" s="165" t="s">
        <v>366</v>
      </c>
      <c r="H121" s="165" t="s">
        <v>16</v>
      </c>
      <c r="I121" s="165" t="s">
        <v>367</v>
      </c>
      <c r="J121" s="407" t="s">
        <v>53</v>
      </c>
      <c r="K121" s="424">
        <f>+VLOOKUP(J121,Listados!$K$8:$L$12,2,0)</f>
        <v>4</v>
      </c>
      <c r="L121" s="427" t="s">
        <v>54</v>
      </c>
      <c r="M121" s="424">
        <f>+VLOOKUP(L121,Listados!$K$13:$L$17,2,0)</f>
        <v>4</v>
      </c>
      <c r="N121" s="434" t="str">
        <f>IF(AND(J121&lt;&gt;"",L121&lt;&gt;""),VLOOKUP(J121&amp;L121,Listados!$M$3:$N$27,2,FALSE),"")</f>
        <v>Extremo</v>
      </c>
      <c r="O121" s="166" t="s">
        <v>368</v>
      </c>
      <c r="P121" s="164" t="s">
        <v>366</v>
      </c>
      <c r="Q121" s="165" t="s">
        <v>20</v>
      </c>
      <c r="R121" s="172"/>
      <c r="S121" s="27" t="str">
        <f t="shared" si="12"/>
        <v/>
      </c>
      <c r="T121" s="172"/>
      <c r="U121" s="27" t="str">
        <f t="shared" si="13"/>
        <v/>
      </c>
      <c r="V121" s="150"/>
      <c r="W121" s="27" t="str">
        <f t="shared" si="14"/>
        <v/>
      </c>
      <c r="X121" s="150"/>
      <c r="Y121" s="27" t="str">
        <f t="shared" si="15"/>
        <v/>
      </c>
      <c r="Z121" s="150"/>
      <c r="AA121" s="27" t="str">
        <f t="shared" si="16"/>
        <v/>
      </c>
      <c r="AB121" s="150"/>
      <c r="AC121" s="27" t="str">
        <f t="shared" si="17"/>
        <v/>
      </c>
      <c r="AD121" s="150"/>
      <c r="AE121" s="27" t="str">
        <f t="shared" si="18"/>
        <v/>
      </c>
      <c r="AF121" s="48" t="str">
        <f t="shared" si="19"/>
        <v/>
      </c>
      <c r="AG121" s="48" t="str">
        <f t="shared" si="20"/>
        <v/>
      </c>
      <c r="AH121" s="131"/>
      <c r="AI121" s="149" t="str">
        <f t="shared" si="21"/>
        <v>Débil</v>
      </c>
      <c r="AJ121" s="21" t="str">
        <f>IFERROR(VLOOKUP((CONCATENATE(AG121,AI121)),Listados!$U$3:$V$11,2,FALSE),"")</f>
        <v/>
      </c>
      <c r="AK121" s="48">
        <f t="shared" si="22"/>
        <v>100</v>
      </c>
      <c r="AL121" s="430">
        <f>AVERAGE(AK121:AK126)</f>
        <v>100</v>
      </c>
      <c r="AM121" s="432" t="str">
        <f>IF(AL121&lt;=50, "Débil", IF(AL121&lt;=99,"Moderado","Fuerte"))</f>
        <v>Fuerte</v>
      </c>
      <c r="AN121" s="169">
        <f>+IF(AND(Q121="Preventivo",AM121="Fuerte"),2,IF(AND(Q121="Preventivo",AM121="Moderado"),1,0))</f>
        <v>2</v>
      </c>
      <c r="AO121" s="169">
        <f t="shared" si="23"/>
        <v>1</v>
      </c>
      <c r="AP121" s="169">
        <f>+K121-AN121</f>
        <v>2</v>
      </c>
      <c r="AQ121" s="169">
        <f>+M121-AO121</f>
        <v>3</v>
      </c>
      <c r="AR121" s="421" t="str">
        <f>+VLOOKUP(MIN(AP121,AP122,AP123,AP124,AP125,AP126),Listados!$J$18:$K$24,2,TRUE)</f>
        <v>Improbable</v>
      </c>
      <c r="AS121" s="421" t="str">
        <f>+VLOOKUP(MIN(AQ121,AQ122,AQ123,AQ124,AQ125,AQ126),Listados!$J$27:$K$32,2,TRUE)</f>
        <v>Moderado</v>
      </c>
      <c r="AT121" s="421" t="str">
        <f>IF(AND(AR121&lt;&gt;"",AS121&lt;&gt;""),VLOOKUP(AR121&amp;AS121,Listados!$M$3:$N$27,2,FALSE),"")</f>
        <v>Moderado</v>
      </c>
      <c r="AU121" s="421" t="str">
        <f>+VLOOKUP(AT121,Listados!$P$3:$Q$6,2,FALSE)</f>
        <v xml:space="preserve"> Reducir el riesgo</v>
      </c>
      <c r="AV121" s="387"/>
      <c r="AW121" s="388"/>
      <c r="AX121" s="389"/>
      <c r="AY121" s="387"/>
      <c r="AZ121" s="388"/>
      <c r="BA121" s="389"/>
      <c r="BB121" s="387"/>
      <c r="BC121" s="388"/>
      <c r="BD121" s="389"/>
    </row>
    <row r="122" spans="1:56" ht="172.5" thickBot="1">
      <c r="A122" s="405"/>
      <c r="B122" s="407"/>
      <c r="C122" s="408"/>
      <c r="D122" s="409"/>
      <c r="E122" s="164"/>
      <c r="F122" s="164" t="s">
        <v>335</v>
      </c>
      <c r="G122" s="165" t="s">
        <v>369</v>
      </c>
      <c r="H122" s="165" t="s">
        <v>16</v>
      </c>
      <c r="I122" s="165" t="s">
        <v>370</v>
      </c>
      <c r="J122" s="407"/>
      <c r="K122" s="425"/>
      <c r="L122" s="428"/>
      <c r="M122" s="425"/>
      <c r="N122" s="435"/>
      <c r="O122" s="166" t="s">
        <v>371</v>
      </c>
      <c r="P122" s="164" t="s">
        <v>369</v>
      </c>
      <c r="Q122" s="165" t="s">
        <v>20</v>
      </c>
      <c r="R122" s="172"/>
      <c r="S122" s="27" t="str">
        <f t="shared" si="12"/>
        <v/>
      </c>
      <c r="T122" s="172"/>
      <c r="U122" s="27" t="str">
        <f t="shared" si="13"/>
        <v/>
      </c>
      <c r="V122" s="150"/>
      <c r="W122" s="27" t="str">
        <f t="shared" si="14"/>
        <v/>
      </c>
      <c r="X122" s="150"/>
      <c r="Y122" s="27" t="str">
        <f t="shared" si="15"/>
        <v/>
      </c>
      <c r="Z122" s="150"/>
      <c r="AA122" s="27" t="str">
        <f t="shared" si="16"/>
        <v/>
      </c>
      <c r="AB122" s="150"/>
      <c r="AC122" s="27" t="str">
        <f t="shared" si="17"/>
        <v/>
      </c>
      <c r="AD122" s="150"/>
      <c r="AE122" s="27" t="str">
        <f t="shared" si="18"/>
        <v/>
      </c>
      <c r="AF122" s="48" t="str">
        <f t="shared" si="19"/>
        <v/>
      </c>
      <c r="AG122" s="48" t="str">
        <f t="shared" si="20"/>
        <v/>
      </c>
      <c r="AH122" s="131"/>
      <c r="AI122" s="149" t="str">
        <f t="shared" si="21"/>
        <v>Débil</v>
      </c>
      <c r="AJ122" s="21" t="str">
        <f>IFERROR(VLOOKUP((CONCATENATE(AG122,AI122)),Listados!$U$3:$V$11,2,FALSE),"")</f>
        <v/>
      </c>
      <c r="AK122" s="48">
        <f t="shared" si="22"/>
        <v>100</v>
      </c>
      <c r="AL122" s="431"/>
      <c r="AM122" s="433"/>
      <c r="AN122" s="169">
        <f>+IF(AND(Q122="Preventivo",AM121="Fuerte"),2,IF(AND(Q122="Preventivo",AM121="Moderado"),1,0))</f>
        <v>2</v>
      </c>
      <c r="AO122" s="169">
        <f t="shared" si="23"/>
        <v>1</v>
      </c>
      <c r="AP122" s="169">
        <f>+K121-AN122</f>
        <v>2</v>
      </c>
      <c r="AQ122" s="169">
        <f>+M121-AO122</f>
        <v>3</v>
      </c>
      <c r="AR122" s="422"/>
      <c r="AS122" s="422"/>
      <c r="AT122" s="422"/>
      <c r="AU122" s="422"/>
      <c r="AV122" s="387"/>
      <c r="AW122" s="388"/>
      <c r="AX122" s="389"/>
      <c r="AY122" s="387"/>
      <c r="AZ122" s="388"/>
      <c r="BA122" s="389"/>
      <c r="BB122" s="387"/>
      <c r="BC122" s="388"/>
      <c r="BD122" s="389"/>
    </row>
    <row r="123" spans="1:56" ht="129.75" thickBot="1">
      <c r="A123" s="405"/>
      <c r="B123" s="407"/>
      <c r="C123" s="408"/>
      <c r="D123" s="409"/>
      <c r="E123" s="164"/>
      <c r="F123" s="164"/>
      <c r="G123" s="165"/>
      <c r="H123" s="165"/>
      <c r="I123" s="165" t="s">
        <v>372</v>
      </c>
      <c r="J123" s="407"/>
      <c r="K123" s="425"/>
      <c r="L123" s="428"/>
      <c r="M123" s="425"/>
      <c r="N123" s="435"/>
      <c r="O123" s="166" t="s">
        <v>373</v>
      </c>
      <c r="P123" s="164" t="s">
        <v>369</v>
      </c>
      <c r="Q123" s="165" t="s">
        <v>20</v>
      </c>
      <c r="R123" s="172"/>
      <c r="S123" s="27" t="str">
        <f t="shared" si="12"/>
        <v/>
      </c>
      <c r="T123" s="172"/>
      <c r="U123" s="27" t="str">
        <f t="shared" si="13"/>
        <v/>
      </c>
      <c r="V123" s="150"/>
      <c r="W123" s="27" t="str">
        <f t="shared" si="14"/>
        <v/>
      </c>
      <c r="X123" s="150"/>
      <c r="Y123" s="27" t="str">
        <f t="shared" si="15"/>
        <v/>
      </c>
      <c r="Z123" s="150"/>
      <c r="AA123" s="27" t="str">
        <f t="shared" si="16"/>
        <v/>
      </c>
      <c r="AB123" s="150"/>
      <c r="AC123" s="27" t="str">
        <f t="shared" si="17"/>
        <v/>
      </c>
      <c r="AD123" s="150"/>
      <c r="AE123" s="27" t="str">
        <f t="shared" si="18"/>
        <v/>
      </c>
      <c r="AF123" s="48" t="str">
        <f t="shared" si="19"/>
        <v/>
      </c>
      <c r="AG123" s="48" t="str">
        <f t="shared" si="20"/>
        <v/>
      </c>
      <c r="AH123" s="131"/>
      <c r="AI123" s="149" t="str">
        <f t="shared" si="21"/>
        <v>Débil</v>
      </c>
      <c r="AJ123" s="21" t="str">
        <f>IFERROR(VLOOKUP((CONCATENATE(AG123,AI123)),Listados!$U$3:$V$11,2,FALSE),"")</f>
        <v/>
      </c>
      <c r="AK123" s="48">
        <f t="shared" si="22"/>
        <v>100</v>
      </c>
      <c r="AL123" s="431"/>
      <c r="AM123" s="433"/>
      <c r="AN123" s="169">
        <f>+IF(AND(Q123="Preventivo",AM121="Fuerte"),2,IF(AND(Q123="Preventivo",AM121="Moderado"),1,0))</f>
        <v>2</v>
      </c>
      <c r="AO123" s="169">
        <f t="shared" si="23"/>
        <v>1</v>
      </c>
      <c r="AP123" s="169">
        <f>+K121-AN123</f>
        <v>2</v>
      </c>
      <c r="AQ123" s="169">
        <f>+M121-AO123</f>
        <v>3</v>
      </c>
      <c r="AR123" s="422"/>
      <c r="AS123" s="422"/>
      <c r="AT123" s="422"/>
      <c r="AU123" s="422"/>
      <c r="AV123" s="387"/>
      <c r="AW123" s="388"/>
      <c r="AX123" s="389"/>
      <c r="AY123" s="387"/>
      <c r="AZ123" s="388"/>
      <c r="BA123" s="389"/>
      <c r="BB123" s="387"/>
      <c r="BC123" s="388"/>
      <c r="BD123" s="389"/>
    </row>
    <row r="124" spans="1:56" ht="15.75" thickBot="1">
      <c r="A124" s="405"/>
      <c r="B124" s="407"/>
      <c r="C124" s="408"/>
      <c r="D124" s="409"/>
      <c r="E124" s="164"/>
      <c r="F124" s="164"/>
      <c r="G124" s="165"/>
      <c r="H124" s="165"/>
      <c r="I124" s="165"/>
      <c r="J124" s="407"/>
      <c r="K124" s="425"/>
      <c r="L124" s="428"/>
      <c r="M124" s="425"/>
      <c r="N124" s="435"/>
      <c r="O124" s="164"/>
      <c r="P124" s="166"/>
      <c r="Q124" s="166"/>
      <c r="R124" s="172"/>
      <c r="S124" s="27" t="str">
        <f t="shared" si="12"/>
        <v/>
      </c>
      <c r="T124" s="172"/>
      <c r="U124" s="27" t="str">
        <f t="shared" si="13"/>
        <v/>
      </c>
      <c r="V124" s="150"/>
      <c r="W124" s="27" t="str">
        <f t="shared" si="14"/>
        <v/>
      </c>
      <c r="X124" s="150"/>
      <c r="Y124" s="27" t="str">
        <f t="shared" si="15"/>
        <v/>
      </c>
      <c r="Z124" s="150"/>
      <c r="AA124" s="27" t="str">
        <f t="shared" si="16"/>
        <v/>
      </c>
      <c r="AB124" s="150"/>
      <c r="AC124" s="27" t="str">
        <f t="shared" si="17"/>
        <v/>
      </c>
      <c r="AD124" s="150"/>
      <c r="AE124" s="27" t="str">
        <f t="shared" si="18"/>
        <v/>
      </c>
      <c r="AF124" s="48" t="str">
        <f t="shared" si="19"/>
        <v/>
      </c>
      <c r="AG124" s="48" t="str">
        <f t="shared" si="20"/>
        <v/>
      </c>
      <c r="AH124" s="131"/>
      <c r="AI124" s="149" t="str">
        <f t="shared" si="21"/>
        <v>Débil</v>
      </c>
      <c r="AJ124" s="21" t="str">
        <f>IFERROR(VLOOKUP((CONCATENATE(AG124,AI124)),Listados!$U$3:$V$11,2,FALSE),"")</f>
        <v/>
      </c>
      <c r="AK124" s="48">
        <f t="shared" si="22"/>
        <v>100</v>
      </c>
      <c r="AL124" s="431"/>
      <c r="AM124" s="433"/>
      <c r="AN124" s="169">
        <f>+IF(AND(Q124="Preventivo",AM121="Fuerte"),2,IF(AND(Q124="Preventivo",AM121="Moderado"),1,0))</f>
        <v>0</v>
      </c>
      <c r="AO124" s="169">
        <f t="shared" si="23"/>
        <v>0</v>
      </c>
      <c r="AP124" s="169">
        <f>+K121-AN124</f>
        <v>4</v>
      </c>
      <c r="AQ124" s="169">
        <f>+M121-AO124</f>
        <v>4</v>
      </c>
      <c r="AR124" s="422"/>
      <c r="AS124" s="422"/>
      <c r="AT124" s="422"/>
      <c r="AU124" s="422"/>
      <c r="AV124" s="387"/>
      <c r="AW124" s="388"/>
      <c r="AX124" s="389"/>
      <c r="AY124" s="387"/>
      <c r="AZ124" s="388"/>
      <c r="BA124" s="389"/>
      <c r="BB124" s="387"/>
      <c r="BC124" s="388"/>
      <c r="BD124" s="389"/>
    </row>
    <row r="125" spans="1:56" ht="15.75" thickBot="1">
      <c r="A125" s="405"/>
      <c r="B125" s="407"/>
      <c r="C125" s="408"/>
      <c r="D125" s="409"/>
      <c r="E125" s="164"/>
      <c r="F125" s="164"/>
      <c r="G125" s="165"/>
      <c r="H125" s="165"/>
      <c r="I125" s="165"/>
      <c r="J125" s="407"/>
      <c r="K125" s="425"/>
      <c r="L125" s="428"/>
      <c r="M125" s="425"/>
      <c r="N125" s="435"/>
      <c r="O125" s="164"/>
      <c r="P125" s="166"/>
      <c r="Q125" s="166"/>
      <c r="R125" s="172"/>
      <c r="S125" s="27" t="str">
        <f t="shared" si="12"/>
        <v/>
      </c>
      <c r="T125" s="172"/>
      <c r="U125" s="27" t="str">
        <f t="shared" si="13"/>
        <v/>
      </c>
      <c r="V125" s="150"/>
      <c r="W125" s="27" t="str">
        <f t="shared" si="14"/>
        <v/>
      </c>
      <c r="X125" s="150"/>
      <c r="Y125" s="27" t="str">
        <f t="shared" si="15"/>
        <v/>
      </c>
      <c r="Z125" s="150"/>
      <c r="AA125" s="27" t="str">
        <f t="shared" si="16"/>
        <v/>
      </c>
      <c r="AB125" s="150"/>
      <c r="AC125" s="27" t="str">
        <f t="shared" si="17"/>
        <v/>
      </c>
      <c r="AD125" s="150"/>
      <c r="AE125" s="27" t="str">
        <f t="shared" si="18"/>
        <v/>
      </c>
      <c r="AF125" s="48" t="str">
        <f t="shared" si="19"/>
        <v/>
      </c>
      <c r="AG125" s="48" t="str">
        <f t="shared" si="20"/>
        <v/>
      </c>
      <c r="AH125" s="131"/>
      <c r="AI125" s="149" t="str">
        <f t="shared" si="21"/>
        <v>Débil</v>
      </c>
      <c r="AJ125" s="21" t="str">
        <f>IFERROR(VLOOKUP((CONCATENATE(AG125,AI125)),Listados!$U$3:$V$11,2,FALSE),"")</f>
        <v/>
      </c>
      <c r="AK125" s="48">
        <f t="shared" si="22"/>
        <v>100</v>
      </c>
      <c r="AL125" s="431"/>
      <c r="AM125" s="433"/>
      <c r="AN125" s="169">
        <f>+IF(AND(Q125="Preventivo",AM121="Fuerte"),2,IF(AND(Q125="Preventivo",AM121="Moderado"),1,0))</f>
        <v>0</v>
      </c>
      <c r="AO125" s="169">
        <f t="shared" si="23"/>
        <v>0</v>
      </c>
      <c r="AP125" s="169">
        <f>+K121-AN125</f>
        <v>4</v>
      </c>
      <c r="AQ125" s="169">
        <f>+M121-AO125</f>
        <v>4</v>
      </c>
      <c r="AR125" s="422"/>
      <c r="AS125" s="422"/>
      <c r="AT125" s="422"/>
      <c r="AU125" s="422"/>
      <c r="AV125" s="387"/>
      <c r="AW125" s="388"/>
      <c r="AX125" s="389"/>
      <c r="AY125" s="387"/>
      <c r="AZ125" s="388"/>
      <c r="BA125" s="389"/>
      <c r="BB125" s="387"/>
      <c r="BC125" s="388"/>
      <c r="BD125" s="389"/>
    </row>
    <row r="126" spans="1:56" ht="15.75" thickBot="1">
      <c r="A126" s="406"/>
      <c r="B126" s="407"/>
      <c r="C126" s="408"/>
      <c r="D126" s="409"/>
      <c r="E126" s="164"/>
      <c r="F126" s="164"/>
      <c r="G126" s="165"/>
      <c r="H126" s="165"/>
      <c r="I126" s="165"/>
      <c r="J126" s="407"/>
      <c r="K126" s="426"/>
      <c r="L126" s="428"/>
      <c r="M126" s="426"/>
      <c r="N126" s="435"/>
      <c r="O126" s="164"/>
      <c r="P126" s="166"/>
      <c r="Q126" s="166"/>
      <c r="R126" s="172"/>
      <c r="S126" s="27" t="str">
        <f t="shared" si="12"/>
        <v/>
      </c>
      <c r="T126" s="172"/>
      <c r="U126" s="27" t="str">
        <f t="shared" si="13"/>
        <v/>
      </c>
      <c r="V126" s="150"/>
      <c r="W126" s="27" t="str">
        <f t="shared" si="14"/>
        <v/>
      </c>
      <c r="X126" s="150"/>
      <c r="Y126" s="27" t="str">
        <f t="shared" si="15"/>
        <v/>
      </c>
      <c r="Z126" s="150"/>
      <c r="AA126" s="27" t="str">
        <f t="shared" si="16"/>
        <v/>
      </c>
      <c r="AB126" s="150"/>
      <c r="AC126" s="27" t="str">
        <f t="shared" si="17"/>
        <v/>
      </c>
      <c r="AD126" s="150"/>
      <c r="AE126" s="27" t="str">
        <f t="shared" si="18"/>
        <v/>
      </c>
      <c r="AF126" s="48" t="str">
        <f t="shared" si="19"/>
        <v/>
      </c>
      <c r="AG126" s="48" t="str">
        <f t="shared" si="20"/>
        <v/>
      </c>
      <c r="AH126" s="131"/>
      <c r="AI126" s="149" t="str">
        <f t="shared" si="21"/>
        <v>Débil</v>
      </c>
      <c r="AJ126" s="21" t="str">
        <f>IFERROR(VLOOKUP((CONCATENATE(AG126,AI126)),Listados!$U$3:$V$11,2,FALSE),"")</f>
        <v/>
      </c>
      <c r="AK126" s="48">
        <f t="shared" si="22"/>
        <v>100</v>
      </c>
      <c r="AL126" s="432"/>
      <c r="AM126" s="433"/>
      <c r="AN126" s="169">
        <f>+IF(AND(Q126="Preventivo",AM121="Fuerte"),2,IF(AND(Q126="Preventivo",AM121="Moderado"),1,0))</f>
        <v>0</v>
      </c>
      <c r="AO126" s="169">
        <f t="shared" si="23"/>
        <v>0</v>
      </c>
      <c r="AP126" s="169">
        <f>+K121-AN126</f>
        <v>4</v>
      </c>
      <c r="AQ126" s="169">
        <f>+M121-AO126</f>
        <v>4</v>
      </c>
      <c r="AR126" s="423"/>
      <c r="AS126" s="423"/>
      <c r="AT126" s="423"/>
      <c r="AU126" s="423"/>
      <c r="AV126" s="387"/>
      <c r="AW126" s="388"/>
      <c r="AX126" s="389"/>
      <c r="AY126" s="387"/>
      <c r="AZ126" s="388"/>
      <c r="BA126" s="389"/>
      <c r="BB126" s="387"/>
      <c r="BC126" s="388"/>
      <c r="BD126" s="389"/>
    </row>
    <row r="127" spans="1:56" ht="172.5" thickBot="1">
      <c r="A127" s="404">
        <v>21</v>
      </c>
      <c r="B127" s="407" t="s">
        <v>95</v>
      </c>
      <c r="C127" s="408"/>
      <c r="D127" s="407" t="s">
        <v>374</v>
      </c>
      <c r="E127" s="164" t="s">
        <v>52</v>
      </c>
      <c r="F127" s="164"/>
      <c r="G127" s="165" t="s">
        <v>375</v>
      </c>
      <c r="H127" s="165" t="s">
        <v>16</v>
      </c>
      <c r="I127" s="165" t="s">
        <v>376</v>
      </c>
      <c r="J127" s="408" t="s">
        <v>44</v>
      </c>
      <c r="K127" s="424">
        <f>+VLOOKUP(J127,Listados!$K$8:$L$12,2,0)</f>
        <v>3</v>
      </c>
      <c r="L127" s="426" t="s">
        <v>54</v>
      </c>
      <c r="M127" s="424">
        <f>+VLOOKUP(L127,Listados!$K$13:$L$17,2,0)</f>
        <v>4</v>
      </c>
      <c r="N127" s="434" t="str">
        <f>IF(AND(J127&lt;&gt;"",L127&lt;&gt;""),VLOOKUP(J127&amp;L127,Listados!$M$3:$N$27,2,FALSE),"")</f>
        <v>Extremo</v>
      </c>
      <c r="O127" s="183" t="s">
        <v>377</v>
      </c>
      <c r="P127" s="179" t="s">
        <v>378</v>
      </c>
      <c r="Q127" s="182" t="s">
        <v>20</v>
      </c>
      <c r="R127" s="172"/>
      <c r="S127" s="27" t="str">
        <f t="shared" si="12"/>
        <v/>
      </c>
      <c r="T127" s="172"/>
      <c r="U127" s="27" t="str">
        <f t="shared" si="13"/>
        <v/>
      </c>
      <c r="V127" s="150"/>
      <c r="W127" s="27" t="str">
        <f t="shared" si="14"/>
        <v/>
      </c>
      <c r="X127" s="150"/>
      <c r="Y127" s="27" t="str">
        <f t="shared" si="15"/>
        <v/>
      </c>
      <c r="Z127" s="150"/>
      <c r="AA127" s="27" t="str">
        <f t="shared" si="16"/>
        <v/>
      </c>
      <c r="AB127" s="150"/>
      <c r="AC127" s="27" t="str">
        <f t="shared" si="17"/>
        <v/>
      </c>
      <c r="AD127" s="150"/>
      <c r="AE127" s="27" t="str">
        <f t="shared" si="18"/>
        <v/>
      </c>
      <c r="AF127" s="48" t="str">
        <f t="shared" si="19"/>
        <v/>
      </c>
      <c r="AG127" s="48" t="str">
        <f t="shared" si="20"/>
        <v/>
      </c>
      <c r="AH127" s="131"/>
      <c r="AI127" s="149" t="str">
        <f t="shared" si="21"/>
        <v>Débil</v>
      </c>
      <c r="AJ127" s="21" t="str">
        <f>IFERROR(VLOOKUP((CONCATENATE(AG127,AI127)),Listados!$U$3:$V$11,2,FALSE),"")</f>
        <v/>
      </c>
      <c r="AK127" s="48">
        <f t="shared" si="22"/>
        <v>100</v>
      </c>
      <c r="AL127" s="430">
        <f>AVERAGE(AK127:AK132)</f>
        <v>100</v>
      </c>
      <c r="AM127" s="432" t="str">
        <f>IF(AL127&lt;=50, "Débil", IF(AL127&lt;=99,"Moderado","Fuerte"))</f>
        <v>Fuerte</v>
      </c>
      <c r="AN127" s="169">
        <f>+IF(AND(Q127="Preventivo",AM127="Fuerte"),2,IF(AND(Q127="Preventivo",AM127="Moderado"),1,0))</f>
        <v>2</v>
      </c>
      <c r="AO127" s="169">
        <f t="shared" si="23"/>
        <v>1</v>
      </c>
      <c r="AP127" s="169">
        <f>+K127-AN127</f>
        <v>1</v>
      </c>
      <c r="AQ127" s="169">
        <f>+M127-AO127</f>
        <v>3</v>
      </c>
      <c r="AR127" s="421" t="str">
        <f>+VLOOKUP(MIN(AP127,AP128,AP129,AP130,AP131,AP132),Listados!$J$18:$K$24,2,TRUE)</f>
        <v>Rara Vez</v>
      </c>
      <c r="AS127" s="421" t="str">
        <f>+VLOOKUP(MIN(AQ127,AQ128,AQ129,AQ130,AQ131,AQ132),Listados!$J$27:$K$32,2,TRUE)</f>
        <v>Menor</v>
      </c>
      <c r="AT127" s="421" t="str">
        <f>IF(AND(AR127&lt;&gt;"",AS127&lt;&gt;""),VLOOKUP(AR127&amp;AS127,Listados!$M$3:$N$27,2,FALSE),"")</f>
        <v>Bajo</v>
      </c>
      <c r="AU127" s="421" t="str">
        <f>+VLOOKUP(AT127,Listados!$P$3:$Q$6,2,FALSE)</f>
        <v>Asumir el riesgo</v>
      </c>
      <c r="AV127" s="387"/>
      <c r="AW127" s="388"/>
      <c r="AX127" s="389"/>
      <c r="AY127" s="387"/>
      <c r="AZ127" s="388"/>
      <c r="BA127" s="389"/>
      <c r="BB127" s="387"/>
      <c r="BC127" s="388"/>
      <c r="BD127" s="389"/>
    </row>
    <row r="128" spans="1:56" ht="158.25" thickBot="1">
      <c r="A128" s="405"/>
      <c r="B128" s="407"/>
      <c r="C128" s="408"/>
      <c r="D128" s="407"/>
      <c r="E128" s="164"/>
      <c r="F128" s="164"/>
      <c r="G128" s="165" t="s">
        <v>379</v>
      </c>
      <c r="H128" s="165" t="s">
        <v>16</v>
      </c>
      <c r="I128" s="165" t="s">
        <v>268</v>
      </c>
      <c r="J128" s="408"/>
      <c r="K128" s="425"/>
      <c r="L128" s="438"/>
      <c r="M128" s="425"/>
      <c r="N128" s="435"/>
      <c r="O128" s="183" t="s">
        <v>380</v>
      </c>
      <c r="P128" s="179" t="s">
        <v>378</v>
      </c>
      <c r="Q128" s="182" t="s">
        <v>123</v>
      </c>
      <c r="R128" s="172"/>
      <c r="S128" s="27" t="str">
        <f t="shared" si="12"/>
        <v/>
      </c>
      <c r="T128" s="172"/>
      <c r="U128" s="27" t="str">
        <f t="shared" si="13"/>
        <v/>
      </c>
      <c r="V128" s="150"/>
      <c r="W128" s="27" t="str">
        <f t="shared" si="14"/>
        <v/>
      </c>
      <c r="X128" s="150"/>
      <c r="Y128" s="27" t="str">
        <f t="shared" si="15"/>
        <v/>
      </c>
      <c r="Z128" s="150"/>
      <c r="AA128" s="27" t="str">
        <f t="shared" si="16"/>
        <v/>
      </c>
      <c r="AB128" s="150"/>
      <c r="AC128" s="27" t="str">
        <f t="shared" si="17"/>
        <v/>
      </c>
      <c r="AD128" s="150"/>
      <c r="AE128" s="27" t="str">
        <f t="shared" si="18"/>
        <v/>
      </c>
      <c r="AF128" s="48" t="str">
        <f t="shared" si="19"/>
        <v/>
      </c>
      <c r="AG128" s="48" t="str">
        <f t="shared" si="20"/>
        <v/>
      </c>
      <c r="AH128" s="131"/>
      <c r="AI128" s="149" t="str">
        <f t="shared" si="21"/>
        <v>Débil</v>
      </c>
      <c r="AJ128" s="21" t="str">
        <f>IFERROR(VLOOKUP((CONCATENATE(AG128,AI128)),Listados!$U$3:$V$11,2,FALSE),"")</f>
        <v/>
      </c>
      <c r="AK128" s="48">
        <f t="shared" si="22"/>
        <v>100</v>
      </c>
      <c r="AL128" s="431"/>
      <c r="AM128" s="433"/>
      <c r="AN128" s="169">
        <f>+IF(AND(Q128="Preventivo",AM127="Fuerte"),2,IF(AND(Q128="Preventivo",AM127="Moderado"),1,0))</f>
        <v>0</v>
      </c>
      <c r="AO128" s="169">
        <f t="shared" si="23"/>
        <v>2</v>
      </c>
      <c r="AP128" s="169">
        <f>+K127-AN128</f>
        <v>3</v>
      </c>
      <c r="AQ128" s="169">
        <f>+M127-AO128</f>
        <v>2</v>
      </c>
      <c r="AR128" s="422"/>
      <c r="AS128" s="422"/>
      <c r="AT128" s="422"/>
      <c r="AU128" s="422"/>
      <c r="AV128" s="387"/>
      <c r="AW128" s="388"/>
      <c r="AX128" s="389"/>
      <c r="AY128" s="387"/>
      <c r="AZ128" s="388"/>
      <c r="BA128" s="389"/>
      <c r="BB128" s="387"/>
      <c r="BC128" s="388"/>
      <c r="BD128" s="389"/>
    </row>
    <row r="129" spans="1:56" ht="172.5" thickBot="1">
      <c r="A129" s="405"/>
      <c r="B129" s="407"/>
      <c r="C129" s="408"/>
      <c r="D129" s="407"/>
      <c r="E129" s="164"/>
      <c r="F129" s="164"/>
      <c r="G129" s="165" t="s">
        <v>378</v>
      </c>
      <c r="H129" s="165" t="s">
        <v>16</v>
      </c>
      <c r="I129" s="165" t="s">
        <v>381</v>
      </c>
      <c r="J129" s="408"/>
      <c r="K129" s="425"/>
      <c r="L129" s="438"/>
      <c r="M129" s="425"/>
      <c r="N129" s="435"/>
      <c r="O129" s="185" t="s">
        <v>382</v>
      </c>
      <c r="P129" s="179" t="s">
        <v>383</v>
      </c>
      <c r="Q129" s="182" t="s">
        <v>20</v>
      </c>
      <c r="R129" s="172"/>
      <c r="S129" s="27" t="str">
        <f t="shared" si="12"/>
        <v/>
      </c>
      <c r="T129" s="172"/>
      <c r="U129" s="27" t="str">
        <f t="shared" si="13"/>
        <v/>
      </c>
      <c r="V129" s="150"/>
      <c r="W129" s="27" t="str">
        <f t="shared" si="14"/>
        <v/>
      </c>
      <c r="X129" s="150"/>
      <c r="Y129" s="27" t="str">
        <f t="shared" si="15"/>
        <v/>
      </c>
      <c r="Z129" s="150"/>
      <c r="AA129" s="27" t="str">
        <f t="shared" si="16"/>
        <v/>
      </c>
      <c r="AB129" s="150"/>
      <c r="AC129" s="27" t="str">
        <f t="shared" si="17"/>
        <v/>
      </c>
      <c r="AD129" s="150"/>
      <c r="AE129" s="27" t="str">
        <f t="shared" si="18"/>
        <v/>
      </c>
      <c r="AF129" s="48" t="str">
        <f t="shared" si="19"/>
        <v/>
      </c>
      <c r="AG129" s="48" t="str">
        <f t="shared" si="20"/>
        <v/>
      </c>
      <c r="AH129" s="131"/>
      <c r="AI129" s="149" t="str">
        <f t="shared" si="21"/>
        <v>Débil</v>
      </c>
      <c r="AJ129" s="21" t="str">
        <f>IFERROR(VLOOKUP((CONCATENATE(AG129,AI129)),Listados!$U$3:$V$11,2,FALSE),"")</f>
        <v/>
      </c>
      <c r="AK129" s="48">
        <f t="shared" si="22"/>
        <v>100</v>
      </c>
      <c r="AL129" s="431"/>
      <c r="AM129" s="433"/>
      <c r="AN129" s="169">
        <f>+IF(AND(Q129="Preventivo",AM127="Fuerte"),2,IF(AND(Q129="Preventivo",AM127="Moderado"),1,0))</f>
        <v>2</v>
      </c>
      <c r="AO129" s="169">
        <f t="shared" si="23"/>
        <v>1</v>
      </c>
      <c r="AP129" s="169">
        <f>+K127-AN129</f>
        <v>1</v>
      </c>
      <c r="AQ129" s="169">
        <f>+M127-AO129</f>
        <v>3</v>
      </c>
      <c r="AR129" s="422"/>
      <c r="AS129" s="422"/>
      <c r="AT129" s="422"/>
      <c r="AU129" s="422"/>
      <c r="AV129" s="387"/>
      <c r="AW129" s="388"/>
      <c r="AX129" s="389"/>
      <c r="AY129" s="387"/>
      <c r="AZ129" s="388"/>
      <c r="BA129" s="389"/>
      <c r="BB129" s="387"/>
      <c r="BC129" s="388"/>
      <c r="BD129" s="389"/>
    </row>
    <row r="130" spans="1:56" ht="172.5" thickBot="1">
      <c r="A130" s="405"/>
      <c r="B130" s="407"/>
      <c r="C130" s="408"/>
      <c r="D130" s="407"/>
      <c r="E130" s="164"/>
      <c r="F130" s="164"/>
      <c r="G130" s="165"/>
      <c r="H130" s="165"/>
      <c r="I130" s="165"/>
      <c r="J130" s="408"/>
      <c r="K130" s="425"/>
      <c r="L130" s="438"/>
      <c r="M130" s="425"/>
      <c r="N130" s="435"/>
      <c r="O130" s="183" t="s">
        <v>384</v>
      </c>
      <c r="P130" s="179" t="s">
        <v>379</v>
      </c>
      <c r="Q130" s="182" t="s">
        <v>20</v>
      </c>
      <c r="R130" s="172"/>
      <c r="S130" s="27" t="str">
        <f t="shared" si="12"/>
        <v/>
      </c>
      <c r="T130" s="172"/>
      <c r="U130" s="27" t="str">
        <f t="shared" si="13"/>
        <v/>
      </c>
      <c r="V130" s="150"/>
      <c r="W130" s="27" t="str">
        <f t="shared" si="14"/>
        <v/>
      </c>
      <c r="X130" s="150"/>
      <c r="Y130" s="27" t="str">
        <f t="shared" si="15"/>
        <v/>
      </c>
      <c r="Z130" s="150"/>
      <c r="AA130" s="27" t="str">
        <f t="shared" si="16"/>
        <v/>
      </c>
      <c r="AB130" s="150"/>
      <c r="AC130" s="27" t="str">
        <f t="shared" si="17"/>
        <v/>
      </c>
      <c r="AD130" s="150"/>
      <c r="AE130" s="27" t="str">
        <f t="shared" si="18"/>
        <v/>
      </c>
      <c r="AF130" s="48" t="str">
        <f t="shared" si="19"/>
        <v/>
      </c>
      <c r="AG130" s="48" t="str">
        <f t="shared" si="20"/>
        <v/>
      </c>
      <c r="AH130" s="131"/>
      <c r="AI130" s="149" t="str">
        <f t="shared" si="21"/>
        <v>Débil</v>
      </c>
      <c r="AJ130" s="21" t="str">
        <f>IFERROR(VLOOKUP((CONCATENATE(AG130,AI130)),Listados!$U$3:$V$11,2,FALSE),"")</f>
        <v/>
      </c>
      <c r="AK130" s="48">
        <f t="shared" si="22"/>
        <v>100</v>
      </c>
      <c r="AL130" s="431"/>
      <c r="AM130" s="433"/>
      <c r="AN130" s="169">
        <f>+IF(AND(Q130="Preventivo",AM127="Fuerte"),2,IF(AND(Q130="Preventivo",AM127="Moderado"),1,0))</f>
        <v>2</v>
      </c>
      <c r="AO130" s="169">
        <f t="shared" si="23"/>
        <v>1</v>
      </c>
      <c r="AP130" s="169">
        <f>+K127-AN130</f>
        <v>1</v>
      </c>
      <c r="AQ130" s="169">
        <f>+M127-AO130</f>
        <v>3</v>
      </c>
      <c r="AR130" s="422"/>
      <c r="AS130" s="422"/>
      <c r="AT130" s="422"/>
      <c r="AU130" s="422"/>
      <c r="AV130" s="387"/>
      <c r="AW130" s="388"/>
      <c r="AX130" s="389"/>
      <c r="AY130" s="387"/>
      <c r="AZ130" s="388"/>
      <c r="BA130" s="389"/>
      <c r="BB130" s="387"/>
      <c r="BC130" s="388"/>
      <c r="BD130" s="389"/>
    </row>
    <row r="131" spans="1:56" ht="15.75" thickBot="1">
      <c r="A131" s="405"/>
      <c r="B131" s="407"/>
      <c r="C131" s="408"/>
      <c r="D131" s="407"/>
      <c r="E131" s="164"/>
      <c r="F131" s="164"/>
      <c r="G131" s="165"/>
      <c r="H131" s="165"/>
      <c r="I131" s="165"/>
      <c r="J131" s="408"/>
      <c r="K131" s="425"/>
      <c r="L131" s="438"/>
      <c r="M131" s="425"/>
      <c r="N131" s="435"/>
      <c r="O131" s="164"/>
      <c r="P131" s="166"/>
      <c r="Q131" s="166"/>
      <c r="R131" s="172"/>
      <c r="S131" s="27" t="str">
        <f t="shared" si="12"/>
        <v/>
      </c>
      <c r="T131" s="172"/>
      <c r="U131" s="27" t="str">
        <f t="shared" si="13"/>
        <v/>
      </c>
      <c r="V131" s="150"/>
      <c r="W131" s="27" t="str">
        <f t="shared" si="14"/>
        <v/>
      </c>
      <c r="X131" s="150"/>
      <c r="Y131" s="27" t="str">
        <f t="shared" si="15"/>
        <v/>
      </c>
      <c r="Z131" s="150"/>
      <c r="AA131" s="27" t="str">
        <f t="shared" si="16"/>
        <v/>
      </c>
      <c r="AB131" s="150"/>
      <c r="AC131" s="27" t="str">
        <f t="shared" si="17"/>
        <v/>
      </c>
      <c r="AD131" s="150"/>
      <c r="AE131" s="27" t="str">
        <f t="shared" si="18"/>
        <v/>
      </c>
      <c r="AF131" s="48" t="str">
        <f t="shared" si="19"/>
        <v/>
      </c>
      <c r="AG131" s="48" t="str">
        <f t="shared" si="20"/>
        <v/>
      </c>
      <c r="AH131" s="131"/>
      <c r="AI131" s="149" t="str">
        <f t="shared" si="21"/>
        <v>Débil</v>
      </c>
      <c r="AJ131" s="21" t="str">
        <f>IFERROR(VLOOKUP((CONCATENATE(AG131,AI131)),Listados!$U$3:$V$11,2,FALSE),"")</f>
        <v/>
      </c>
      <c r="AK131" s="48">
        <f t="shared" si="22"/>
        <v>100</v>
      </c>
      <c r="AL131" s="431"/>
      <c r="AM131" s="433"/>
      <c r="AN131" s="169">
        <f>+IF(AND(Q131="Preventivo",AM127="Fuerte"),2,IF(AND(Q131="Preventivo",AM127="Moderado"),1,0))</f>
        <v>0</v>
      </c>
      <c r="AO131" s="169">
        <f t="shared" si="23"/>
        <v>0</v>
      </c>
      <c r="AP131" s="169">
        <f>+K127-AN131</f>
        <v>3</v>
      </c>
      <c r="AQ131" s="169">
        <f>+M127-AO131</f>
        <v>4</v>
      </c>
      <c r="AR131" s="422"/>
      <c r="AS131" s="422"/>
      <c r="AT131" s="422"/>
      <c r="AU131" s="422"/>
      <c r="AV131" s="387"/>
      <c r="AW131" s="388"/>
      <c r="AX131" s="389"/>
      <c r="AY131" s="387"/>
      <c r="AZ131" s="388"/>
      <c r="BA131" s="389"/>
      <c r="BB131" s="387"/>
      <c r="BC131" s="388"/>
      <c r="BD131" s="389"/>
    </row>
    <row r="132" spans="1:56" ht="15.75" thickBot="1">
      <c r="A132" s="406"/>
      <c r="B132" s="407"/>
      <c r="C132" s="408"/>
      <c r="D132" s="407"/>
      <c r="E132" s="164"/>
      <c r="F132" s="164"/>
      <c r="G132" s="165"/>
      <c r="H132" s="165"/>
      <c r="I132" s="165"/>
      <c r="J132" s="408"/>
      <c r="K132" s="426"/>
      <c r="L132" s="438"/>
      <c r="M132" s="426"/>
      <c r="N132" s="435"/>
      <c r="O132" s="164"/>
      <c r="P132" s="166"/>
      <c r="Q132" s="166"/>
      <c r="R132" s="172"/>
      <c r="S132" s="27" t="str">
        <f t="shared" si="12"/>
        <v/>
      </c>
      <c r="T132" s="172"/>
      <c r="U132" s="27" t="str">
        <f t="shared" si="13"/>
        <v/>
      </c>
      <c r="V132" s="150"/>
      <c r="W132" s="27" t="str">
        <f t="shared" si="14"/>
        <v/>
      </c>
      <c r="X132" s="150"/>
      <c r="Y132" s="27" t="str">
        <f t="shared" si="15"/>
        <v/>
      </c>
      <c r="Z132" s="150"/>
      <c r="AA132" s="27" t="str">
        <f t="shared" si="16"/>
        <v/>
      </c>
      <c r="AB132" s="150"/>
      <c r="AC132" s="27" t="str">
        <f t="shared" si="17"/>
        <v/>
      </c>
      <c r="AD132" s="150"/>
      <c r="AE132" s="27" t="str">
        <f t="shared" si="18"/>
        <v/>
      </c>
      <c r="AF132" s="48" t="str">
        <f t="shared" si="19"/>
        <v/>
      </c>
      <c r="AG132" s="48" t="str">
        <f t="shared" si="20"/>
        <v/>
      </c>
      <c r="AH132" s="131"/>
      <c r="AI132" s="149" t="str">
        <f t="shared" si="21"/>
        <v>Débil</v>
      </c>
      <c r="AJ132" s="21" t="str">
        <f>IFERROR(VLOOKUP((CONCATENATE(AG132,AI132)),Listados!$U$3:$V$11,2,FALSE),"")</f>
        <v/>
      </c>
      <c r="AK132" s="48">
        <f t="shared" si="22"/>
        <v>100</v>
      </c>
      <c r="AL132" s="432"/>
      <c r="AM132" s="433"/>
      <c r="AN132" s="169">
        <f>+IF(AND(Q132="Preventivo",AM127="Fuerte"),2,IF(AND(Q132="Preventivo",AM127="Moderado"),1,0))</f>
        <v>0</v>
      </c>
      <c r="AO132" s="169">
        <f t="shared" si="23"/>
        <v>0</v>
      </c>
      <c r="AP132" s="169">
        <f>+K127-AN132</f>
        <v>3</v>
      </c>
      <c r="AQ132" s="169">
        <f>+M127-AO132</f>
        <v>4</v>
      </c>
      <c r="AR132" s="423"/>
      <c r="AS132" s="423"/>
      <c r="AT132" s="423"/>
      <c r="AU132" s="423"/>
      <c r="AV132" s="387"/>
      <c r="AW132" s="388"/>
      <c r="AX132" s="389"/>
      <c r="AY132" s="387"/>
      <c r="AZ132" s="388"/>
      <c r="BA132" s="389"/>
      <c r="BB132" s="387"/>
      <c r="BC132" s="388"/>
      <c r="BD132" s="389"/>
    </row>
    <row r="133" spans="1:56" ht="208.5" customHeight="1" thickBot="1">
      <c r="A133" s="404">
        <v>22</v>
      </c>
      <c r="B133" s="407" t="s">
        <v>95</v>
      </c>
      <c r="C133" s="408" t="str">
        <f>IFERROR(VLOOKUP(B133,Listados!B$3:C$20,2,FALSE),"")</f>
        <v>Apoyar a las diferentes dependencias de la Entidad y del Sector Justicia en el cumplimiento de su función administrativa, emitir conceptos jurídicos, defender y representar jurídicamente al Ministerio de Justicia y del Derecho</v>
      </c>
      <c r="D133" s="409" t="s">
        <v>385</v>
      </c>
      <c r="E133" s="164" t="s">
        <v>41</v>
      </c>
      <c r="F133" s="164"/>
      <c r="G133" s="164" t="s">
        <v>386</v>
      </c>
      <c r="H133" s="165" t="s">
        <v>16</v>
      </c>
      <c r="I133" s="165" t="s">
        <v>387</v>
      </c>
      <c r="J133" s="407" t="s">
        <v>21</v>
      </c>
      <c r="K133" s="424">
        <f>+VLOOKUP(J133,Listados!$K$8:$L$12,2,0)</f>
        <v>1</v>
      </c>
      <c r="L133" s="427" t="s">
        <v>54</v>
      </c>
      <c r="M133" s="424">
        <f>+VLOOKUP(L133,Listados!$K$13:$L$17,2,0)</f>
        <v>4</v>
      </c>
      <c r="N133" s="434" t="str">
        <f>IF(AND(J133&lt;&gt;"",L133&lt;&gt;""),VLOOKUP(J133&amp;L133,Listados!$M$3:$N$27,2,FALSE),"")</f>
        <v>Alto</v>
      </c>
      <c r="O133" s="183" t="s">
        <v>388</v>
      </c>
      <c r="P133" s="183" t="s">
        <v>389</v>
      </c>
      <c r="Q133" s="183" t="s">
        <v>123</v>
      </c>
      <c r="R133" s="172"/>
      <c r="S133" s="27" t="str">
        <f t="shared" si="12"/>
        <v/>
      </c>
      <c r="T133" s="172"/>
      <c r="U133" s="27" t="str">
        <f t="shared" si="13"/>
        <v/>
      </c>
      <c r="V133" s="150"/>
      <c r="W133" s="27" t="str">
        <f t="shared" si="14"/>
        <v/>
      </c>
      <c r="X133" s="150"/>
      <c r="Y133" s="27" t="str">
        <f t="shared" si="15"/>
        <v/>
      </c>
      <c r="Z133" s="150"/>
      <c r="AA133" s="27" t="str">
        <f t="shared" si="16"/>
        <v/>
      </c>
      <c r="AB133" s="150"/>
      <c r="AC133" s="27" t="str">
        <f t="shared" si="17"/>
        <v/>
      </c>
      <c r="AD133" s="150"/>
      <c r="AE133" s="27" t="str">
        <f t="shared" si="18"/>
        <v/>
      </c>
      <c r="AF133" s="48" t="str">
        <f t="shared" si="19"/>
        <v/>
      </c>
      <c r="AG133" s="48" t="str">
        <f t="shared" si="20"/>
        <v/>
      </c>
      <c r="AH133" s="131"/>
      <c r="AI133" s="149" t="str">
        <f t="shared" si="21"/>
        <v>Débil</v>
      </c>
      <c r="AJ133" s="21" t="str">
        <f>IFERROR(VLOOKUP((CONCATENATE(AG133,AI133)),Listados!$U$3:$V$11,2,FALSE),"")</f>
        <v/>
      </c>
      <c r="AK133" s="48">
        <f t="shared" si="22"/>
        <v>100</v>
      </c>
      <c r="AL133" s="430">
        <f>AVERAGE(AK133:AK138)</f>
        <v>100</v>
      </c>
      <c r="AM133" s="432" t="str">
        <f>IF(AL133&lt;=50, "Débil", IF(AL133&lt;=99,"Moderado","Fuerte"))</f>
        <v>Fuerte</v>
      </c>
      <c r="AN133" s="169">
        <f>+IF(AND(Q133="Preventivo",AM133="Fuerte"),2,IF(AND(Q133="Preventivo",AM133="Moderado"),1,0))</f>
        <v>0</v>
      </c>
      <c r="AO133" s="169">
        <f t="shared" si="23"/>
        <v>2</v>
      </c>
      <c r="AP133" s="169">
        <f>+K133-AN133</f>
        <v>1</v>
      </c>
      <c r="AQ133" s="169">
        <f>+M133-AO133</f>
        <v>2</v>
      </c>
      <c r="AR133" s="421" t="str">
        <f>+VLOOKUP(MIN(AP133,AP134,AP135,AP136,AP137,AP138),Listados!$J$18:$K$24,2,TRUE)</f>
        <v>Rara Vez</v>
      </c>
      <c r="AS133" s="421" t="str">
        <f>+VLOOKUP(MIN(AQ133,AQ134,AQ135,AQ136,AQ137,AQ138),Listados!$J$27:$K$32,2,TRUE)</f>
        <v>Menor</v>
      </c>
      <c r="AT133" s="421" t="str">
        <f>IF(AND(AR133&lt;&gt;"",AS133&lt;&gt;""),VLOOKUP(AR133&amp;AS133,Listados!$M$3:$N$27,2,FALSE),"")</f>
        <v>Bajo</v>
      </c>
      <c r="AU133" s="421" t="str">
        <f>+VLOOKUP(AT133,Listados!$P$3:$Q$6,2,FALSE)</f>
        <v>Asumir el riesgo</v>
      </c>
      <c r="AV133" s="387"/>
      <c r="AW133" s="388"/>
      <c r="AX133" s="389"/>
      <c r="AY133" s="387"/>
      <c r="AZ133" s="388"/>
      <c r="BA133" s="389"/>
      <c r="BB133" s="387"/>
      <c r="BC133" s="388"/>
      <c r="BD133" s="389"/>
    </row>
    <row r="134" spans="1:56" ht="186.75" thickBot="1">
      <c r="A134" s="405"/>
      <c r="B134" s="407"/>
      <c r="C134" s="408"/>
      <c r="D134" s="409"/>
      <c r="E134" s="164"/>
      <c r="F134" s="164"/>
      <c r="G134" s="164" t="s">
        <v>389</v>
      </c>
      <c r="H134" s="165" t="s">
        <v>16</v>
      </c>
      <c r="I134" s="165" t="s">
        <v>390</v>
      </c>
      <c r="J134" s="407"/>
      <c r="K134" s="425"/>
      <c r="L134" s="428"/>
      <c r="M134" s="425"/>
      <c r="N134" s="435"/>
      <c r="O134" s="183" t="s">
        <v>391</v>
      </c>
      <c r="P134" s="183" t="s">
        <v>386</v>
      </c>
      <c r="Q134" s="183" t="s">
        <v>123</v>
      </c>
      <c r="R134" s="172"/>
      <c r="S134" s="27" t="str">
        <f t="shared" si="12"/>
        <v/>
      </c>
      <c r="T134" s="172"/>
      <c r="U134" s="27" t="str">
        <f t="shared" si="13"/>
        <v/>
      </c>
      <c r="V134" s="150"/>
      <c r="W134" s="27" t="str">
        <f t="shared" si="14"/>
        <v/>
      </c>
      <c r="X134" s="150"/>
      <c r="Y134" s="27" t="str">
        <f t="shared" si="15"/>
        <v/>
      </c>
      <c r="Z134" s="150"/>
      <c r="AA134" s="27" t="str">
        <f t="shared" si="16"/>
        <v/>
      </c>
      <c r="AB134" s="150"/>
      <c r="AC134" s="27" t="str">
        <f t="shared" si="17"/>
        <v/>
      </c>
      <c r="AD134" s="150"/>
      <c r="AE134" s="27" t="str">
        <f t="shared" si="18"/>
        <v/>
      </c>
      <c r="AF134" s="48" t="str">
        <f t="shared" si="19"/>
        <v/>
      </c>
      <c r="AG134" s="48" t="str">
        <f t="shared" si="20"/>
        <v/>
      </c>
      <c r="AH134" s="131"/>
      <c r="AI134" s="149" t="str">
        <f t="shared" si="21"/>
        <v>Débil</v>
      </c>
      <c r="AJ134" s="21" t="str">
        <f>IFERROR(VLOOKUP((CONCATENATE(AG134,AI134)),Listados!$U$3:$V$11,2,FALSE),"")</f>
        <v/>
      </c>
      <c r="AK134" s="48">
        <f t="shared" si="22"/>
        <v>100</v>
      </c>
      <c r="AL134" s="431"/>
      <c r="AM134" s="433"/>
      <c r="AN134" s="169">
        <f>+IF(AND(Q134="Preventivo",AM133="Fuerte"),2,IF(AND(Q134="Preventivo",AM133="Moderado"),1,0))</f>
        <v>0</v>
      </c>
      <c r="AO134" s="169">
        <f t="shared" si="23"/>
        <v>2</v>
      </c>
      <c r="AP134" s="169">
        <f>+K133-AN134</f>
        <v>1</v>
      </c>
      <c r="AQ134" s="169">
        <f>+M133-AO134</f>
        <v>2</v>
      </c>
      <c r="AR134" s="422"/>
      <c r="AS134" s="422"/>
      <c r="AT134" s="422"/>
      <c r="AU134" s="422"/>
      <c r="AV134" s="387"/>
      <c r="AW134" s="388"/>
      <c r="AX134" s="389"/>
      <c r="AY134" s="387"/>
      <c r="AZ134" s="388"/>
      <c r="BA134" s="389"/>
      <c r="BB134" s="387"/>
      <c r="BC134" s="388"/>
      <c r="BD134" s="389"/>
    </row>
    <row r="135" spans="1:56" ht="207.75" customHeight="1" thickBot="1">
      <c r="A135" s="405"/>
      <c r="B135" s="407"/>
      <c r="C135" s="408"/>
      <c r="D135" s="409"/>
      <c r="E135" s="164"/>
      <c r="F135" s="164"/>
      <c r="G135" s="164" t="s">
        <v>392</v>
      </c>
      <c r="H135" s="165" t="s">
        <v>16</v>
      </c>
      <c r="I135" s="165" t="s">
        <v>393</v>
      </c>
      <c r="J135" s="407"/>
      <c r="K135" s="425"/>
      <c r="L135" s="428"/>
      <c r="M135" s="425"/>
      <c r="N135" s="435"/>
      <c r="O135" s="183" t="s">
        <v>388</v>
      </c>
      <c r="P135" s="183" t="s">
        <v>392</v>
      </c>
      <c r="Q135" s="183" t="s">
        <v>123</v>
      </c>
      <c r="R135" s="172"/>
      <c r="S135" s="27" t="str">
        <f t="shared" si="12"/>
        <v/>
      </c>
      <c r="T135" s="172"/>
      <c r="U135" s="27" t="str">
        <f t="shared" si="13"/>
        <v/>
      </c>
      <c r="V135" s="150"/>
      <c r="W135" s="27" t="str">
        <f t="shared" si="14"/>
        <v/>
      </c>
      <c r="X135" s="150"/>
      <c r="Y135" s="27" t="str">
        <f t="shared" si="15"/>
        <v/>
      </c>
      <c r="Z135" s="150"/>
      <c r="AA135" s="27" t="str">
        <f t="shared" si="16"/>
        <v/>
      </c>
      <c r="AB135" s="150"/>
      <c r="AC135" s="27" t="str">
        <f t="shared" si="17"/>
        <v/>
      </c>
      <c r="AD135" s="150"/>
      <c r="AE135" s="27" t="str">
        <f t="shared" si="18"/>
        <v/>
      </c>
      <c r="AF135" s="48" t="str">
        <f t="shared" si="19"/>
        <v/>
      </c>
      <c r="AG135" s="48" t="str">
        <f t="shared" si="20"/>
        <v/>
      </c>
      <c r="AH135" s="131"/>
      <c r="AI135" s="149" t="str">
        <f t="shared" si="21"/>
        <v>Débil</v>
      </c>
      <c r="AJ135" s="21" t="str">
        <f>IFERROR(VLOOKUP((CONCATENATE(AG135,AI135)),Listados!$U$3:$V$11,2,FALSE),"")</f>
        <v/>
      </c>
      <c r="AK135" s="48">
        <f t="shared" si="22"/>
        <v>100</v>
      </c>
      <c r="AL135" s="431"/>
      <c r="AM135" s="433"/>
      <c r="AN135" s="169">
        <f>+IF(AND(Q135="Preventivo",AM133="Fuerte"),2,IF(AND(Q135="Preventivo",AM133="Moderado"),1,0))</f>
        <v>0</v>
      </c>
      <c r="AO135" s="169">
        <f t="shared" si="23"/>
        <v>2</v>
      </c>
      <c r="AP135" s="169">
        <f>+K133-AN135</f>
        <v>1</v>
      </c>
      <c r="AQ135" s="169">
        <f>+M133-AO135</f>
        <v>2</v>
      </c>
      <c r="AR135" s="422"/>
      <c r="AS135" s="422"/>
      <c r="AT135" s="422"/>
      <c r="AU135" s="422"/>
      <c r="AV135" s="387"/>
      <c r="AW135" s="388"/>
      <c r="AX135" s="389"/>
      <c r="AY135" s="387"/>
      <c r="AZ135" s="388"/>
      <c r="BA135" s="389"/>
      <c r="BB135" s="387"/>
      <c r="BC135" s="388"/>
      <c r="BD135" s="389"/>
    </row>
    <row r="136" spans="1:56" ht="15.75" thickBot="1">
      <c r="A136" s="405"/>
      <c r="B136" s="407"/>
      <c r="C136" s="408"/>
      <c r="D136" s="409"/>
      <c r="E136" s="164"/>
      <c r="F136" s="164"/>
      <c r="G136" s="165"/>
      <c r="H136" s="165"/>
      <c r="I136" s="165"/>
      <c r="J136" s="407"/>
      <c r="K136" s="425"/>
      <c r="L136" s="428"/>
      <c r="M136" s="425"/>
      <c r="N136" s="435"/>
      <c r="O136" s="164"/>
      <c r="P136" s="166"/>
      <c r="Q136" s="166"/>
      <c r="R136" s="172"/>
      <c r="S136" s="27" t="str">
        <f t="shared" ref="S136:S199" si="32">+IF(R136="si",15,"")</f>
        <v/>
      </c>
      <c r="T136" s="172"/>
      <c r="U136" s="27" t="str">
        <f t="shared" ref="U136:U199" si="33">+IF(T136="si",15,"")</f>
        <v/>
      </c>
      <c r="V136" s="150"/>
      <c r="W136" s="27" t="str">
        <f t="shared" ref="W136:W199" si="34">+IF(V136="si",15,"")</f>
        <v/>
      </c>
      <c r="X136" s="150"/>
      <c r="Y136" s="27" t="str">
        <f t="shared" ref="Y136:Y199" si="35">+IF(X136="Preventivo",15,IF(X136="Detectivo",10,""))</f>
        <v/>
      </c>
      <c r="Z136" s="150"/>
      <c r="AA136" s="27" t="str">
        <f t="shared" ref="AA136:AA199" si="36">+IF(Z136="si",15,"")</f>
        <v/>
      </c>
      <c r="AB136" s="150"/>
      <c r="AC136" s="27" t="str">
        <f t="shared" ref="AC136:AC199" si="37">+IF(AB136="si",15,"")</f>
        <v/>
      </c>
      <c r="AD136" s="150"/>
      <c r="AE136" s="27" t="str">
        <f t="shared" ref="AE136:AE199" si="38">+IF(AD136="Completa",10,IF(AD136="Incompleta",5,""))</f>
        <v/>
      </c>
      <c r="AF136" s="48" t="str">
        <f t="shared" ref="AF136:AF199" si="39">IF((SUM(S136,U136,W136,Y136,AA136,AC136,AE136)=0),"",(SUM(S136,U136,W136,Y136,AA136,AC136,AE136)))</f>
        <v/>
      </c>
      <c r="AG136" s="48" t="str">
        <f t="shared" ref="AG136:AG199" si="40">IF(AF136&lt;=85,"Débil",IF(AF136&lt;=95,"Moderado",IF(AF136=100,"Fuerte","")))</f>
        <v/>
      </c>
      <c r="AH136" s="131"/>
      <c r="AI136" s="149" t="str">
        <f t="shared" si="21"/>
        <v>Débil</v>
      </c>
      <c r="AJ136" s="21" t="str">
        <f>IFERROR(VLOOKUP((CONCATENATE(AG136,AI136)),Listados!$U$3:$V$11,2,FALSE),"")</f>
        <v/>
      </c>
      <c r="AK136" s="48">
        <f t="shared" si="22"/>
        <v>100</v>
      </c>
      <c r="AL136" s="431"/>
      <c r="AM136" s="433"/>
      <c r="AN136" s="169">
        <f>+IF(AND(Q136="Preventivo",AM133="Fuerte"),2,IF(AND(Q136="Preventivo",AM133="Moderado"),1,0))</f>
        <v>0</v>
      </c>
      <c r="AO136" s="169">
        <f t="shared" si="23"/>
        <v>0</v>
      </c>
      <c r="AP136" s="169">
        <f>+K133-AN136</f>
        <v>1</v>
      </c>
      <c r="AQ136" s="169">
        <f>+M133-AO136</f>
        <v>4</v>
      </c>
      <c r="AR136" s="422"/>
      <c r="AS136" s="422"/>
      <c r="AT136" s="422"/>
      <c r="AU136" s="422"/>
      <c r="AV136" s="387"/>
      <c r="AW136" s="388"/>
      <c r="AX136" s="389"/>
      <c r="AY136" s="387"/>
      <c r="AZ136" s="388"/>
      <c r="BA136" s="389"/>
      <c r="BB136" s="387"/>
      <c r="BC136" s="388"/>
      <c r="BD136" s="389"/>
    </row>
    <row r="137" spans="1:56" ht="15.75" thickBot="1">
      <c r="A137" s="405"/>
      <c r="B137" s="407"/>
      <c r="C137" s="408"/>
      <c r="D137" s="409"/>
      <c r="E137" s="164"/>
      <c r="F137" s="164"/>
      <c r="G137" s="165"/>
      <c r="H137" s="165"/>
      <c r="I137" s="165"/>
      <c r="J137" s="407"/>
      <c r="K137" s="425"/>
      <c r="L137" s="428"/>
      <c r="M137" s="425"/>
      <c r="N137" s="435"/>
      <c r="O137" s="164"/>
      <c r="P137" s="166"/>
      <c r="Q137" s="166"/>
      <c r="R137" s="172"/>
      <c r="S137" s="27" t="str">
        <f t="shared" si="32"/>
        <v/>
      </c>
      <c r="T137" s="172"/>
      <c r="U137" s="27" t="str">
        <f t="shared" si="33"/>
        <v/>
      </c>
      <c r="V137" s="150"/>
      <c r="W137" s="27" t="str">
        <f t="shared" si="34"/>
        <v/>
      </c>
      <c r="X137" s="150"/>
      <c r="Y137" s="27" t="str">
        <f t="shared" si="35"/>
        <v/>
      </c>
      <c r="Z137" s="150"/>
      <c r="AA137" s="27" t="str">
        <f t="shared" si="36"/>
        <v/>
      </c>
      <c r="AB137" s="150"/>
      <c r="AC137" s="27" t="str">
        <f t="shared" si="37"/>
        <v/>
      </c>
      <c r="AD137" s="150"/>
      <c r="AE137" s="27" t="str">
        <f t="shared" si="38"/>
        <v/>
      </c>
      <c r="AF137" s="48" t="str">
        <f t="shared" si="39"/>
        <v/>
      </c>
      <c r="AG137" s="48" t="str">
        <f t="shared" si="40"/>
        <v/>
      </c>
      <c r="AH137" s="131"/>
      <c r="AI137" s="149" t="str">
        <f t="shared" ref="AI137:AI200" si="41">+IF(AH137="siempre","Fuerte",IF(AH137="Algunas veces","Moderado","Débil"))</f>
        <v>Débil</v>
      </c>
      <c r="AJ137" s="21" t="str">
        <f>IFERROR(VLOOKUP((CONCATENATE(AG137,AI137)),Listados!$U$3:$V$11,2,FALSE),"")</f>
        <v/>
      </c>
      <c r="AK137" s="48">
        <f t="shared" ref="AK137:AK200" si="42">IF(ISBLANK(AJ137),"",IF(AJ137="Débil", 0, IF(AJ137="Moderado",50,100)))</f>
        <v>100</v>
      </c>
      <c r="AL137" s="431"/>
      <c r="AM137" s="433"/>
      <c r="AN137" s="169">
        <f>+IF(AND(Q137="Preventivo",AM133="Fuerte"),2,IF(AND(Q137="Preventivo",AM133="Moderado"),1,0))</f>
        <v>0</v>
      </c>
      <c r="AO137" s="169">
        <f t="shared" si="23"/>
        <v>0</v>
      </c>
      <c r="AP137" s="169">
        <f>+K133-AN137</f>
        <v>1</v>
      </c>
      <c r="AQ137" s="169">
        <f>+M133-AO137</f>
        <v>4</v>
      </c>
      <c r="AR137" s="422"/>
      <c r="AS137" s="422"/>
      <c r="AT137" s="422"/>
      <c r="AU137" s="422"/>
      <c r="AV137" s="387"/>
      <c r="AW137" s="388"/>
      <c r="AX137" s="389"/>
      <c r="AY137" s="387"/>
      <c r="AZ137" s="388"/>
      <c r="BA137" s="389"/>
      <c r="BB137" s="387"/>
      <c r="BC137" s="388"/>
      <c r="BD137" s="389"/>
    </row>
    <row r="138" spans="1:56" ht="15.75" thickBot="1">
      <c r="A138" s="406"/>
      <c r="B138" s="407"/>
      <c r="C138" s="408"/>
      <c r="D138" s="409"/>
      <c r="E138" s="164"/>
      <c r="F138" s="164"/>
      <c r="G138" s="165"/>
      <c r="H138" s="165"/>
      <c r="I138" s="165"/>
      <c r="J138" s="407"/>
      <c r="K138" s="426"/>
      <c r="L138" s="428"/>
      <c r="M138" s="426"/>
      <c r="N138" s="435"/>
      <c r="O138" s="164"/>
      <c r="P138" s="166"/>
      <c r="Q138" s="166"/>
      <c r="R138" s="172"/>
      <c r="S138" s="27" t="str">
        <f t="shared" si="32"/>
        <v/>
      </c>
      <c r="T138" s="172"/>
      <c r="U138" s="27" t="str">
        <f t="shared" si="33"/>
        <v/>
      </c>
      <c r="V138" s="150"/>
      <c r="W138" s="27" t="str">
        <f t="shared" si="34"/>
        <v/>
      </c>
      <c r="X138" s="150"/>
      <c r="Y138" s="27" t="str">
        <f t="shared" si="35"/>
        <v/>
      </c>
      <c r="Z138" s="150"/>
      <c r="AA138" s="27" t="str">
        <f t="shared" si="36"/>
        <v/>
      </c>
      <c r="AB138" s="150"/>
      <c r="AC138" s="27" t="str">
        <f t="shared" si="37"/>
        <v/>
      </c>
      <c r="AD138" s="150"/>
      <c r="AE138" s="27" t="str">
        <f t="shared" si="38"/>
        <v/>
      </c>
      <c r="AF138" s="48" t="str">
        <f t="shared" si="39"/>
        <v/>
      </c>
      <c r="AG138" s="48" t="str">
        <f t="shared" si="40"/>
        <v/>
      </c>
      <c r="AH138" s="131"/>
      <c r="AI138" s="149" t="str">
        <f t="shared" si="41"/>
        <v>Débil</v>
      </c>
      <c r="AJ138" s="21" t="str">
        <f>IFERROR(VLOOKUP((CONCATENATE(AG138,AI138)),Listados!$U$3:$V$11,2,FALSE),"")</f>
        <v/>
      </c>
      <c r="AK138" s="48">
        <f t="shared" si="42"/>
        <v>100</v>
      </c>
      <c r="AL138" s="432"/>
      <c r="AM138" s="433"/>
      <c r="AN138" s="169">
        <f>+IF(AND(Q138="Preventivo",AM133="Fuerte"),2,IF(AND(Q138="Preventivo",AM133="Moderado"),1,0))</f>
        <v>0</v>
      </c>
      <c r="AO138" s="169">
        <f t="shared" si="23"/>
        <v>0</v>
      </c>
      <c r="AP138" s="169">
        <f>+K133-AN138</f>
        <v>1</v>
      </c>
      <c r="AQ138" s="169">
        <f>+M133-AO138</f>
        <v>4</v>
      </c>
      <c r="AR138" s="423"/>
      <c r="AS138" s="423"/>
      <c r="AT138" s="423"/>
      <c r="AU138" s="423"/>
      <c r="AV138" s="387"/>
      <c r="AW138" s="388"/>
      <c r="AX138" s="389"/>
      <c r="AY138" s="387"/>
      <c r="AZ138" s="388"/>
      <c r="BA138" s="389"/>
      <c r="BB138" s="387"/>
      <c r="BC138" s="388"/>
      <c r="BD138" s="389"/>
    </row>
    <row r="139" spans="1:56" ht="267.75" customHeight="1" thickBot="1">
      <c r="A139" s="404">
        <v>23</v>
      </c>
      <c r="B139" s="407" t="s">
        <v>95</v>
      </c>
      <c r="C139" s="408" t="str">
        <f>IFERROR(VLOOKUP(B139,Listados!B$3:C$20,2,FALSE),"")</f>
        <v>Apoyar a las diferentes dependencias de la Entidad y del Sector Justicia en el cumplimiento de su función administrativa, emitir conceptos jurídicos, defender y representar jurídicamente al Ministerio de Justicia y del Derecho</v>
      </c>
      <c r="D139" s="409" t="s">
        <v>394</v>
      </c>
      <c r="E139" s="164" t="s">
        <v>52</v>
      </c>
      <c r="F139" s="164"/>
      <c r="G139" s="165" t="s">
        <v>395</v>
      </c>
      <c r="H139" s="165" t="s">
        <v>16</v>
      </c>
      <c r="I139" s="165" t="s">
        <v>396</v>
      </c>
      <c r="J139" s="407" t="s">
        <v>21</v>
      </c>
      <c r="K139" s="424">
        <f>+VLOOKUP(J139,Listados!$K$8:$L$12,2,0)</f>
        <v>1</v>
      </c>
      <c r="L139" s="427" t="s">
        <v>32</v>
      </c>
      <c r="M139" s="424">
        <f>+VLOOKUP(L139,Listados!$K$13:$L$17,2,0)</f>
        <v>2</v>
      </c>
      <c r="N139" s="434" t="str">
        <f>IF(AND(J139&lt;&gt;"",L139&lt;&gt;""),VLOOKUP(J139&amp;L139,Listados!$M$3:$N$27,2,FALSE),"")</f>
        <v>Bajo</v>
      </c>
      <c r="O139" s="182" t="s">
        <v>397</v>
      </c>
      <c r="P139" s="182" t="s">
        <v>395</v>
      </c>
      <c r="Q139" s="182" t="s">
        <v>20</v>
      </c>
      <c r="R139" s="172"/>
      <c r="S139" s="27" t="str">
        <f t="shared" si="32"/>
        <v/>
      </c>
      <c r="T139" s="172"/>
      <c r="U139" s="27" t="str">
        <f t="shared" si="33"/>
        <v/>
      </c>
      <c r="V139" s="150"/>
      <c r="W139" s="27" t="str">
        <f t="shared" si="34"/>
        <v/>
      </c>
      <c r="X139" s="150"/>
      <c r="Y139" s="27" t="str">
        <f t="shared" si="35"/>
        <v/>
      </c>
      <c r="Z139" s="150"/>
      <c r="AA139" s="27" t="str">
        <f t="shared" si="36"/>
        <v/>
      </c>
      <c r="AB139" s="150"/>
      <c r="AC139" s="27" t="str">
        <f t="shared" si="37"/>
        <v/>
      </c>
      <c r="AD139" s="150"/>
      <c r="AE139" s="27" t="str">
        <f t="shared" si="38"/>
        <v/>
      </c>
      <c r="AF139" s="48" t="str">
        <f t="shared" si="39"/>
        <v/>
      </c>
      <c r="AG139" s="48" t="str">
        <f t="shared" si="40"/>
        <v/>
      </c>
      <c r="AH139" s="131"/>
      <c r="AI139" s="149" t="str">
        <f t="shared" si="41"/>
        <v>Débil</v>
      </c>
      <c r="AJ139" s="21" t="str">
        <f>IFERROR(VLOOKUP((CONCATENATE(AG139,AI139)),Listados!$U$3:$V$11,2,FALSE),"")</f>
        <v/>
      </c>
      <c r="AK139" s="48">
        <f t="shared" si="42"/>
        <v>100</v>
      </c>
      <c r="AL139" s="430">
        <f>AVERAGE(AK139:AK144)</f>
        <v>100</v>
      </c>
      <c r="AM139" s="432" t="str">
        <f>IF(AL139&lt;=50, "Débil", IF(AL139&lt;=99,"Moderado","Fuerte"))</f>
        <v>Fuerte</v>
      </c>
      <c r="AN139" s="169">
        <f>+IF(AND(Q139="Preventivo",AM139="Fuerte"),2,IF(AND(Q139="Preventivo",AM139="Moderado"),1,0))</f>
        <v>2</v>
      </c>
      <c r="AO139" s="169">
        <f t="shared" si="23"/>
        <v>1</v>
      </c>
      <c r="AP139" s="169">
        <f>+K139-AN139</f>
        <v>-1</v>
      </c>
      <c r="AQ139" s="169">
        <f>+M139-AO139</f>
        <v>1</v>
      </c>
      <c r="AR139" s="421" t="str">
        <f>+VLOOKUP(MIN(AP139,AP140,AP141,AP142,AP143,AP144),Listados!$J$18:$K$24,2,TRUE)</f>
        <v>Rara Vez</v>
      </c>
      <c r="AS139" s="421" t="str">
        <f>+VLOOKUP(MIN(AQ139,AQ140,AQ141,AQ142,AQ143,AQ144),Listados!$J$27:$K$32,2,TRUE)</f>
        <v>Insignificante</v>
      </c>
      <c r="AT139" s="421" t="str">
        <f>IF(AND(AR139&lt;&gt;"",AS139&lt;&gt;""),VLOOKUP(AR139&amp;AS139,Listados!$M$3:$N$27,2,FALSE),"")</f>
        <v>Bajo</v>
      </c>
      <c r="AU139" s="421" t="str">
        <f>+VLOOKUP(AT139,Listados!$P$3:$Q$6,2,FALSE)</f>
        <v>Asumir el riesgo</v>
      </c>
      <c r="AV139" s="387"/>
      <c r="AW139" s="388"/>
      <c r="AX139" s="389"/>
      <c r="AY139" s="387"/>
      <c r="AZ139" s="388"/>
      <c r="BA139" s="389"/>
      <c r="BB139" s="387"/>
      <c r="BC139" s="388"/>
      <c r="BD139" s="389"/>
    </row>
    <row r="140" spans="1:56" ht="260.25" customHeight="1" thickBot="1">
      <c r="A140" s="405"/>
      <c r="B140" s="407"/>
      <c r="C140" s="408"/>
      <c r="D140" s="409"/>
      <c r="E140" s="164"/>
      <c r="F140" s="164"/>
      <c r="G140" s="165" t="s">
        <v>398</v>
      </c>
      <c r="H140" s="165" t="s">
        <v>16</v>
      </c>
      <c r="I140" s="165" t="s">
        <v>399</v>
      </c>
      <c r="J140" s="407"/>
      <c r="K140" s="425"/>
      <c r="L140" s="428"/>
      <c r="M140" s="425"/>
      <c r="N140" s="435"/>
      <c r="O140" s="182" t="s">
        <v>400</v>
      </c>
      <c r="P140" s="182" t="s">
        <v>398</v>
      </c>
      <c r="Q140" s="182" t="s">
        <v>20</v>
      </c>
      <c r="R140" s="172"/>
      <c r="S140" s="27" t="str">
        <f t="shared" si="32"/>
        <v/>
      </c>
      <c r="T140" s="172"/>
      <c r="U140" s="27" t="str">
        <f t="shared" si="33"/>
        <v/>
      </c>
      <c r="V140" s="150"/>
      <c r="W140" s="27" t="str">
        <f t="shared" si="34"/>
        <v/>
      </c>
      <c r="X140" s="150"/>
      <c r="Y140" s="27" t="str">
        <f t="shared" si="35"/>
        <v/>
      </c>
      <c r="Z140" s="150"/>
      <c r="AA140" s="27" t="str">
        <f t="shared" si="36"/>
        <v/>
      </c>
      <c r="AB140" s="150"/>
      <c r="AC140" s="27" t="str">
        <f t="shared" si="37"/>
        <v/>
      </c>
      <c r="AD140" s="150"/>
      <c r="AE140" s="27" t="str">
        <f t="shared" si="38"/>
        <v/>
      </c>
      <c r="AF140" s="48" t="str">
        <f t="shared" si="39"/>
        <v/>
      </c>
      <c r="AG140" s="48" t="str">
        <f t="shared" si="40"/>
        <v/>
      </c>
      <c r="AH140" s="131"/>
      <c r="AI140" s="149" t="str">
        <f t="shared" si="41"/>
        <v>Débil</v>
      </c>
      <c r="AJ140" s="21" t="str">
        <f>IFERROR(VLOOKUP((CONCATENATE(AG140,AI140)),Listados!$U$3:$V$11,2,FALSE),"")</f>
        <v/>
      </c>
      <c r="AK140" s="48">
        <f t="shared" si="42"/>
        <v>100</v>
      </c>
      <c r="AL140" s="431"/>
      <c r="AM140" s="433"/>
      <c r="AN140" s="169">
        <f>+IF(AND(Q140="Preventivo",AM139="Fuerte"),2,IF(AND(Q140="Preventivo",AM139="Moderado"),1,0))</f>
        <v>2</v>
      </c>
      <c r="AO140" s="169">
        <f t="shared" si="23"/>
        <v>1</v>
      </c>
      <c r="AP140" s="169">
        <f>+K139-AN140</f>
        <v>-1</v>
      </c>
      <c r="AQ140" s="169">
        <f>+M139-AO140</f>
        <v>1</v>
      </c>
      <c r="AR140" s="422"/>
      <c r="AS140" s="422"/>
      <c r="AT140" s="422"/>
      <c r="AU140" s="422"/>
      <c r="AV140" s="387"/>
      <c r="AW140" s="388"/>
      <c r="AX140" s="389"/>
      <c r="AY140" s="387"/>
      <c r="AZ140" s="388"/>
      <c r="BA140" s="389"/>
      <c r="BB140" s="387"/>
      <c r="BC140" s="388"/>
      <c r="BD140" s="389"/>
    </row>
    <row r="141" spans="1:56" ht="257.25" customHeight="1" thickBot="1">
      <c r="A141" s="405"/>
      <c r="B141" s="407"/>
      <c r="C141" s="408"/>
      <c r="D141" s="409"/>
      <c r="E141" s="164"/>
      <c r="F141" s="164"/>
      <c r="G141" s="165" t="s">
        <v>401</v>
      </c>
      <c r="H141" s="165" t="s">
        <v>30</v>
      </c>
      <c r="I141" s="165" t="s">
        <v>402</v>
      </c>
      <c r="J141" s="407"/>
      <c r="K141" s="425"/>
      <c r="L141" s="428"/>
      <c r="M141" s="425"/>
      <c r="N141" s="435"/>
      <c r="O141" s="182" t="s">
        <v>403</v>
      </c>
      <c r="P141" s="182" t="s">
        <v>401</v>
      </c>
      <c r="Q141" s="182" t="s">
        <v>123</v>
      </c>
      <c r="R141" s="172"/>
      <c r="S141" s="27" t="str">
        <f t="shared" si="32"/>
        <v/>
      </c>
      <c r="T141" s="172"/>
      <c r="U141" s="27" t="str">
        <f t="shared" si="33"/>
        <v/>
      </c>
      <c r="V141" s="150"/>
      <c r="W141" s="27" t="str">
        <f t="shared" si="34"/>
        <v/>
      </c>
      <c r="X141" s="150"/>
      <c r="Y141" s="27" t="str">
        <f t="shared" si="35"/>
        <v/>
      </c>
      <c r="Z141" s="150"/>
      <c r="AA141" s="27" t="str">
        <f t="shared" si="36"/>
        <v/>
      </c>
      <c r="AB141" s="150"/>
      <c r="AC141" s="27" t="str">
        <f t="shared" si="37"/>
        <v/>
      </c>
      <c r="AD141" s="150"/>
      <c r="AE141" s="27" t="str">
        <f t="shared" si="38"/>
        <v/>
      </c>
      <c r="AF141" s="48" t="str">
        <f t="shared" si="39"/>
        <v/>
      </c>
      <c r="AG141" s="48" t="str">
        <f t="shared" si="40"/>
        <v/>
      </c>
      <c r="AH141" s="131"/>
      <c r="AI141" s="149" t="str">
        <f t="shared" si="41"/>
        <v>Débil</v>
      </c>
      <c r="AJ141" s="21" t="str">
        <f>IFERROR(VLOOKUP((CONCATENATE(AG141,AI141)),Listados!$U$3:$V$11,2,FALSE),"")</f>
        <v/>
      </c>
      <c r="AK141" s="48">
        <f t="shared" si="42"/>
        <v>100</v>
      </c>
      <c r="AL141" s="431"/>
      <c r="AM141" s="433"/>
      <c r="AN141" s="169">
        <f>+IF(AND(Q141="Preventivo",AM139="Fuerte"),2,IF(AND(Q141="Preventivo",AM139="Moderado"),1,0))</f>
        <v>0</v>
      </c>
      <c r="AO141" s="169">
        <f t="shared" si="23"/>
        <v>2</v>
      </c>
      <c r="AP141" s="169">
        <f>+K139-AN141</f>
        <v>1</v>
      </c>
      <c r="AQ141" s="169">
        <f>+M139-AO141</f>
        <v>0</v>
      </c>
      <c r="AR141" s="422"/>
      <c r="AS141" s="422"/>
      <c r="AT141" s="422"/>
      <c r="AU141" s="422"/>
      <c r="AV141" s="387"/>
      <c r="AW141" s="388"/>
      <c r="AX141" s="389"/>
      <c r="AY141" s="387"/>
      <c r="AZ141" s="388"/>
      <c r="BA141" s="389"/>
      <c r="BB141" s="387"/>
      <c r="BC141" s="388"/>
      <c r="BD141" s="389"/>
    </row>
    <row r="142" spans="1:56" ht="261" customHeight="1" thickBot="1">
      <c r="A142" s="405"/>
      <c r="B142" s="407"/>
      <c r="C142" s="408"/>
      <c r="D142" s="409"/>
      <c r="E142" s="164"/>
      <c r="F142" s="164"/>
      <c r="G142" s="165" t="s">
        <v>404</v>
      </c>
      <c r="H142" s="165" t="s">
        <v>16</v>
      </c>
      <c r="I142" s="165"/>
      <c r="J142" s="407"/>
      <c r="K142" s="425"/>
      <c r="L142" s="428"/>
      <c r="M142" s="425"/>
      <c r="N142" s="435"/>
      <c r="O142" s="182" t="s">
        <v>400</v>
      </c>
      <c r="P142" s="182" t="s">
        <v>404</v>
      </c>
      <c r="Q142" s="182" t="s">
        <v>20</v>
      </c>
      <c r="R142" s="172"/>
      <c r="S142" s="27" t="str">
        <f t="shared" si="32"/>
        <v/>
      </c>
      <c r="T142" s="172"/>
      <c r="U142" s="27" t="str">
        <f t="shared" si="33"/>
        <v/>
      </c>
      <c r="V142" s="150"/>
      <c r="W142" s="27" t="str">
        <f t="shared" si="34"/>
        <v/>
      </c>
      <c r="X142" s="150"/>
      <c r="Y142" s="27" t="str">
        <f t="shared" si="35"/>
        <v/>
      </c>
      <c r="Z142" s="150"/>
      <c r="AA142" s="27" t="str">
        <f t="shared" si="36"/>
        <v/>
      </c>
      <c r="AB142" s="150"/>
      <c r="AC142" s="27" t="str">
        <f t="shared" si="37"/>
        <v/>
      </c>
      <c r="AD142" s="150"/>
      <c r="AE142" s="27" t="str">
        <f t="shared" si="38"/>
        <v/>
      </c>
      <c r="AF142" s="48" t="str">
        <f t="shared" si="39"/>
        <v/>
      </c>
      <c r="AG142" s="48" t="str">
        <f t="shared" si="40"/>
        <v/>
      </c>
      <c r="AH142" s="131"/>
      <c r="AI142" s="149" t="str">
        <f t="shared" si="41"/>
        <v>Débil</v>
      </c>
      <c r="AJ142" s="21" t="str">
        <f>IFERROR(VLOOKUP((CONCATENATE(AG142,AI142)),Listados!$U$3:$V$11,2,FALSE),"")</f>
        <v/>
      </c>
      <c r="AK142" s="48">
        <f t="shared" si="42"/>
        <v>100</v>
      </c>
      <c r="AL142" s="431"/>
      <c r="AM142" s="433"/>
      <c r="AN142" s="169">
        <f>+IF(AND(Q142="Preventivo",AM139="Fuerte"),2,IF(AND(Q142="Preventivo",AM139="Moderado"),1,0))</f>
        <v>2</v>
      </c>
      <c r="AO142" s="169">
        <f t="shared" ref="AO142:AO205" si="43">+IF(AND(Q142="Detectivo",$AM$7="Fuerte"),2,IF(AND(Q142="Detectivo",$AM$7="Moderado"),1,IF(AND(Q142="Preventivo",$AM$7="Fuerte"),1,0)))</f>
        <v>1</v>
      </c>
      <c r="AP142" s="169">
        <f>+K139-AN142</f>
        <v>-1</v>
      </c>
      <c r="AQ142" s="169">
        <f>+M139-AO142</f>
        <v>1</v>
      </c>
      <c r="AR142" s="422"/>
      <c r="AS142" s="422"/>
      <c r="AT142" s="422"/>
      <c r="AU142" s="422"/>
      <c r="AV142" s="387"/>
      <c r="AW142" s="388"/>
      <c r="AX142" s="389"/>
      <c r="AY142" s="387"/>
      <c r="AZ142" s="388"/>
      <c r="BA142" s="389"/>
      <c r="BB142" s="387"/>
      <c r="BC142" s="388"/>
      <c r="BD142" s="389"/>
    </row>
    <row r="143" spans="1:56" ht="15.75" thickBot="1">
      <c r="A143" s="405"/>
      <c r="B143" s="407"/>
      <c r="C143" s="408"/>
      <c r="D143" s="409"/>
      <c r="E143" s="164"/>
      <c r="F143" s="164"/>
      <c r="G143" s="165"/>
      <c r="H143" s="165"/>
      <c r="I143" s="165"/>
      <c r="J143" s="407"/>
      <c r="K143" s="425"/>
      <c r="L143" s="428"/>
      <c r="M143" s="425"/>
      <c r="N143" s="435"/>
      <c r="O143" s="164"/>
      <c r="P143" s="166"/>
      <c r="Q143" s="166"/>
      <c r="R143" s="172"/>
      <c r="S143" s="27" t="str">
        <f t="shared" si="32"/>
        <v/>
      </c>
      <c r="T143" s="172"/>
      <c r="U143" s="27" t="str">
        <f t="shared" si="33"/>
        <v/>
      </c>
      <c r="V143" s="150"/>
      <c r="W143" s="27" t="str">
        <f t="shared" si="34"/>
        <v/>
      </c>
      <c r="X143" s="150"/>
      <c r="Y143" s="27" t="str">
        <f t="shared" si="35"/>
        <v/>
      </c>
      <c r="Z143" s="150"/>
      <c r="AA143" s="27" t="str">
        <f t="shared" si="36"/>
        <v/>
      </c>
      <c r="AB143" s="150"/>
      <c r="AC143" s="27" t="str">
        <f t="shared" si="37"/>
        <v/>
      </c>
      <c r="AD143" s="150"/>
      <c r="AE143" s="27" t="str">
        <f t="shared" si="38"/>
        <v/>
      </c>
      <c r="AF143" s="48" t="str">
        <f t="shared" si="39"/>
        <v/>
      </c>
      <c r="AG143" s="48" t="str">
        <f t="shared" si="40"/>
        <v/>
      </c>
      <c r="AH143" s="131"/>
      <c r="AI143" s="149" t="str">
        <f t="shared" si="41"/>
        <v>Débil</v>
      </c>
      <c r="AJ143" s="21" t="str">
        <f>IFERROR(VLOOKUP((CONCATENATE(AG143,AI143)),Listados!$U$3:$V$11,2,FALSE),"")</f>
        <v/>
      </c>
      <c r="AK143" s="48">
        <f t="shared" si="42"/>
        <v>100</v>
      </c>
      <c r="AL143" s="431"/>
      <c r="AM143" s="433"/>
      <c r="AN143" s="169">
        <f>+IF(AND(Q143="Preventivo",AM139="Fuerte"),2,IF(AND(Q143="Preventivo",AM139="Moderado"),1,0))</f>
        <v>0</v>
      </c>
      <c r="AO143" s="169">
        <f t="shared" si="43"/>
        <v>0</v>
      </c>
      <c r="AP143" s="169">
        <f>+K139-AN143</f>
        <v>1</v>
      </c>
      <c r="AQ143" s="169">
        <f>+M139-AO143</f>
        <v>2</v>
      </c>
      <c r="AR143" s="422"/>
      <c r="AS143" s="422"/>
      <c r="AT143" s="422"/>
      <c r="AU143" s="422"/>
      <c r="AV143" s="387"/>
      <c r="AW143" s="388"/>
      <c r="AX143" s="389"/>
      <c r="AY143" s="387"/>
      <c r="AZ143" s="388"/>
      <c r="BA143" s="389"/>
      <c r="BB143" s="387"/>
      <c r="BC143" s="388"/>
      <c r="BD143" s="389"/>
    </row>
    <row r="144" spans="1:56" ht="15.75" thickBot="1">
      <c r="A144" s="406"/>
      <c r="B144" s="407"/>
      <c r="C144" s="408"/>
      <c r="D144" s="409"/>
      <c r="E144" s="164"/>
      <c r="F144" s="164"/>
      <c r="G144" s="165"/>
      <c r="H144" s="165"/>
      <c r="I144" s="165"/>
      <c r="J144" s="407"/>
      <c r="K144" s="426"/>
      <c r="L144" s="428"/>
      <c r="M144" s="426"/>
      <c r="N144" s="435"/>
      <c r="O144" s="164"/>
      <c r="P144" s="166"/>
      <c r="Q144" s="166"/>
      <c r="R144" s="172"/>
      <c r="S144" s="27" t="str">
        <f t="shared" si="32"/>
        <v/>
      </c>
      <c r="T144" s="172"/>
      <c r="U144" s="27" t="str">
        <f t="shared" si="33"/>
        <v/>
      </c>
      <c r="V144" s="150"/>
      <c r="W144" s="27" t="str">
        <f t="shared" si="34"/>
        <v/>
      </c>
      <c r="X144" s="150"/>
      <c r="Y144" s="27" t="str">
        <f t="shared" si="35"/>
        <v/>
      </c>
      <c r="Z144" s="150"/>
      <c r="AA144" s="27" t="str">
        <f t="shared" si="36"/>
        <v/>
      </c>
      <c r="AB144" s="150"/>
      <c r="AC144" s="27" t="str">
        <f t="shared" si="37"/>
        <v/>
      </c>
      <c r="AD144" s="150"/>
      <c r="AE144" s="27" t="str">
        <f t="shared" si="38"/>
        <v/>
      </c>
      <c r="AF144" s="48" t="str">
        <f t="shared" si="39"/>
        <v/>
      </c>
      <c r="AG144" s="48" t="str">
        <f t="shared" si="40"/>
        <v/>
      </c>
      <c r="AH144" s="131"/>
      <c r="AI144" s="149" t="str">
        <f t="shared" si="41"/>
        <v>Débil</v>
      </c>
      <c r="AJ144" s="21" t="str">
        <f>IFERROR(VLOOKUP((CONCATENATE(AG144,AI144)),Listados!$U$3:$V$11,2,FALSE),"")</f>
        <v/>
      </c>
      <c r="AK144" s="48">
        <f t="shared" si="42"/>
        <v>100</v>
      </c>
      <c r="AL144" s="432"/>
      <c r="AM144" s="433"/>
      <c r="AN144" s="169">
        <f>+IF(AND(Q144="Preventivo",AM139="Fuerte"),2,IF(AND(Q144="Preventivo",AM139="Moderado"),1,0))</f>
        <v>0</v>
      </c>
      <c r="AO144" s="169">
        <f t="shared" si="43"/>
        <v>0</v>
      </c>
      <c r="AP144" s="169">
        <f>+K139-AN144</f>
        <v>1</v>
      </c>
      <c r="AQ144" s="169">
        <f>+M139-AO144</f>
        <v>2</v>
      </c>
      <c r="AR144" s="423"/>
      <c r="AS144" s="423"/>
      <c r="AT144" s="423"/>
      <c r="AU144" s="423"/>
      <c r="AV144" s="387"/>
      <c r="AW144" s="388"/>
      <c r="AX144" s="389"/>
      <c r="AY144" s="387"/>
      <c r="AZ144" s="388"/>
      <c r="BA144" s="389"/>
      <c r="BB144" s="387"/>
      <c r="BC144" s="388"/>
      <c r="BD144" s="389"/>
    </row>
    <row r="145" spans="1:56" ht="143.25" thickBot="1">
      <c r="A145" s="404">
        <v>24</v>
      </c>
      <c r="B145" s="407" t="s">
        <v>95</v>
      </c>
      <c r="C145" s="408" t="str">
        <f>IFERROR(VLOOKUP(B145,Listados!B$3:C$20,2,FALSE),"")</f>
        <v>Apoyar a las diferentes dependencias de la Entidad y del Sector Justicia en el cumplimiento de su función administrativa, emitir conceptos jurídicos, defender y representar jurídicamente al Ministerio de Justicia y del Derecho</v>
      </c>
      <c r="D145" s="409" t="s">
        <v>405</v>
      </c>
      <c r="E145" s="164" t="s">
        <v>52</v>
      </c>
      <c r="F145" s="164"/>
      <c r="G145" s="165" t="s">
        <v>406</v>
      </c>
      <c r="H145" s="165" t="s">
        <v>16</v>
      </c>
      <c r="I145" s="165" t="s">
        <v>407</v>
      </c>
      <c r="J145" s="407" t="s">
        <v>44</v>
      </c>
      <c r="K145" s="424">
        <f>+VLOOKUP(J145,Listados!$K$8:$L$12,2,0)</f>
        <v>3</v>
      </c>
      <c r="L145" s="427" t="s">
        <v>32</v>
      </c>
      <c r="M145" s="424">
        <f>+VLOOKUP(L145,Listados!$K$13:$L$17,2,0)</f>
        <v>2</v>
      </c>
      <c r="N145" s="434" t="str">
        <f>IF(AND(J145&lt;&gt;"",L145&lt;&gt;""),VLOOKUP(J145&amp;L145,Listados!$M$3:$N$27,2,FALSE),"")</f>
        <v>Moderado</v>
      </c>
      <c r="O145" s="182" t="s">
        <v>408</v>
      </c>
      <c r="P145" s="183" t="s">
        <v>406</v>
      </c>
      <c r="Q145" s="183" t="s">
        <v>20</v>
      </c>
      <c r="R145" s="172"/>
      <c r="S145" s="27" t="str">
        <f t="shared" si="32"/>
        <v/>
      </c>
      <c r="T145" s="172"/>
      <c r="U145" s="27" t="str">
        <f t="shared" si="33"/>
        <v/>
      </c>
      <c r="V145" s="150"/>
      <c r="W145" s="27" t="str">
        <f t="shared" si="34"/>
        <v/>
      </c>
      <c r="X145" s="150"/>
      <c r="Y145" s="27" t="str">
        <f t="shared" si="35"/>
        <v/>
      </c>
      <c r="Z145" s="150"/>
      <c r="AA145" s="27" t="str">
        <f t="shared" si="36"/>
        <v/>
      </c>
      <c r="AB145" s="150"/>
      <c r="AC145" s="27" t="str">
        <f t="shared" si="37"/>
        <v/>
      </c>
      <c r="AD145" s="150"/>
      <c r="AE145" s="27" t="str">
        <f t="shared" si="38"/>
        <v/>
      </c>
      <c r="AF145" s="48" t="str">
        <f t="shared" si="39"/>
        <v/>
      </c>
      <c r="AG145" s="48" t="str">
        <f t="shared" si="40"/>
        <v/>
      </c>
      <c r="AH145" s="131"/>
      <c r="AI145" s="149" t="str">
        <f t="shared" si="41"/>
        <v>Débil</v>
      </c>
      <c r="AJ145" s="21" t="str">
        <f>IFERROR(VLOOKUP((CONCATENATE(AG145,AI145)),Listados!$U$3:$V$11,2,FALSE),"")</f>
        <v/>
      </c>
      <c r="AK145" s="48">
        <f t="shared" si="42"/>
        <v>100</v>
      </c>
      <c r="AL145" s="430">
        <f>AVERAGE(AK145:AK150)</f>
        <v>100</v>
      </c>
      <c r="AM145" s="432" t="str">
        <f>IF(AL145&lt;=50, "Débil", IF(AL145&lt;=99,"Moderado","Fuerte"))</f>
        <v>Fuerte</v>
      </c>
      <c r="AN145" s="169">
        <f>+IF(AND(Q145="Preventivo",AM145="Fuerte"),2,IF(AND(Q145="Preventivo",AM145="Moderado"),1,0))</f>
        <v>2</v>
      </c>
      <c r="AO145" s="169">
        <f t="shared" si="43"/>
        <v>1</v>
      </c>
      <c r="AP145" s="169">
        <f>+K145-AN145</f>
        <v>1</v>
      </c>
      <c r="AQ145" s="169">
        <f>+M145-AO145</f>
        <v>1</v>
      </c>
      <c r="AR145" s="421" t="str">
        <f>+VLOOKUP(MIN(AP145,AP146,AP147,AP148,AP149,AP150),Listados!$J$18:$K$24,2,TRUE)</f>
        <v>Rara Vez</v>
      </c>
      <c r="AS145" s="421" t="str">
        <f>+VLOOKUP(MIN(AQ145,AQ146,AQ147,AQ148,AQ149,AQ150),Listados!$J$27:$K$32,2,TRUE)</f>
        <v>Insignificante</v>
      </c>
      <c r="AT145" s="421" t="str">
        <f>IF(AND(AR145&lt;&gt;"",AS145&lt;&gt;""),VLOOKUP(AR145&amp;AS145,Listados!$M$3:$N$27,2,FALSE),"")</f>
        <v>Bajo</v>
      </c>
      <c r="AU145" s="421" t="str">
        <f>+VLOOKUP(AT145,Listados!$P$3:$Q$6,2,FALSE)</f>
        <v>Asumir el riesgo</v>
      </c>
      <c r="AV145" s="387"/>
      <c r="AW145" s="388"/>
      <c r="AX145" s="389"/>
      <c r="AY145" s="387"/>
      <c r="AZ145" s="388"/>
      <c r="BA145" s="389"/>
      <c r="BB145" s="387"/>
      <c r="BC145" s="388"/>
      <c r="BD145" s="389"/>
    </row>
    <row r="146" spans="1:56" ht="143.25" thickBot="1">
      <c r="A146" s="405"/>
      <c r="B146" s="407"/>
      <c r="C146" s="408"/>
      <c r="D146" s="409"/>
      <c r="E146" s="164"/>
      <c r="F146" s="164"/>
      <c r="G146" s="165" t="s">
        <v>409</v>
      </c>
      <c r="H146" s="165" t="s">
        <v>16</v>
      </c>
      <c r="I146" s="165" t="s">
        <v>410</v>
      </c>
      <c r="J146" s="407"/>
      <c r="K146" s="425"/>
      <c r="L146" s="428"/>
      <c r="M146" s="425"/>
      <c r="N146" s="435"/>
      <c r="O146" s="182" t="s">
        <v>408</v>
      </c>
      <c r="P146" s="183" t="s">
        <v>409</v>
      </c>
      <c r="Q146" s="183" t="s">
        <v>20</v>
      </c>
      <c r="R146" s="172"/>
      <c r="S146" s="27" t="str">
        <f t="shared" si="32"/>
        <v/>
      </c>
      <c r="T146" s="172"/>
      <c r="U146" s="27" t="str">
        <f t="shared" si="33"/>
        <v/>
      </c>
      <c r="V146" s="150"/>
      <c r="W146" s="27" t="str">
        <f t="shared" si="34"/>
        <v/>
      </c>
      <c r="X146" s="150"/>
      <c r="Y146" s="27" t="str">
        <f t="shared" si="35"/>
        <v/>
      </c>
      <c r="Z146" s="150"/>
      <c r="AA146" s="27" t="str">
        <f t="shared" si="36"/>
        <v/>
      </c>
      <c r="AB146" s="150"/>
      <c r="AC146" s="27" t="str">
        <f t="shared" si="37"/>
        <v/>
      </c>
      <c r="AD146" s="150"/>
      <c r="AE146" s="27" t="str">
        <f t="shared" si="38"/>
        <v/>
      </c>
      <c r="AF146" s="48" t="str">
        <f t="shared" si="39"/>
        <v/>
      </c>
      <c r="AG146" s="48" t="str">
        <f t="shared" si="40"/>
        <v/>
      </c>
      <c r="AH146" s="131"/>
      <c r="AI146" s="149" t="str">
        <f t="shared" si="41"/>
        <v>Débil</v>
      </c>
      <c r="AJ146" s="21" t="str">
        <f>IFERROR(VLOOKUP((CONCATENATE(AG146,AI146)),Listados!$U$3:$V$11,2,FALSE),"")</f>
        <v/>
      </c>
      <c r="AK146" s="48">
        <f t="shared" si="42"/>
        <v>100</v>
      </c>
      <c r="AL146" s="431"/>
      <c r="AM146" s="433"/>
      <c r="AN146" s="169">
        <f>+IF(AND(Q146="Preventivo",AM145="Fuerte"),2,IF(AND(Q146="Preventivo",AM145="Moderado"),1,0))</f>
        <v>2</v>
      </c>
      <c r="AO146" s="169">
        <f t="shared" si="43"/>
        <v>1</v>
      </c>
      <c r="AP146" s="169">
        <f>+K145-AN146</f>
        <v>1</v>
      </c>
      <c r="AQ146" s="169">
        <f>+M145-AO146</f>
        <v>1</v>
      </c>
      <c r="AR146" s="422"/>
      <c r="AS146" s="422"/>
      <c r="AT146" s="422"/>
      <c r="AU146" s="422"/>
      <c r="AV146" s="387"/>
      <c r="AW146" s="388"/>
      <c r="AX146" s="389"/>
      <c r="AY146" s="387"/>
      <c r="AZ146" s="388"/>
      <c r="BA146" s="389"/>
      <c r="BB146" s="387"/>
      <c r="BC146" s="388"/>
      <c r="BD146" s="389"/>
    </row>
    <row r="147" spans="1:56" ht="43.5" thickBot="1">
      <c r="A147" s="405"/>
      <c r="B147" s="407"/>
      <c r="C147" s="408"/>
      <c r="D147" s="409"/>
      <c r="E147" s="164"/>
      <c r="F147" s="164"/>
      <c r="G147" s="165"/>
      <c r="H147" s="165"/>
      <c r="I147" s="165" t="s">
        <v>411</v>
      </c>
      <c r="J147" s="407"/>
      <c r="K147" s="425"/>
      <c r="L147" s="428"/>
      <c r="M147" s="425"/>
      <c r="N147" s="435"/>
      <c r="O147" s="186"/>
      <c r="P147" s="183"/>
      <c r="Q147" s="183"/>
      <c r="R147" s="172"/>
      <c r="S147" s="27" t="str">
        <f t="shared" si="32"/>
        <v/>
      </c>
      <c r="T147" s="172"/>
      <c r="U147" s="27" t="str">
        <f t="shared" si="33"/>
        <v/>
      </c>
      <c r="V147" s="150"/>
      <c r="W147" s="27" t="str">
        <f t="shared" si="34"/>
        <v/>
      </c>
      <c r="X147" s="150"/>
      <c r="Y147" s="27" t="str">
        <f t="shared" si="35"/>
        <v/>
      </c>
      <c r="Z147" s="150"/>
      <c r="AA147" s="27" t="str">
        <f t="shared" si="36"/>
        <v/>
      </c>
      <c r="AB147" s="150"/>
      <c r="AC147" s="27" t="str">
        <f t="shared" si="37"/>
        <v/>
      </c>
      <c r="AD147" s="150"/>
      <c r="AE147" s="27" t="str">
        <f t="shared" si="38"/>
        <v/>
      </c>
      <c r="AF147" s="48" t="str">
        <f t="shared" si="39"/>
        <v/>
      </c>
      <c r="AG147" s="48" t="str">
        <f t="shared" si="40"/>
        <v/>
      </c>
      <c r="AH147" s="131"/>
      <c r="AI147" s="149" t="str">
        <f t="shared" si="41"/>
        <v>Débil</v>
      </c>
      <c r="AJ147" s="21" t="str">
        <f>IFERROR(VLOOKUP((CONCATENATE(AG147,AI147)),Listados!$U$3:$V$11,2,FALSE),"")</f>
        <v/>
      </c>
      <c r="AK147" s="48">
        <f t="shared" si="42"/>
        <v>100</v>
      </c>
      <c r="AL147" s="431"/>
      <c r="AM147" s="433"/>
      <c r="AN147" s="169">
        <f>+IF(AND(Q147="Preventivo",AM145="Fuerte"),2,IF(AND(Q147="Preventivo",AM145="Moderado"),1,0))</f>
        <v>0</v>
      </c>
      <c r="AO147" s="169">
        <f t="shared" si="43"/>
        <v>0</v>
      </c>
      <c r="AP147" s="169">
        <f>+K145-AN147</f>
        <v>3</v>
      </c>
      <c r="AQ147" s="169">
        <f>+M145-AO147</f>
        <v>2</v>
      </c>
      <c r="AR147" s="422"/>
      <c r="AS147" s="422"/>
      <c r="AT147" s="422"/>
      <c r="AU147" s="422"/>
      <c r="AV147" s="387"/>
      <c r="AW147" s="388"/>
      <c r="AX147" s="389"/>
      <c r="AY147" s="387"/>
      <c r="AZ147" s="388"/>
      <c r="BA147" s="389"/>
      <c r="BB147" s="387"/>
      <c r="BC147" s="388"/>
      <c r="BD147" s="389"/>
    </row>
    <row r="148" spans="1:56" ht="15.75" thickBot="1">
      <c r="A148" s="405"/>
      <c r="B148" s="407"/>
      <c r="C148" s="408"/>
      <c r="D148" s="409"/>
      <c r="E148" s="164"/>
      <c r="F148" s="164"/>
      <c r="G148" s="165"/>
      <c r="H148" s="165"/>
      <c r="I148" s="165"/>
      <c r="J148" s="407"/>
      <c r="K148" s="425"/>
      <c r="L148" s="428"/>
      <c r="M148" s="425"/>
      <c r="N148" s="435"/>
      <c r="O148" s="164"/>
      <c r="P148" s="166"/>
      <c r="Q148" s="166"/>
      <c r="R148" s="172"/>
      <c r="S148" s="27" t="str">
        <f t="shared" si="32"/>
        <v/>
      </c>
      <c r="T148" s="172"/>
      <c r="U148" s="27" t="str">
        <f t="shared" si="33"/>
        <v/>
      </c>
      <c r="V148" s="150"/>
      <c r="W148" s="27" t="str">
        <f t="shared" si="34"/>
        <v/>
      </c>
      <c r="X148" s="150"/>
      <c r="Y148" s="27" t="str">
        <f t="shared" si="35"/>
        <v/>
      </c>
      <c r="Z148" s="150"/>
      <c r="AA148" s="27" t="str">
        <f t="shared" si="36"/>
        <v/>
      </c>
      <c r="AB148" s="150"/>
      <c r="AC148" s="27" t="str">
        <f t="shared" si="37"/>
        <v/>
      </c>
      <c r="AD148" s="150"/>
      <c r="AE148" s="27" t="str">
        <f t="shared" si="38"/>
        <v/>
      </c>
      <c r="AF148" s="48" t="str">
        <f t="shared" si="39"/>
        <v/>
      </c>
      <c r="AG148" s="48" t="str">
        <f t="shared" si="40"/>
        <v/>
      </c>
      <c r="AH148" s="131"/>
      <c r="AI148" s="149" t="str">
        <f t="shared" si="41"/>
        <v>Débil</v>
      </c>
      <c r="AJ148" s="21" t="str">
        <f>IFERROR(VLOOKUP((CONCATENATE(AG148,AI148)),Listados!$U$3:$V$11,2,FALSE),"")</f>
        <v/>
      </c>
      <c r="AK148" s="48">
        <f t="shared" si="42"/>
        <v>100</v>
      </c>
      <c r="AL148" s="431"/>
      <c r="AM148" s="433"/>
      <c r="AN148" s="169">
        <f>+IF(AND(Q148="Preventivo",AM145="Fuerte"),2,IF(AND(Q148="Preventivo",AM145="Moderado"),1,0))</f>
        <v>0</v>
      </c>
      <c r="AO148" s="169">
        <f t="shared" si="43"/>
        <v>0</v>
      </c>
      <c r="AP148" s="169">
        <f>+K145-AN148</f>
        <v>3</v>
      </c>
      <c r="AQ148" s="169">
        <f>+M145-AO148</f>
        <v>2</v>
      </c>
      <c r="AR148" s="422"/>
      <c r="AS148" s="422"/>
      <c r="AT148" s="422"/>
      <c r="AU148" s="422"/>
      <c r="AV148" s="387"/>
      <c r="AW148" s="388"/>
      <c r="AX148" s="389"/>
      <c r="AY148" s="387"/>
      <c r="AZ148" s="388"/>
      <c r="BA148" s="389"/>
      <c r="BB148" s="387"/>
      <c r="BC148" s="388"/>
      <c r="BD148" s="389"/>
    </row>
    <row r="149" spans="1:56" ht="15.75" thickBot="1">
      <c r="A149" s="405"/>
      <c r="B149" s="407"/>
      <c r="C149" s="408"/>
      <c r="D149" s="409"/>
      <c r="E149" s="164"/>
      <c r="F149" s="164"/>
      <c r="G149" s="165"/>
      <c r="H149" s="165"/>
      <c r="I149" s="165"/>
      <c r="J149" s="407"/>
      <c r="K149" s="425"/>
      <c r="L149" s="428"/>
      <c r="M149" s="425"/>
      <c r="N149" s="435"/>
      <c r="O149" s="164"/>
      <c r="P149" s="166"/>
      <c r="Q149" s="166"/>
      <c r="R149" s="172"/>
      <c r="S149" s="27" t="str">
        <f t="shared" si="32"/>
        <v/>
      </c>
      <c r="T149" s="172"/>
      <c r="U149" s="27" t="str">
        <f t="shared" si="33"/>
        <v/>
      </c>
      <c r="V149" s="150"/>
      <c r="W149" s="27" t="str">
        <f t="shared" si="34"/>
        <v/>
      </c>
      <c r="X149" s="150"/>
      <c r="Y149" s="27" t="str">
        <f t="shared" si="35"/>
        <v/>
      </c>
      <c r="Z149" s="150"/>
      <c r="AA149" s="27" t="str">
        <f t="shared" si="36"/>
        <v/>
      </c>
      <c r="AB149" s="150"/>
      <c r="AC149" s="27" t="str">
        <f t="shared" si="37"/>
        <v/>
      </c>
      <c r="AD149" s="150"/>
      <c r="AE149" s="27" t="str">
        <f t="shared" si="38"/>
        <v/>
      </c>
      <c r="AF149" s="48" t="str">
        <f t="shared" si="39"/>
        <v/>
      </c>
      <c r="AG149" s="48" t="str">
        <f t="shared" si="40"/>
        <v/>
      </c>
      <c r="AH149" s="131"/>
      <c r="AI149" s="149" t="str">
        <f t="shared" si="41"/>
        <v>Débil</v>
      </c>
      <c r="AJ149" s="21" t="str">
        <f>IFERROR(VLOOKUP((CONCATENATE(AG149,AI149)),Listados!$U$3:$V$11,2,FALSE),"")</f>
        <v/>
      </c>
      <c r="AK149" s="48">
        <f t="shared" si="42"/>
        <v>100</v>
      </c>
      <c r="AL149" s="431"/>
      <c r="AM149" s="433"/>
      <c r="AN149" s="169">
        <f>+IF(AND(Q149="Preventivo",AM145="Fuerte"),2,IF(AND(Q149="Preventivo",AM145="Moderado"),1,0))</f>
        <v>0</v>
      </c>
      <c r="AO149" s="169">
        <f t="shared" si="43"/>
        <v>0</v>
      </c>
      <c r="AP149" s="169">
        <f>+K145-AN149</f>
        <v>3</v>
      </c>
      <c r="AQ149" s="169">
        <f>+M145-AO149</f>
        <v>2</v>
      </c>
      <c r="AR149" s="422"/>
      <c r="AS149" s="422"/>
      <c r="AT149" s="422"/>
      <c r="AU149" s="422"/>
      <c r="AV149" s="387"/>
      <c r="AW149" s="388"/>
      <c r="AX149" s="389"/>
      <c r="AY149" s="387"/>
      <c r="AZ149" s="388"/>
      <c r="BA149" s="389"/>
      <c r="BB149" s="387"/>
      <c r="BC149" s="388"/>
      <c r="BD149" s="389"/>
    </row>
    <row r="150" spans="1:56" ht="15.75" thickBot="1">
      <c r="A150" s="406"/>
      <c r="B150" s="407"/>
      <c r="C150" s="408"/>
      <c r="D150" s="409"/>
      <c r="E150" s="164"/>
      <c r="F150" s="164"/>
      <c r="G150" s="165"/>
      <c r="H150" s="165"/>
      <c r="I150" s="165"/>
      <c r="J150" s="407"/>
      <c r="K150" s="426"/>
      <c r="L150" s="428"/>
      <c r="M150" s="426"/>
      <c r="N150" s="435"/>
      <c r="O150" s="164"/>
      <c r="P150" s="166"/>
      <c r="Q150" s="166"/>
      <c r="R150" s="172"/>
      <c r="S150" s="27" t="str">
        <f t="shared" si="32"/>
        <v/>
      </c>
      <c r="T150" s="172"/>
      <c r="U150" s="27" t="str">
        <f t="shared" si="33"/>
        <v/>
      </c>
      <c r="V150" s="150"/>
      <c r="W150" s="27" t="str">
        <f t="shared" si="34"/>
        <v/>
      </c>
      <c r="X150" s="150"/>
      <c r="Y150" s="27" t="str">
        <f t="shared" si="35"/>
        <v/>
      </c>
      <c r="Z150" s="150"/>
      <c r="AA150" s="27" t="str">
        <f t="shared" si="36"/>
        <v/>
      </c>
      <c r="AB150" s="150"/>
      <c r="AC150" s="27" t="str">
        <f t="shared" si="37"/>
        <v/>
      </c>
      <c r="AD150" s="150"/>
      <c r="AE150" s="27" t="str">
        <f t="shared" si="38"/>
        <v/>
      </c>
      <c r="AF150" s="48" t="str">
        <f t="shared" si="39"/>
        <v/>
      </c>
      <c r="AG150" s="48" t="str">
        <f t="shared" si="40"/>
        <v/>
      </c>
      <c r="AH150" s="131"/>
      <c r="AI150" s="149" t="str">
        <f t="shared" si="41"/>
        <v>Débil</v>
      </c>
      <c r="AJ150" s="21" t="str">
        <f>IFERROR(VLOOKUP((CONCATENATE(AG150,AI150)),Listados!$U$3:$V$11,2,FALSE),"")</f>
        <v/>
      </c>
      <c r="AK150" s="48">
        <f t="shared" si="42"/>
        <v>100</v>
      </c>
      <c r="AL150" s="432"/>
      <c r="AM150" s="433"/>
      <c r="AN150" s="169">
        <f>+IF(AND(Q150="Preventivo",AM145="Fuerte"),2,IF(AND(Q150="Preventivo",AM145="Moderado"),1,0))</f>
        <v>0</v>
      </c>
      <c r="AO150" s="169">
        <f t="shared" si="43"/>
        <v>0</v>
      </c>
      <c r="AP150" s="169">
        <f>+K145-AN150</f>
        <v>3</v>
      </c>
      <c r="AQ150" s="169">
        <f>+M145-AO150</f>
        <v>2</v>
      </c>
      <c r="AR150" s="423"/>
      <c r="AS150" s="423"/>
      <c r="AT150" s="423"/>
      <c r="AU150" s="423"/>
      <c r="AV150" s="387"/>
      <c r="AW150" s="388"/>
      <c r="AX150" s="389"/>
      <c r="AY150" s="387"/>
      <c r="AZ150" s="388"/>
      <c r="BA150" s="389"/>
      <c r="BB150" s="387"/>
      <c r="BC150" s="388"/>
      <c r="BD150" s="389"/>
    </row>
    <row r="151" spans="1:56" ht="252" customHeight="1" thickBot="1">
      <c r="A151" s="404">
        <v>25</v>
      </c>
      <c r="B151" s="407" t="s">
        <v>95</v>
      </c>
      <c r="C151" s="408" t="str">
        <f>IFERROR(VLOOKUP(B151,Listados!B$3:C$20,2,FALSE),"")</f>
        <v>Apoyar a las diferentes dependencias de la Entidad y del Sector Justicia en el cumplimiento de su función administrativa, emitir conceptos jurídicos, defender y representar jurídicamente al Ministerio de Justicia y del Derecho</v>
      </c>
      <c r="D151" s="409" t="s">
        <v>412</v>
      </c>
      <c r="E151" s="164" t="s">
        <v>41</v>
      </c>
      <c r="F151" s="164"/>
      <c r="G151" s="165" t="s">
        <v>413</v>
      </c>
      <c r="H151" s="165" t="s">
        <v>16</v>
      </c>
      <c r="I151" s="165" t="s">
        <v>414</v>
      </c>
      <c r="J151" s="407" t="s">
        <v>31</v>
      </c>
      <c r="K151" s="424">
        <f>+VLOOKUP(J151,Listados!$K$8:$L$12,2,0)</f>
        <v>2</v>
      </c>
      <c r="L151" s="427" t="s">
        <v>32</v>
      </c>
      <c r="M151" s="424">
        <f>+VLOOKUP(L151,Listados!$K$13:$L$17,2,0)</f>
        <v>2</v>
      </c>
      <c r="N151" s="434" t="str">
        <f>IF(AND(J151&lt;&gt;"",L151&lt;&gt;""),VLOOKUP(J151&amp;L151,Listados!$M$3:$N$27,2,FALSE),"")</f>
        <v>Bajo</v>
      </c>
      <c r="O151" s="183" t="s">
        <v>415</v>
      </c>
      <c r="P151" s="182" t="s">
        <v>413</v>
      </c>
      <c r="Q151" s="182" t="s">
        <v>20</v>
      </c>
      <c r="R151" s="172"/>
      <c r="S151" s="27" t="str">
        <f t="shared" si="32"/>
        <v/>
      </c>
      <c r="T151" s="172"/>
      <c r="U151" s="27" t="str">
        <f t="shared" si="33"/>
        <v/>
      </c>
      <c r="V151" s="150"/>
      <c r="W151" s="27" t="str">
        <f t="shared" si="34"/>
        <v/>
      </c>
      <c r="X151" s="150"/>
      <c r="Y151" s="27" t="str">
        <f t="shared" si="35"/>
        <v/>
      </c>
      <c r="Z151" s="150"/>
      <c r="AA151" s="27" t="str">
        <f t="shared" si="36"/>
        <v/>
      </c>
      <c r="AB151" s="150"/>
      <c r="AC151" s="27" t="str">
        <f t="shared" si="37"/>
        <v/>
      </c>
      <c r="AD151" s="150"/>
      <c r="AE151" s="27" t="str">
        <f t="shared" si="38"/>
        <v/>
      </c>
      <c r="AF151" s="48" t="str">
        <f t="shared" si="39"/>
        <v/>
      </c>
      <c r="AG151" s="48" t="str">
        <f t="shared" si="40"/>
        <v/>
      </c>
      <c r="AH151" s="131"/>
      <c r="AI151" s="149" t="str">
        <f t="shared" si="41"/>
        <v>Débil</v>
      </c>
      <c r="AJ151" s="21" t="str">
        <f>IFERROR(VLOOKUP((CONCATENATE(AG151,AI151)),Listados!$U$3:$V$11,2,FALSE),"")</f>
        <v/>
      </c>
      <c r="AK151" s="48">
        <f t="shared" si="42"/>
        <v>100</v>
      </c>
      <c r="AL151" s="430">
        <f>AVERAGE(AK151:AK156)</f>
        <v>100</v>
      </c>
      <c r="AM151" s="432" t="str">
        <f>IF(AL151&lt;=50, "Débil", IF(AL151&lt;=99,"Moderado","Fuerte"))</f>
        <v>Fuerte</v>
      </c>
      <c r="AN151" s="169">
        <f>+IF(AND(Q151="Preventivo",AM151="Fuerte"),2,IF(AND(Q151="Preventivo",AM151="Moderado"),1,0))</f>
        <v>2</v>
      </c>
      <c r="AO151" s="169">
        <f t="shared" si="43"/>
        <v>1</v>
      </c>
      <c r="AP151" s="169">
        <f>+K151-AN151</f>
        <v>0</v>
      </c>
      <c r="AQ151" s="169">
        <f>+M151-AO151</f>
        <v>1</v>
      </c>
      <c r="AR151" s="421" t="str">
        <f>+VLOOKUP(MIN(AP151,AP152,AP153,AP154,AP155,AP156),Listados!$J$18:$K$24,2,TRUE)</f>
        <v>Rara Vez</v>
      </c>
      <c r="AS151" s="421" t="str">
        <f>+VLOOKUP(MIN(AQ151,AQ152,AQ153,AQ154,AQ155,AQ156),Listados!$J$27:$K$32,2,TRUE)</f>
        <v>Insignificante</v>
      </c>
      <c r="AT151" s="421" t="str">
        <f>IF(AND(AR151&lt;&gt;"",AS151&lt;&gt;""),VLOOKUP(AR151&amp;AS151,Listados!$M$3:$N$27,2,FALSE),"")</f>
        <v>Bajo</v>
      </c>
      <c r="AU151" s="421" t="str">
        <f>+VLOOKUP(AT151,Listados!$P$3:$Q$6,2,FALSE)</f>
        <v>Asumir el riesgo</v>
      </c>
      <c r="AV151" s="387"/>
      <c r="AW151" s="388"/>
      <c r="AX151" s="389"/>
      <c r="AY151" s="387"/>
      <c r="AZ151" s="388"/>
      <c r="BA151" s="389"/>
      <c r="BB151" s="387"/>
      <c r="BC151" s="388"/>
      <c r="BD151" s="389"/>
    </row>
    <row r="152" spans="1:56" ht="158.25" thickBot="1">
      <c r="A152" s="405"/>
      <c r="B152" s="407"/>
      <c r="C152" s="408"/>
      <c r="D152" s="409"/>
      <c r="E152" s="164"/>
      <c r="F152" s="164"/>
      <c r="G152" s="165" t="s">
        <v>416</v>
      </c>
      <c r="H152" s="165" t="s">
        <v>16</v>
      </c>
      <c r="I152" s="165" t="s">
        <v>417</v>
      </c>
      <c r="J152" s="407"/>
      <c r="K152" s="425"/>
      <c r="L152" s="428"/>
      <c r="M152" s="425"/>
      <c r="N152" s="435"/>
      <c r="O152" s="183" t="s">
        <v>415</v>
      </c>
      <c r="P152" s="182" t="s">
        <v>416</v>
      </c>
      <c r="Q152" s="182" t="s">
        <v>20</v>
      </c>
      <c r="R152" s="172"/>
      <c r="S152" s="27" t="str">
        <f t="shared" si="32"/>
        <v/>
      </c>
      <c r="T152" s="172"/>
      <c r="U152" s="27" t="str">
        <f t="shared" si="33"/>
        <v/>
      </c>
      <c r="V152" s="150"/>
      <c r="W152" s="27" t="str">
        <f t="shared" si="34"/>
        <v/>
      </c>
      <c r="X152" s="150"/>
      <c r="Y152" s="27" t="str">
        <f t="shared" si="35"/>
        <v/>
      </c>
      <c r="Z152" s="150"/>
      <c r="AA152" s="27" t="str">
        <f t="shared" si="36"/>
        <v/>
      </c>
      <c r="AB152" s="150"/>
      <c r="AC152" s="27" t="str">
        <f t="shared" si="37"/>
        <v/>
      </c>
      <c r="AD152" s="150"/>
      <c r="AE152" s="27" t="str">
        <f t="shared" si="38"/>
        <v/>
      </c>
      <c r="AF152" s="48" t="str">
        <f t="shared" si="39"/>
        <v/>
      </c>
      <c r="AG152" s="48" t="str">
        <f t="shared" si="40"/>
        <v/>
      </c>
      <c r="AH152" s="131"/>
      <c r="AI152" s="149" t="str">
        <f t="shared" si="41"/>
        <v>Débil</v>
      </c>
      <c r="AJ152" s="21" t="str">
        <f>IFERROR(VLOOKUP((CONCATENATE(AG152,AI152)),Listados!$U$3:$V$11,2,FALSE),"")</f>
        <v/>
      </c>
      <c r="AK152" s="48">
        <f t="shared" si="42"/>
        <v>100</v>
      </c>
      <c r="AL152" s="431"/>
      <c r="AM152" s="433"/>
      <c r="AN152" s="169">
        <f>+IF(AND(Q152="Preventivo",AM151="Fuerte"),2,IF(AND(Q152="Preventivo",AM151="Moderado"),1,0))</f>
        <v>2</v>
      </c>
      <c r="AO152" s="169">
        <f t="shared" si="43"/>
        <v>1</v>
      </c>
      <c r="AP152" s="169">
        <f>+K151-AN152</f>
        <v>0</v>
      </c>
      <c r="AQ152" s="169">
        <f>+M151-AO152</f>
        <v>1</v>
      </c>
      <c r="AR152" s="422"/>
      <c r="AS152" s="422"/>
      <c r="AT152" s="422"/>
      <c r="AU152" s="422"/>
      <c r="AV152" s="387"/>
      <c r="AW152" s="388"/>
      <c r="AX152" s="389"/>
      <c r="AY152" s="387"/>
      <c r="AZ152" s="388"/>
      <c r="BA152" s="389"/>
      <c r="BB152" s="387"/>
      <c r="BC152" s="388"/>
      <c r="BD152" s="389"/>
    </row>
    <row r="153" spans="1:56" ht="172.5" thickBot="1">
      <c r="A153" s="405"/>
      <c r="B153" s="407"/>
      <c r="C153" s="408"/>
      <c r="D153" s="409"/>
      <c r="E153" s="164"/>
      <c r="F153" s="164"/>
      <c r="G153" s="165"/>
      <c r="H153" s="165"/>
      <c r="I153" s="165"/>
      <c r="J153" s="407"/>
      <c r="K153" s="425"/>
      <c r="L153" s="428"/>
      <c r="M153" s="425"/>
      <c r="N153" s="435"/>
      <c r="O153" s="183" t="s">
        <v>418</v>
      </c>
      <c r="P153" s="182" t="s">
        <v>416</v>
      </c>
      <c r="Q153" s="182" t="s">
        <v>123</v>
      </c>
      <c r="R153" s="172"/>
      <c r="S153" s="27" t="str">
        <f t="shared" si="32"/>
        <v/>
      </c>
      <c r="T153" s="172"/>
      <c r="U153" s="27" t="str">
        <f t="shared" si="33"/>
        <v/>
      </c>
      <c r="V153" s="150"/>
      <c r="W153" s="27" t="str">
        <f t="shared" si="34"/>
        <v/>
      </c>
      <c r="X153" s="150"/>
      <c r="Y153" s="27" t="str">
        <f t="shared" si="35"/>
        <v/>
      </c>
      <c r="Z153" s="150"/>
      <c r="AA153" s="27" t="str">
        <f t="shared" si="36"/>
        <v/>
      </c>
      <c r="AB153" s="150"/>
      <c r="AC153" s="27" t="str">
        <f t="shared" si="37"/>
        <v/>
      </c>
      <c r="AD153" s="150"/>
      <c r="AE153" s="27" t="str">
        <f t="shared" si="38"/>
        <v/>
      </c>
      <c r="AF153" s="48" t="str">
        <f t="shared" si="39"/>
        <v/>
      </c>
      <c r="AG153" s="48" t="str">
        <f t="shared" si="40"/>
        <v/>
      </c>
      <c r="AH153" s="131"/>
      <c r="AI153" s="149" t="str">
        <f t="shared" si="41"/>
        <v>Débil</v>
      </c>
      <c r="AJ153" s="21" t="str">
        <f>IFERROR(VLOOKUP((CONCATENATE(AG153,AI153)),Listados!$U$3:$V$11,2,FALSE),"")</f>
        <v/>
      </c>
      <c r="AK153" s="48">
        <f t="shared" si="42"/>
        <v>100</v>
      </c>
      <c r="AL153" s="431"/>
      <c r="AM153" s="433"/>
      <c r="AN153" s="169">
        <f>+IF(AND(Q153="Preventivo",AM151="Fuerte"),2,IF(AND(Q153="Preventivo",AM151="Moderado"),1,0))</f>
        <v>0</v>
      </c>
      <c r="AO153" s="169">
        <f t="shared" si="43"/>
        <v>2</v>
      </c>
      <c r="AP153" s="169">
        <f>+K151-AN153</f>
        <v>2</v>
      </c>
      <c r="AQ153" s="169">
        <f>+M151-AO153</f>
        <v>0</v>
      </c>
      <c r="AR153" s="422"/>
      <c r="AS153" s="422"/>
      <c r="AT153" s="422"/>
      <c r="AU153" s="422"/>
      <c r="AV153" s="387"/>
      <c r="AW153" s="388"/>
      <c r="AX153" s="389"/>
      <c r="AY153" s="387"/>
      <c r="AZ153" s="388"/>
      <c r="BA153" s="389"/>
      <c r="BB153" s="387"/>
      <c r="BC153" s="388"/>
      <c r="BD153" s="389"/>
    </row>
    <row r="154" spans="1:56" ht="15.75" thickBot="1">
      <c r="A154" s="405"/>
      <c r="B154" s="407"/>
      <c r="C154" s="408"/>
      <c r="D154" s="409"/>
      <c r="E154" s="164"/>
      <c r="F154" s="164"/>
      <c r="G154" s="165"/>
      <c r="H154" s="165"/>
      <c r="I154" s="165"/>
      <c r="J154" s="407"/>
      <c r="K154" s="425"/>
      <c r="L154" s="428"/>
      <c r="M154" s="425"/>
      <c r="N154" s="435"/>
      <c r="O154" s="164"/>
      <c r="P154" s="166"/>
      <c r="Q154" s="166"/>
      <c r="R154" s="172"/>
      <c r="S154" s="27" t="str">
        <f t="shared" si="32"/>
        <v/>
      </c>
      <c r="T154" s="172"/>
      <c r="U154" s="27" t="str">
        <f t="shared" si="33"/>
        <v/>
      </c>
      <c r="V154" s="150"/>
      <c r="W154" s="27" t="str">
        <f t="shared" si="34"/>
        <v/>
      </c>
      <c r="X154" s="150"/>
      <c r="Y154" s="27" t="str">
        <f t="shared" si="35"/>
        <v/>
      </c>
      <c r="Z154" s="150"/>
      <c r="AA154" s="27" t="str">
        <f t="shared" si="36"/>
        <v/>
      </c>
      <c r="AB154" s="150"/>
      <c r="AC154" s="27" t="str">
        <f t="shared" si="37"/>
        <v/>
      </c>
      <c r="AD154" s="150"/>
      <c r="AE154" s="27" t="str">
        <f t="shared" si="38"/>
        <v/>
      </c>
      <c r="AF154" s="48" t="str">
        <f t="shared" si="39"/>
        <v/>
      </c>
      <c r="AG154" s="48" t="str">
        <f t="shared" si="40"/>
        <v/>
      </c>
      <c r="AH154" s="131"/>
      <c r="AI154" s="149" t="str">
        <f t="shared" si="41"/>
        <v>Débil</v>
      </c>
      <c r="AJ154" s="21" t="str">
        <f>IFERROR(VLOOKUP((CONCATENATE(AG154,AI154)),Listados!$U$3:$V$11,2,FALSE),"")</f>
        <v/>
      </c>
      <c r="AK154" s="48">
        <f t="shared" si="42"/>
        <v>100</v>
      </c>
      <c r="AL154" s="431"/>
      <c r="AM154" s="433"/>
      <c r="AN154" s="169">
        <f>+IF(AND(Q154="Preventivo",AM151="Fuerte"),2,IF(AND(Q154="Preventivo",AM151="Moderado"),1,0))</f>
        <v>0</v>
      </c>
      <c r="AO154" s="169">
        <f t="shared" si="43"/>
        <v>0</v>
      </c>
      <c r="AP154" s="169">
        <f>+K151-AN154</f>
        <v>2</v>
      </c>
      <c r="AQ154" s="169">
        <f>+M151-AO154</f>
        <v>2</v>
      </c>
      <c r="AR154" s="422"/>
      <c r="AS154" s="422"/>
      <c r="AT154" s="422"/>
      <c r="AU154" s="422"/>
      <c r="AV154" s="387"/>
      <c r="AW154" s="388"/>
      <c r="AX154" s="389"/>
      <c r="AY154" s="387"/>
      <c r="AZ154" s="388"/>
      <c r="BA154" s="389"/>
      <c r="BB154" s="387"/>
      <c r="BC154" s="388"/>
      <c r="BD154" s="389"/>
    </row>
    <row r="155" spans="1:56" ht="15.75" thickBot="1">
      <c r="A155" s="405"/>
      <c r="B155" s="407"/>
      <c r="C155" s="408"/>
      <c r="D155" s="409"/>
      <c r="E155" s="164"/>
      <c r="F155" s="164"/>
      <c r="G155" s="165"/>
      <c r="H155" s="165"/>
      <c r="I155" s="165"/>
      <c r="J155" s="407"/>
      <c r="K155" s="425"/>
      <c r="L155" s="428"/>
      <c r="M155" s="425"/>
      <c r="N155" s="435"/>
      <c r="O155" s="164"/>
      <c r="P155" s="166"/>
      <c r="Q155" s="166"/>
      <c r="R155" s="172"/>
      <c r="S155" s="27" t="str">
        <f t="shared" si="32"/>
        <v/>
      </c>
      <c r="T155" s="172"/>
      <c r="U155" s="27" t="str">
        <f t="shared" si="33"/>
        <v/>
      </c>
      <c r="V155" s="150"/>
      <c r="W155" s="27" t="str">
        <f t="shared" si="34"/>
        <v/>
      </c>
      <c r="X155" s="150"/>
      <c r="Y155" s="27" t="str">
        <f t="shared" si="35"/>
        <v/>
      </c>
      <c r="Z155" s="150"/>
      <c r="AA155" s="27" t="str">
        <f t="shared" si="36"/>
        <v/>
      </c>
      <c r="AB155" s="150"/>
      <c r="AC155" s="27" t="str">
        <f t="shared" si="37"/>
        <v/>
      </c>
      <c r="AD155" s="150"/>
      <c r="AE155" s="27" t="str">
        <f t="shared" si="38"/>
        <v/>
      </c>
      <c r="AF155" s="48" t="str">
        <f t="shared" si="39"/>
        <v/>
      </c>
      <c r="AG155" s="48" t="str">
        <f t="shared" si="40"/>
        <v/>
      </c>
      <c r="AH155" s="131"/>
      <c r="AI155" s="149" t="str">
        <f t="shared" si="41"/>
        <v>Débil</v>
      </c>
      <c r="AJ155" s="21" t="str">
        <f>IFERROR(VLOOKUP((CONCATENATE(AG155,AI155)),Listados!$U$3:$V$11,2,FALSE),"")</f>
        <v/>
      </c>
      <c r="AK155" s="48">
        <f t="shared" si="42"/>
        <v>100</v>
      </c>
      <c r="AL155" s="431"/>
      <c r="AM155" s="433"/>
      <c r="AN155" s="169">
        <f>+IF(AND(Q155="Preventivo",AM151="Fuerte"),2,IF(AND(Q155="Preventivo",AM151="Moderado"),1,0))</f>
        <v>0</v>
      </c>
      <c r="AO155" s="169">
        <f t="shared" si="43"/>
        <v>0</v>
      </c>
      <c r="AP155" s="169">
        <f>+K151-AN155</f>
        <v>2</v>
      </c>
      <c r="AQ155" s="169">
        <f>+M151-AO155</f>
        <v>2</v>
      </c>
      <c r="AR155" s="422"/>
      <c r="AS155" s="422"/>
      <c r="AT155" s="422"/>
      <c r="AU155" s="422"/>
      <c r="AV155" s="387"/>
      <c r="AW155" s="388"/>
      <c r="AX155" s="389"/>
      <c r="AY155" s="387"/>
      <c r="AZ155" s="388"/>
      <c r="BA155" s="389"/>
      <c r="BB155" s="387"/>
      <c r="BC155" s="388"/>
      <c r="BD155" s="389"/>
    </row>
    <row r="156" spans="1:56" ht="15.75" thickBot="1">
      <c r="A156" s="406"/>
      <c r="B156" s="407"/>
      <c r="C156" s="408"/>
      <c r="D156" s="409"/>
      <c r="E156" s="164"/>
      <c r="F156" s="164"/>
      <c r="G156" s="165"/>
      <c r="H156" s="165"/>
      <c r="I156" s="165"/>
      <c r="J156" s="407"/>
      <c r="K156" s="426"/>
      <c r="L156" s="428"/>
      <c r="M156" s="426"/>
      <c r="N156" s="435"/>
      <c r="O156" s="164"/>
      <c r="P156" s="166"/>
      <c r="Q156" s="166"/>
      <c r="R156" s="172"/>
      <c r="S156" s="27" t="str">
        <f t="shared" si="32"/>
        <v/>
      </c>
      <c r="T156" s="172"/>
      <c r="U156" s="27" t="str">
        <f t="shared" si="33"/>
        <v/>
      </c>
      <c r="V156" s="150"/>
      <c r="W156" s="27" t="str">
        <f t="shared" si="34"/>
        <v/>
      </c>
      <c r="X156" s="150"/>
      <c r="Y156" s="27" t="str">
        <f t="shared" si="35"/>
        <v/>
      </c>
      <c r="Z156" s="150"/>
      <c r="AA156" s="27" t="str">
        <f t="shared" si="36"/>
        <v/>
      </c>
      <c r="AB156" s="150"/>
      <c r="AC156" s="27" t="str">
        <f t="shared" si="37"/>
        <v/>
      </c>
      <c r="AD156" s="150"/>
      <c r="AE156" s="27" t="str">
        <f t="shared" si="38"/>
        <v/>
      </c>
      <c r="AF156" s="48" t="str">
        <f t="shared" si="39"/>
        <v/>
      </c>
      <c r="AG156" s="48" t="str">
        <f t="shared" si="40"/>
        <v/>
      </c>
      <c r="AH156" s="131"/>
      <c r="AI156" s="149" t="str">
        <f t="shared" si="41"/>
        <v>Débil</v>
      </c>
      <c r="AJ156" s="21" t="str">
        <f>IFERROR(VLOOKUP((CONCATENATE(AG156,AI156)),Listados!$U$3:$V$11,2,FALSE),"")</f>
        <v/>
      </c>
      <c r="AK156" s="48">
        <f t="shared" si="42"/>
        <v>100</v>
      </c>
      <c r="AL156" s="432"/>
      <c r="AM156" s="433"/>
      <c r="AN156" s="169">
        <f>+IF(AND(Q156="Preventivo",AM151="Fuerte"),2,IF(AND(Q156="Preventivo",AM151="Moderado"),1,0))</f>
        <v>0</v>
      </c>
      <c r="AO156" s="169">
        <f t="shared" si="43"/>
        <v>0</v>
      </c>
      <c r="AP156" s="169">
        <f>+K151-AN156</f>
        <v>2</v>
      </c>
      <c r="AQ156" s="169">
        <f>+M151-AO156</f>
        <v>2</v>
      </c>
      <c r="AR156" s="423"/>
      <c r="AS156" s="423"/>
      <c r="AT156" s="423"/>
      <c r="AU156" s="423"/>
      <c r="AV156" s="387"/>
      <c r="AW156" s="388"/>
      <c r="AX156" s="389"/>
      <c r="AY156" s="387"/>
      <c r="AZ156" s="388"/>
      <c r="BA156" s="389"/>
      <c r="BB156" s="387"/>
      <c r="BC156" s="388"/>
      <c r="BD156" s="389"/>
    </row>
    <row r="157" spans="1:56" ht="186.75" thickBot="1">
      <c r="A157" s="404">
        <v>26</v>
      </c>
      <c r="B157" s="407" t="s">
        <v>68</v>
      </c>
      <c r="C157" s="408" t="str">
        <f>IFERROR(VLOOKUP(B157,Listados!B$3:C$20,2,FALSE),"")</f>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
      <c r="D157" s="409" t="s">
        <v>419</v>
      </c>
      <c r="E157" s="164" t="s">
        <v>15</v>
      </c>
      <c r="F157" s="164" t="s">
        <v>178</v>
      </c>
      <c r="G157" s="165" t="s">
        <v>420</v>
      </c>
      <c r="H157" s="165" t="s">
        <v>16</v>
      </c>
      <c r="I157" s="165" t="s">
        <v>421</v>
      </c>
      <c r="J157" s="407" t="s">
        <v>21</v>
      </c>
      <c r="K157" s="424">
        <f>+VLOOKUP(J157,Listados!$K$8:$L$12,2,0)</f>
        <v>1</v>
      </c>
      <c r="L157" s="427" t="s">
        <v>64</v>
      </c>
      <c r="M157" s="424">
        <f>+VLOOKUP(L157,Listados!$K$13:$L$17,2,0)</f>
        <v>5</v>
      </c>
      <c r="N157" s="434" t="str">
        <f>IF(AND(J157&lt;&gt;"",L157&lt;&gt;""),VLOOKUP(J157&amp;L157,Listados!$M$3:$N$27,2,FALSE),"")</f>
        <v>Extremo</v>
      </c>
      <c r="O157" s="166" t="s">
        <v>422</v>
      </c>
      <c r="P157" s="164" t="s">
        <v>420</v>
      </c>
      <c r="Q157" s="182" t="s">
        <v>20</v>
      </c>
      <c r="R157" s="172"/>
      <c r="S157" s="27" t="str">
        <f t="shared" si="32"/>
        <v/>
      </c>
      <c r="T157" s="172"/>
      <c r="U157" s="27" t="str">
        <f t="shared" si="33"/>
        <v/>
      </c>
      <c r="V157" s="150"/>
      <c r="W157" s="27" t="str">
        <f t="shared" si="34"/>
        <v/>
      </c>
      <c r="X157" s="150"/>
      <c r="Y157" s="27" t="str">
        <f t="shared" si="35"/>
        <v/>
      </c>
      <c r="Z157" s="150"/>
      <c r="AA157" s="27" t="str">
        <f t="shared" si="36"/>
        <v/>
      </c>
      <c r="AB157" s="150"/>
      <c r="AC157" s="27" t="str">
        <f t="shared" si="37"/>
        <v/>
      </c>
      <c r="AD157" s="150"/>
      <c r="AE157" s="27" t="str">
        <f t="shared" si="38"/>
        <v/>
      </c>
      <c r="AF157" s="48" t="str">
        <f t="shared" si="39"/>
        <v/>
      </c>
      <c r="AG157" s="48" t="str">
        <f t="shared" si="40"/>
        <v/>
      </c>
      <c r="AH157" s="131"/>
      <c r="AI157" s="149" t="str">
        <f t="shared" si="41"/>
        <v>Débil</v>
      </c>
      <c r="AJ157" s="21" t="str">
        <f>IFERROR(VLOOKUP((CONCATENATE(AG157,AI157)),Listados!$U$3:$V$11,2,FALSE),"")</f>
        <v/>
      </c>
      <c r="AK157" s="48">
        <f t="shared" si="42"/>
        <v>100</v>
      </c>
      <c r="AL157" s="430">
        <f>AVERAGE(AK157:AK162)</f>
        <v>100</v>
      </c>
      <c r="AM157" s="432" t="str">
        <f>IF(AL157&lt;=50, "Débil", IF(AL157&lt;=99,"Moderado","Fuerte"))</f>
        <v>Fuerte</v>
      </c>
      <c r="AN157" s="169">
        <f>+IF(AND(Q157="Preventivo",AM157="Fuerte"),2,IF(AND(Q157="Preventivo",AM157="Moderado"),1,0))</f>
        <v>2</v>
      </c>
      <c r="AO157" s="169">
        <f t="shared" si="43"/>
        <v>1</v>
      </c>
      <c r="AP157" s="169">
        <f>+K157-AN157</f>
        <v>-1</v>
      </c>
      <c r="AQ157" s="169">
        <f>+M157-AO157</f>
        <v>4</v>
      </c>
      <c r="AR157" s="421" t="str">
        <f>+VLOOKUP(MIN(AP157,AP158,AP159,AP160,AP161,AP162),Listados!$J$18:$K$24,2,TRUE)</f>
        <v>Rara Vez</v>
      </c>
      <c r="AS157" s="421" t="str">
        <f>+VLOOKUP(MIN(AQ157,AQ158,AQ159,AQ160,AQ161,AQ162),Listados!$J$27:$K$32,2,TRUE)</f>
        <v>Mayor</v>
      </c>
      <c r="AT157" s="421" t="str">
        <f>IF(AND(AR157&lt;&gt;"",AS157&lt;&gt;""),VLOOKUP(AR157&amp;AS157,Listados!$M$3:$N$27,2,FALSE),"")</f>
        <v>Alto</v>
      </c>
      <c r="AU157" s="421" t="str">
        <f>+VLOOKUP(AT157,Listados!$P$3:$Q$6,2,FALSE)</f>
        <v>Reducir el riesgo</v>
      </c>
      <c r="AV157" s="387"/>
      <c r="AW157" s="388"/>
      <c r="AX157" s="389"/>
      <c r="AY157" s="387"/>
      <c r="AZ157" s="388"/>
      <c r="BA157" s="389"/>
      <c r="BB157" s="387"/>
      <c r="BC157" s="388"/>
      <c r="BD157" s="389"/>
    </row>
    <row r="158" spans="1:56" ht="186" thickBot="1">
      <c r="A158" s="405"/>
      <c r="B158" s="407"/>
      <c r="C158" s="408"/>
      <c r="D158" s="409"/>
      <c r="E158" s="164"/>
      <c r="F158" s="164"/>
      <c r="G158" s="165" t="s">
        <v>423</v>
      </c>
      <c r="H158" s="165" t="s">
        <v>16</v>
      </c>
      <c r="I158" s="165" t="s">
        <v>424</v>
      </c>
      <c r="J158" s="407"/>
      <c r="K158" s="425"/>
      <c r="L158" s="428"/>
      <c r="M158" s="425"/>
      <c r="N158" s="435"/>
      <c r="O158" s="165" t="s">
        <v>425</v>
      </c>
      <c r="P158" s="164" t="s">
        <v>420</v>
      </c>
      <c r="Q158" s="182" t="s">
        <v>20</v>
      </c>
      <c r="R158" s="172"/>
      <c r="S158" s="27" t="str">
        <f t="shared" si="32"/>
        <v/>
      </c>
      <c r="T158" s="172"/>
      <c r="U158" s="27" t="str">
        <f t="shared" si="33"/>
        <v/>
      </c>
      <c r="V158" s="150"/>
      <c r="W158" s="27" t="str">
        <f t="shared" si="34"/>
        <v/>
      </c>
      <c r="X158" s="150"/>
      <c r="Y158" s="27" t="str">
        <f t="shared" si="35"/>
        <v/>
      </c>
      <c r="Z158" s="150"/>
      <c r="AA158" s="27" t="str">
        <f t="shared" si="36"/>
        <v/>
      </c>
      <c r="AB158" s="150"/>
      <c r="AC158" s="27" t="str">
        <f t="shared" si="37"/>
        <v/>
      </c>
      <c r="AD158" s="150"/>
      <c r="AE158" s="27" t="str">
        <f t="shared" si="38"/>
        <v/>
      </c>
      <c r="AF158" s="48" t="str">
        <f t="shared" si="39"/>
        <v/>
      </c>
      <c r="AG158" s="48" t="str">
        <f t="shared" si="40"/>
        <v/>
      </c>
      <c r="AH158" s="131"/>
      <c r="AI158" s="149" t="str">
        <f t="shared" si="41"/>
        <v>Débil</v>
      </c>
      <c r="AJ158" s="21" t="str">
        <f>IFERROR(VLOOKUP((CONCATENATE(AG158,AI158)),Listados!$U$3:$V$11,2,FALSE),"")</f>
        <v/>
      </c>
      <c r="AK158" s="48">
        <f t="shared" si="42"/>
        <v>100</v>
      </c>
      <c r="AL158" s="431"/>
      <c r="AM158" s="433"/>
      <c r="AN158" s="169">
        <f>+IF(AND(Q158="Preventivo",AM157="Fuerte"),2,IF(AND(Q158="Preventivo",AM157="Moderado"),1,0))</f>
        <v>2</v>
      </c>
      <c r="AO158" s="169">
        <f t="shared" si="43"/>
        <v>1</v>
      </c>
      <c r="AP158" s="169">
        <f>+K157-AN158</f>
        <v>-1</v>
      </c>
      <c r="AQ158" s="169">
        <f>+M157-AO158</f>
        <v>4</v>
      </c>
      <c r="AR158" s="422"/>
      <c r="AS158" s="422"/>
      <c r="AT158" s="422"/>
      <c r="AU158" s="422"/>
      <c r="AV158" s="387"/>
      <c r="AW158" s="388"/>
      <c r="AX158" s="389"/>
      <c r="AY158" s="387"/>
      <c r="AZ158" s="388"/>
      <c r="BA158" s="389"/>
      <c r="BB158" s="387"/>
      <c r="BC158" s="388"/>
      <c r="BD158" s="389"/>
    </row>
    <row r="159" spans="1:56" ht="215.25" thickBot="1">
      <c r="A159" s="405"/>
      <c r="B159" s="407"/>
      <c r="C159" s="408"/>
      <c r="D159" s="409"/>
      <c r="E159" s="164"/>
      <c r="F159" s="164"/>
      <c r="G159" s="165" t="s">
        <v>426</v>
      </c>
      <c r="H159" s="165" t="s">
        <v>16</v>
      </c>
      <c r="I159" s="165" t="s">
        <v>236</v>
      </c>
      <c r="J159" s="407"/>
      <c r="K159" s="425"/>
      <c r="L159" s="428"/>
      <c r="M159" s="425"/>
      <c r="N159" s="435"/>
      <c r="O159" s="166" t="s">
        <v>427</v>
      </c>
      <c r="P159" s="164" t="s">
        <v>423</v>
      </c>
      <c r="Q159" s="182" t="s">
        <v>20</v>
      </c>
      <c r="R159" s="172"/>
      <c r="S159" s="27" t="str">
        <f t="shared" si="32"/>
        <v/>
      </c>
      <c r="T159" s="172"/>
      <c r="U159" s="27" t="str">
        <f t="shared" si="33"/>
        <v/>
      </c>
      <c r="V159" s="150"/>
      <c r="W159" s="27" t="str">
        <f t="shared" si="34"/>
        <v/>
      </c>
      <c r="X159" s="150"/>
      <c r="Y159" s="27" t="str">
        <f t="shared" si="35"/>
        <v/>
      </c>
      <c r="Z159" s="150"/>
      <c r="AA159" s="27" t="str">
        <f t="shared" si="36"/>
        <v/>
      </c>
      <c r="AB159" s="150"/>
      <c r="AC159" s="27" t="str">
        <f t="shared" si="37"/>
        <v/>
      </c>
      <c r="AD159" s="150"/>
      <c r="AE159" s="27" t="str">
        <f t="shared" si="38"/>
        <v/>
      </c>
      <c r="AF159" s="48" t="str">
        <f t="shared" si="39"/>
        <v/>
      </c>
      <c r="AG159" s="48" t="str">
        <f t="shared" si="40"/>
        <v/>
      </c>
      <c r="AH159" s="131"/>
      <c r="AI159" s="149" t="str">
        <f t="shared" si="41"/>
        <v>Débil</v>
      </c>
      <c r="AJ159" s="21" t="str">
        <f>IFERROR(VLOOKUP((CONCATENATE(AG159,AI159)),Listados!$U$3:$V$11,2,FALSE),"")</f>
        <v/>
      </c>
      <c r="AK159" s="48">
        <f t="shared" si="42"/>
        <v>100</v>
      </c>
      <c r="AL159" s="431"/>
      <c r="AM159" s="433"/>
      <c r="AN159" s="169">
        <f>+IF(AND(Q159="Preventivo",AM157="Fuerte"),2,IF(AND(Q159="Preventivo",AM157="Moderado"),1,0))</f>
        <v>2</v>
      </c>
      <c r="AO159" s="169">
        <f t="shared" si="43"/>
        <v>1</v>
      </c>
      <c r="AP159" s="169">
        <f>+K157-AN159</f>
        <v>-1</v>
      </c>
      <c r="AQ159" s="169">
        <f>+M157-AO159</f>
        <v>4</v>
      </c>
      <c r="AR159" s="422"/>
      <c r="AS159" s="422"/>
      <c r="AT159" s="422"/>
      <c r="AU159" s="422"/>
      <c r="AV159" s="387"/>
      <c r="AW159" s="388"/>
      <c r="AX159" s="389"/>
      <c r="AY159" s="387"/>
      <c r="AZ159" s="388"/>
      <c r="BA159" s="389"/>
      <c r="BB159" s="387"/>
      <c r="BC159" s="388"/>
      <c r="BD159" s="389"/>
    </row>
    <row r="160" spans="1:56" ht="215.25" thickBot="1">
      <c r="A160" s="405"/>
      <c r="B160" s="407"/>
      <c r="C160" s="408"/>
      <c r="D160" s="409"/>
      <c r="E160" s="164"/>
      <c r="F160" s="164"/>
      <c r="G160" s="165"/>
      <c r="H160" s="165"/>
      <c r="I160" s="165"/>
      <c r="J160" s="407"/>
      <c r="K160" s="425"/>
      <c r="L160" s="428"/>
      <c r="M160" s="425"/>
      <c r="N160" s="435"/>
      <c r="O160" s="166" t="s">
        <v>427</v>
      </c>
      <c r="P160" s="164" t="s">
        <v>426</v>
      </c>
      <c r="Q160" s="182" t="s">
        <v>20</v>
      </c>
      <c r="R160" s="172"/>
      <c r="S160" s="27" t="str">
        <f t="shared" si="32"/>
        <v/>
      </c>
      <c r="T160" s="172"/>
      <c r="U160" s="27" t="str">
        <f t="shared" si="33"/>
        <v/>
      </c>
      <c r="V160" s="150"/>
      <c r="W160" s="27" t="str">
        <f t="shared" si="34"/>
        <v/>
      </c>
      <c r="X160" s="150"/>
      <c r="Y160" s="27" t="str">
        <f t="shared" si="35"/>
        <v/>
      </c>
      <c r="Z160" s="150"/>
      <c r="AA160" s="27" t="str">
        <f t="shared" si="36"/>
        <v/>
      </c>
      <c r="AB160" s="150"/>
      <c r="AC160" s="27" t="str">
        <f t="shared" si="37"/>
        <v/>
      </c>
      <c r="AD160" s="150"/>
      <c r="AE160" s="27" t="str">
        <f t="shared" si="38"/>
        <v/>
      </c>
      <c r="AF160" s="48" t="str">
        <f t="shared" si="39"/>
        <v/>
      </c>
      <c r="AG160" s="48" t="str">
        <f t="shared" si="40"/>
        <v/>
      </c>
      <c r="AH160" s="131"/>
      <c r="AI160" s="149" t="str">
        <f t="shared" si="41"/>
        <v>Débil</v>
      </c>
      <c r="AJ160" s="21" t="str">
        <f>IFERROR(VLOOKUP((CONCATENATE(AG160,AI160)),Listados!$U$3:$V$11,2,FALSE),"")</f>
        <v/>
      </c>
      <c r="AK160" s="48">
        <f t="shared" si="42"/>
        <v>100</v>
      </c>
      <c r="AL160" s="431"/>
      <c r="AM160" s="433"/>
      <c r="AN160" s="169">
        <f>+IF(AND(Q160="Preventivo",AM157="Fuerte"),2,IF(AND(Q160="Preventivo",AM157="Moderado"),1,0))</f>
        <v>2</v>
      </c>
      <c r="AO160" s="169">
        <f t="shared" si="43"/>
        <v>1</v>
      </c>
      <c r="AP160" s="169">
        <f>+K157-AN160</f>
        <v>-1</v>
      </c>
      <c r="AQ160" s="169">
        <f>+M157-AO160</f>
        <v>4</v>
      </c>
      <c r="AR160" s="422"/>
      <c r="AS160" s="422"/>
      <c r="AT160" s="422"/>
      <c r="AU160" s="422"/>
      <c r="AV160" s="387"/>
      <c r="AW160" s="388"/>
      <c r="AX160" s="389"/>
      <c r="AY160" s="387"/>
      <c r="AZ160" s="388"/>
      <c r="BA160" s="389"/>
      <c r="BB160" s="387"/>
      <c r="BC160" s="388"/>
      <c r="BD160" s="389"/>
    </row>
    <row r="161" spans="1:56" ht="15.75" thickBot="1">
      <c r="A161" s="405"/>
      <c r="B161" s="407"/>
      <c r="C161" s="408"/>
      <c r="D161" s="409"/>
      <c r="E161" s="164"/>
      <c r="F161" s="164"/>
      <c r="G161" s="165"/>
      <c r="H161" s="165"/>
      <c r="I161" s="165"/>
      <c r="J161" s="407"/>
      <c r="K161" s="425"/>
      <c r="L161" s="428"/>
      <c r="M161" s="425"/>
      <c r="N161" s="435"/>
      <c r="O161" s="164"/>
      <c r="P161" s="166"/>
      <c r="Q161" s="166"/>
      <c r="R161" s="172"/>
      <c r="S161" s="27" t="str">
        <f t="shared" si="32"/>
        <v/>
      </c>
      <c r="T161" s="172"/>
      <c r="U161" s="27" t="str">
        <f t="shared" si="33"/>
        <v/>
      </c>
      <c r="V161" s="150"/>
      <c r="W161" s="27" t="str">
        <f t="shared" si="34"/>
        <v/>
      </c>
      <c r="X161" s="150"/>
      <c r="Y161" s="27" t="str">
        <f t="shared" si="35"/>
        <v/>
      </c>
      <c r="Z161" s="150"/>
      <c r="AA161" s="27" t="str">
        <f t="shared" si="36"/>
        <v/>
      </c>
      <c r="AB161" s="150"/>
      <c r="AC161" s="27" t="str">
        <f t="shared" si="37"/>
        <v/>
      </c>
      <c r="AD161" s="150"/>
      <c r="AE161" s="27" t="str">
        <f t="shared" si="38"/>
        <v/>
      </c>
      <c r="AF161" s="48" t="str">
        <f t="shared" si="39"/>
        <v/>
      </c>
      <c r="AG161" s="48" t="str">
        <f t="shared" si="40"/>
        <v/>
      </c>
      <c r="AH161" s="131"/>
      <c r="AI161" s="149" t="str">
        <f t="shared" si="41"/>
        <v>Débil</v>
      </c>
      <c r="AJ161" s="21" t="str">
        <f>IFERROR(VLOOKUP((CONCATENATE(AG161,AI161)),Listados!$U$3:$V$11,2,FALSE),"")</f>
        <v/>
      </c>
      <c r="AK161" s="48">
        <f t="shared" si="42"/>
        <v>100</v>
      </c>
      <c r="AL161" s="431"/>
      <c r="AM161" s="433"/>
      <c r="AN161" s="169">
        <f>+IF(AND(Q161="Preventivo",AM157="Fuerte"),2,IF(AND(Q161="Preventivo",AM157="Moderado"),1,0))</f>
        <v>0</v>
      </c>
      <c r="AO161" s="169">
        <f t="shared" si="43"/>
        <v>0</v>
      </c>
      <c r="AP161" s="169">
        <f>+K157-AN161</f>
        <v>1</v>
      </c>
      <c r="AQ161" s="169">
        <f>+M157-AO161</f>
        <v>5</v>
      </c>
      <c r="AR161" s="422"/>
      <c r="AS161" s="422"/>
      <c r="AT161" s="422"/>
      <c r="AU161" s="422"/>
      <c r="AV161" s="387"/>
      <c r="AW161" s="388"/>
      <c r="AX161" s="389"/>
      <c r="AY161" s="387"/>
      <c r="AZ161" s="388"/>
      <c r="BA161" s="389"/>
      <c r="BB161" s="387"/>
      <c r="BC161" s="388"/>
      <c r="BD161" s="389"/>
    </row>
    <row r="162" spans="1:56" ht="15.75" thickBot="1">
      <c r="A162" s="406"/>
      <c r="B162" s="407"/>
      <c r="C162" s="408"/>
      <c r="D162" s="409"/>
      <c r="E162" s="164"/>
      <c r="F162" s="164"/>
      <c r="G162" s="165"/>
      <c r="H162" s="165"/>
      <c r="I162" s="165"/>
      <c r="J162" s="407"/>
      <c r="K162" s="426"/>
      <c r="L162" s="428"/>
      <c r="M162" s="426"/>
      <c r="N162" s="435"/>
      <c r="O162" s="164"/>
      <c r="P162" s="166"/>
      <c r="Q162" s="166"/>
      <c r="R162" s="172"/>
      <c r="S162" s="27" t="str">
        <f t="shared" si="32"/>
        <v/>
      </c>
      <c r="T162" s="172"/>
      <c r="U162" s="27" t="str">
        <f t="shared" si="33"/>
        <v/>
      </c>
      <c r="V162" s="150"/>
      <c r="W162" s="27" t="str">
        <f t="shared" si="34"/>
        <v/>
      </c>
      <c r="X162" s="150"/>
      <c r="Y162" s="27" t="str">
        <f t="shared" si="35"/>
        <v/>
      </c>
      <c r="Z162" s="150"/>
      <c r="AA162" s="27" t="str">
        <f t="shared" si="36"/>
        <v/>
      </c>
      <c r="AB162" s="150"/>
      <c r="AC162" s="27" t="str">
        <f t="shared" si="37"/>
        <v/>
      </c>
      <c r="AD162" s="150"/>
      <c r="AE162" s="27" t="str">
        <f t="shared" si="38"/>
        <v/>
      </c>
      <c r="AF162" s="48" t="str">
        <f t="shared" si="39"/>
        <v/>
      </c>
      <c r="AG162" s="48" t="str">
        <f t="shared" si="40"/>
        <v/>
      </c>
      <c r="AH162" s="131"/>
      <c r="AI162" s="149" t="str">
        <f t="shared" si="41"/>
        <v>Débil</v>
      </c>
      <c r="AJ162" s="21" t="str">
        <f>IFERROR(VLOOKUP((CONCATENATE(AG162,AI162)),Listados!$U$3:$V$11,2,FALSE),"")</f>
        <v/>
      </c>
      <c r="AK162" s="48">
        <f t="shared" si="42"/>
        <v>100</v>
      </c>
      <c r="AL162" s="432"/>
      <c r="AM162" s="433"/>
      <c r="AN162" s="169">
        <f>+IF(AND(Q162="Preventivo",AM157="Fuerte"),2,IF(AND(Q162="Preventivo",AM157="Moderado"),1,0))</f>
        <v>0</v>
      </c>
      <c r="AO162" s="169">
        <f t="shared" si="43"/>
        <v>0</v>
      </c>
      <c r="AP162" s="169">
        <f>+K157-AN162</f>
        <v>1</v>
      </c>
      <c r="AQ162" s="169">
        <f>+M157-AO162</f>
        <v>5</v>
      </c>
      <c r="AR162" s="423"/>
      <c r="AS162" s="423"/>
      <c r="AT162" s="423"/>
      <c r="AU162" s="423"/>
      <c r="AV162" s="387"/>
      <c r="AW162" s="388"/>
      <c r="AX162" s="389"/>
      <c r="AY162" s="387"/>
      <c r="AZ162" s="388"/>
      <c r="BA162" s="389"/>
      <c r="BB162" s="387"/>
      <c r="BC162" s="388"/>
      <c r="BD162" s="389"/>
    </row>
    <row r="163" spans="1:56" ht="214.5" thickBot="1">
      <c r="A163" s="404">
        <v>27</v>
      </c>
      <c r="B163" s="407" t="s">
        <v>68</v>
      </c>
      <c r="C163" s="408" t="str">
        <f>IFERROR(VLOOKUP(B163,Listados!B$3:C$20,2,FALSE),"")</f>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
      <c r="D163" s="409" t="s">
        <v>428</v>
      </c>
      <c r="E163" s="164" t="s">
        <v>15</v>
      </c>
      <c r="F163" s="164" t="s">
        <v>178</v>
      </c>
      <c r="G163" s="165" t="s">
        <v>423</v>
      </c>
      <c r="H163" s="165" t="s">
        <v>16</v>
      </c>
      <c r="I163" s="165" t="s">
        <v>424</v>
      </c>
      <c r="J163" s="407" t="s">
        <v>31</v>
      </c>
      <c r="K163" s="424">
        <f>+VLOOKUP(J163,Listados!$K$8:$L$12,2,0)</f>
        <v>2</v>
      </c>
      <c r="L163" s="427" t="s">
        <v>32</v>
      </c>
      <c r="M163" s="424">
        <f>+VLOOKUP(L163,Listados!$K$13:$L$17,2,0)</f>
        <v>2</v>
      </c>
      <c r="N163" s="434" t="str">
        <f>IF(AND(J163&lt;&gt;"",L163&lt;&gt;""),VLOOKUP(J163&amp;L163,Listados!$M$3:$N$27,2,FALSE),"")</f>
        <v>Bajo</v>
      </c>
      <c r="O163" s="165" t="s">
        <v>427</v>
      </c>
      <c r="P163" s="165" t="s">
        <v>423</v>
      </c>
      <c r="Q163" s="182" t="s">
        <v>20</v>
      </c>
      <c r="R163" s="172"/>
      <c r="S163" s="27" t="str">
        <f t="shared" si="32"/>
        <v/>
      </c>
      <c r="T163" s="172"/>
      <c r="U163" s="27" t="str">
        <f t="shared" si="33"/>
        <v/>
      </c>
      <c r="V163" s="150"/>
      <c r="W163" s="27" t="str">
        <f t="shared" si="34"/>
        <v/>
      </c>
      <c r="X163" s="150"/>
      <c r="Y163" s="27" t="str">
        <f t="shared" si="35"/>
        <v/>
      </c>
      <c r="Z163" s="150"/>
      <c r="AA163" s="27" t="str">
        <f t="shared" si="36"/>
        <v/>
      </c>
      <c r="AB163" s="150"/>
      <c r="AC163" s="27" t="str">
        <f t="shared" si="37"/>
        <v/>
      </c>
      <c r="AD163" s="150"/>
      <c r="AE163" s="27" t="str">
        <f t="shared" si="38"/>
        <v/>
      </c>
      <c r="AF163" s="48" t="str">
        <f t="shared" si="39"/>
        <v/>
      </c>
      <c r="AG163" s="48" t="str">
        <f t="shared" si="40"/>
        <v/>
      </c>
      <c r="AH163" s="131"/>
      <c r="AI163" s="149" t="str">
        <f t="shared" si="41"/>
        <v>Débil</v>
      </c>
      <c r="AJ163" s="21" t="str">
        <f>IFERROR(VLOOKUP((CONCATENATE(AG163,AI163)),Listados!$U$3:$V$11,2,FALSE),"")</f>
        <v/>
      </c>
      <c r="AK163" s="48">
        <f t="shared" si="42"/>
        <v>100</v>
      </c>
      <c r="AL163" s="430">
        <f>AVERAGE(AK163:AK168)</f>
        <v>100</v>
      </c>
      <c r="AM163" s="432" t="str">
        <f>IF(AL163&lt;=50, "Débil", IF(AL163&lt;=99,"Moderado","Fuerte"))</f>
        <v>Fuerte</v>
      </c>
      <c r="AN163" s="169">
        <f>+IF(AND(Q163="Preventivo",AM163="Fuerte"),2,IF(AND(Q163="Preventivo",AM163="Moderado"),1,0))</f>
        <v>2</v>
      </c>
      <c r="AO163" s="169">
        <f t="shared" si="43"/>
        <v>1</v>
      </c>
      <c r="AP163" s="169">
        <f>+K163-AN163</f>
        <v>0</v>
      </c>
      <c r="AQ163" s="169">
        <f>+M163-AO163</f>
        <v>1</v>
      </c>
      <c r="AR163" s="421" t="str">
        <f>+VLOOKUP(MIN(AP163,AP164,AP165,AP166,AP167,AP168),Listados!$J$18:$K$24,2,TRUE)</f>
        <v>Rara Vez</v>
      </c>
      <c r="AS163" s="421" t="str">
        <f>+VLOOKUP(MIN(AQ163,AQ164,AQ165,AQ166,AQ167,AQ168),Listados!$J$27:$K$32,2,TRUE)</f>
        <v>Insignificante</v>
      </c>
      <c r="AT163" s="421" t="str">
        <f>IF(AND(AR163&lt;&gt;"",AS163&lt;&gt;""),VLOOKUP(AR163&amp;AS163,Listados!$M$3:$N$27,2,FALSE),"")</f>
        <v>Bajo</v>
      </c>
      <c r="AU163" s="421" t="str">
        <f>+VLOOKUP(AT163,Listados!$P$3:$Q$6,2,FALSE)</f>
        <v>Asumir el riesgo</v>
      </c>
      <c r="AV163" s="387"/>
      <c r="AW163" s="388"/>
      <c r="AX163" s="389"/>
      <c r="AY163" s="387"/>
      <c r="AZ163" s="388"/>
      <c r="BA163" s="389"/>
      <c r="BB163" s="387"/>
      <c r="BC163" s="388"/>
      <c r="BD163" s="389"/>
    </row>
    <row r="164" spans="1:56" ht="243" thickBot="1">
      <c r="A164" s="405"/>
      <c r="B164" s="407"/>
      <c r="C164" s="408"/>
      <c r="D164" s="409"/>
      <c r="E164" s="164"/>
      <c r="F164" s="164"/>
      <c r="G164" s="165" t="s">
        <v>429</v>
      </c>
      <c r="H164" s="165" t="s">
        <v>16</v>
      </c>
      <c r="I164" s="165" t="s">
        <v>236</v>
      </c>
      <c r="J164" s="407"/>
      <c r="K164" s="425"/>
      <c r="L164" s="428"/>
      <c r="M164" s="425"/>
      <c r="N164" s="435"/>
      <c r="O164" s="165" t="s">
        <v>430</v>
      </c>
      <c r="P164" s="165" t="s">
        <v>429</v>
      </c>
      <c r="Q164" s="182" t="s">
        <v>20</v>
      </c>
      <c r="R164" s="172"/>
      <c r="S164" s="27" t="str">
        <f t="shared" si="32"/>
        <v/>
      </c>
      <c r="T164" s="172"/>
      <c r="U164" s="27" t="str">
        <f t="shared" si="33"/>
        <v/>
      </c>
      <c r="V164" s="150"/>
      <c r="W164" s="27" t="str">
        <f t="shared" si="34"/>
        <v/>
      </c>
      <c r="X164" s="150"/>
      <c r="Y164" s="27" t="str">
        <f t="shared" si="35"/>
        <v/>
      </c>
      <c r="Z164" s="150"/>
      <c r="AA164" s="27" t="str">
        <f t="shared" si="36"/>
        <v/>
      </c>
      <c r="AB164" s="150"/>
      <c r="AC164" s="27" t="str">
        <f t="shared" si="37"/>
        <v/>
      </c>
      <c r="AD164" s="150"/>
      <c r="AE164" s="27" t="str">
        <f t="shared" si="38"/>
        <v/>
      </c>
      <c r="AF164" s="48" t="str">
        <f t="shared" si="39"/>
        <v/>
      </c>
      <c r="AG164" s="48" t="str">
        <f t="shared" si="40"/>
        <v/>
      </c>
      <c r="AH164" s="131"/>
      <c r="AI164" s="149" t="str">
        <f t="shared" si="41"/>
        <v>Débil</v>
      </c>
      <c r="AJ164" s="21" t="str">
        <f>IFERROR(VLOOKUP((CONCATENATE(AG164,AI164)),Listados!$U$3:$V$11,2,FALSE),"")</f>
        <v/>
      </c>
      <c r="AK164" s="48">
        <f t="shared" si="42"/>
        <v>100</v>
      </c>
      <c r="AL164" s="431"/>
      <c r="AM164" s="433"/>
      <c r="AN164" s="169">
        <f>+IF(AND(Q164="Preventivo",AM163="Fuerte"),2,IF(AND(Q164="Preventivo",AM163="Moderado"),1,0))</f>
        <v>2</v>
      </c>
      <c r="AO164" s="169">
        <f t="shared" si="43"/>
        <v>1</v>
      </c>
      <c r="AP164" s="169">
        <f>+K163-AN164</f>
        <v>0</v>
      </c>
      <c r="AQ164" s="169">
        <f>+M163-AO164</f>
        <v>1</v>
      </c>
      <c r="AR164" s="422"/>
      <c r="AS164" s="422"/>
      <c r="AT164" s="422"/>
      <c r="AU164" s="422"/>
      <c r="AV164" s="387"/>
      <c r="AW164" s="388"/>
      <c r="AX164" s="389"/>
      <c r="AY164" s="387"/>
      <c r="AZ164" s="388"/>
      <c r="BA164" s="389"/>
      <c r="BB164" s="387"/>
      <c r="BC164" s="388"/>
      <c r="BD164" s="389"/>
    </row>
    <row r="165" spans="1:56" ht="243" thickBot="1">
      <c r="A165" s="405"/>
      <c r="B165" s="407"/>
      <c r="C165" s="408"/>
      <c r="D165" s="409"/>
      <c r="E165" s="164"/>
      <c r="F165" s="164"/>
      <c r="G165" s="165" t="s">
        <v>420</v>
      </c>
      <c r="H165" s="165" t="s">
        <v>16</v>
      </c>
      <c r="I165" s="165" t="s">
        <v>431</v>
      </c>
      <c r="J165" s="407"/>
      <c r="K165" s="425"/>
      <c r="L165" s="428"/>
      <c r="M165" s="425"/>
      <c r="N165" s="435"/>
      <c r="O165" s="165" t="s">
        <v>430</v>
      </c>
      <c r="P165" s="165" t="s">
        <v>420</v>
      </c>
      <c r="Q165" s="182" t="s">
        <v>20</v>
      </c>
      <c r="R165" s="172"/>
      <c r="S165" s="27" t="str">
        <f t="shared" si="32"/>
        <v/>
      </c>
      <c r="T165" s="172"/>
      <c r="U165" s="27" t="str">
        <f t="shared" si="33"/>
        <v/>
      </c>
      <c r="V165" s="150"/>
      <c r="W165" s="27" t="str">
        <f t="shared" si="34"/>
        <v/>
      </c>
      <c r="X165" s="150"/>
      <c r="Y165" s="27" t="str">
        <f t="shared" si="35"/>
        <v/>
      </c>
      <c r="Z165" s="150"/>
      <c r="AA165" s="27" t="str">
        <f t="shared" si="36"/>
        <v/>
      </c>
      <c r="AB165" s="150"/>
      <c r="AC165" s="27" t="str">
        <f t="shared" si="37"/>
        <v/>
      </c>
      <c r="AD165" s="150"/>
      <c r="AE165" s="27" t="str">
        <f t="shared" si="38"/>
        <v/>
      </c>
      <c r="AF165" s="48" t="str">
        <f t="shared" si="39"/>
        <v/>
      </c>
      <c r="AG165" s="48" t="str">
        <f t="shared" si="40"/>
        <v/>
      </c>
      <c r="AH165" s="131"/>
      <c r="AI165" s="149" t="str">
        <f t="shared" si="41"/>
        <v>Débil</v>
      </c>
      <c r="AJ165" s="21" t="str">
        <f>IFERROR(VLOOKUP((CONCATENATE(AG165,AI165)),Listados!$U$3:$V$11,2,FALSE),"")</f>
        <v/>
      </c>
      <c r="AK165" s="48">
        <f t="shared" si="42"/>
        <v>100</v>
      </c>
      <c r="AL165" s="431"/>
      <c r="AM165" s="433"/>
      <c r="AN165" s="169">
        <f>+IF(AND(Q165="Preventivo",AM163="Fuerte"),2,IF(AND(Q165="Preventivo",AM163="Moderado"),1,0))</f>
        <v>2</v>
      </c>
      <c r="AO165" s="169">
        <f t="shared" si="43"/>
        <v>1</v>
      </c>
      <c r="AP165" s="169">
        <f>+K163-AN165</f>
        <v>0</v>
      </c>
      <c r="AQ165" s="169">
        <f>+M163-AO165</f>
        <v>1</v>
      </c>
      <c r="AR165" s="422"/>
      <c r="AS165" s="422"/>
      <c r="AT165" s="422"/>
      <c r="AU165" s="422"/>
      <c r="AV165" s="387"/>
      <c r="AW165" s="388"/>
      <c r="AX165" s="389"/>
      <c r="AY165" s="387"/>
      <c r="AZ165" s="388"/>
      <c r="BA165" s="389"/>
      <c r="BB165" s="387"/>
      <c r="BC165" s="388"/>
      <c r="BD165" s="389"/>
    </row>
    <row r="166" spans="1:56" ht="29.25" thickBot="1">
      <c r="A166" s="405"/>
      <c r="B166" s="407"/>
      <c r="C166" s="408"/>
      <c r="D166" s="409"/>
      <c r="E166" s="164"/>
      <c r="F166" s="164"/>
      <c r="G166" s="165"/>
      <c r="H166" s="165"/>
      <c r="I166" s="165" t="s">
        <v>432</v>
      </c>
      <c r="J166" s="407"/>
      <c r="K166" s="425"/>
      <c r="L166" s="428"/>
      <c r="M166" s="425"/>
      <c r="N166" s="435"/>
      <c r="O166" s="164"/>
      <c r="P166" s="166"/>
      <c r="Q166" s="166"/>
      <c r="R166" s="172"/>
      <c r="S166" s="27" t="str">
        <f t="shared" si="32"/>
        <v/>
      </c>
      <c r="T166" s="172"/>
      <c r="U166" s="27" t="str">
        <f t="shared" si="33"/>
        <v/>
      </c>
      <c r="V166" s="150"/>
      <c r="W166" s="27" t="str">
        <f t="shared" si="34"/>
        <v/>
      </c>
      <c r="X166" s="150"/>
      <c r="Y166" s="27" t="str">
        <f t="shared" si="35"/>
        <v/>
      </c>
      <c r="Z166" s="150"/>
      <c r="AA166" s="27" t="str">
        <f t="shared" si="36"/>
        <v/>
      </c>
      <c r="AB166" s="150"/>
      <c r="AC166" s="27" t="str">
        <f t="shared" si="37"/>
        <v/>
      </c>
      <c r="AD166" s="150"/>
      <c r="AE166" s="27" t="str">
        <f t="shared" si="38"/>
        <v/>
      </c>
      <c r="AF166" s="48" t="str">
        <f t="shared" si="39"/>
        <v/>
      </c>
      <c r="AG166" s="48" t="str">
        <f t="shared" si="40"/>
        <v/>
      </c>
      <c r="AH166" s="131"/>
      <c r="AI166" s="149" t="str">
        <f t="shared" si="41"/>
        <v>Débil</v>
      </c>
      <c r="AJ166" s="21" t="str">
        <f>IFERROR(VLOOKUP((CONCATENATE(AG166,AI166)),Listados!$U$3:$V$11,2,FALSE),"")</f>
        <v/>
      </c>
      <c r="AK166" s="48">
        <f t="shared" si="42"/>
        <v>100</v>
      </c>
      <c r="AL166" s="431"/>
      <c r="AM166" s="433"/>
      <c r="AN166" s="169">
        <f>+IF(AND(Q166="Preventivo",AM163="Fuerte"),2,IF(AND(Q166="Preventivo",AM163="Moderado"),1,0))</f>
        <v>0</v>
      </c>
      <c r="AO166" s="169">
        <f t="shared" si="43"/>
        <v>0</v>
      </c>
      <c r="AP166" s="169">
        <f>+K163-AN166</f>
        <v>2</v>
      </c>
      <c r="AQ166" s="169">
        <f>+M163-AO166</f>
        <v>2</v>
      </c>
      <c r="AR166" s="422"/>
      <c r="AS166" s="422"/>
      <c r="AT166" s="422"/>
      <c r="AU166" s="422"/>
      <c r="AV166" s="387"/>
      <c r="AW166" s="388"/>
      <c r="AX166" s="389"/>
      <c r="AY166" s="387"/>
      <c r="AZ166" s="388"/>
      <c r="BA166" s="389"/>
      <c r="BB166" s="387"/>
      <c r="BC166" s="388"/>
      <c r="BD166" s="389"/>
    </row>
    <row r="167" spans="1:56" ht="15.75" thickBot="1">
      <c r="A167" s="405"/>
      <c r="B167" s="407"/>
      <c r="C167" s="408"/>
      <c r="D167" s="409"/>
      <c r="E167" s="164"/>
      <c r="F167" s="164"/>
      <c r="G167" s="165"/>
      <c r="H167" s="165"/>
      <c r="I167" s="165"/>
      <c r="J167" s="407"/>
      <c r="K167" s="425"/>
      <c r="L167" s="428"/>
      <c r="M167" s="425"/>
      <c r="N167" s="435"/>
      <c r="O167" s="164"/>
      <c r="P167" s="166"/>
      <c r="Q167" s="166"/>
      <c r="R167" s="172"/>
      <c r="S167" s="27" t="str">
        <f t="shared" si="32"/>
        <v/>
      </c>
      <c r="T167" s="172"/>
      <c r="U167" s="27" t="str">
        <f t="shared" si="33"/>
        <v/>
      </c>
      <c r="V167" s="150"/>
      <c r="W167" s="27" t="str">
        <f t="shared" si="34"/>
        <v/>
      </c>
      <c r="X167" s="150"/>
      <c r="Y167" s="27" t="str">
        <f t="shared" si="35"/>
        <v/>
      </c>
      <c r="Z167" s="150"/>
      <c r="AA167" s="27" t="str">
        <f t="shared" si="36"/>
        <v/>
      </c>
      <c r="AB167" s="150"/>
      <c r="AC167" s="27" t="str">
        <f t="shared" si="37"/>
        <v/>
      </c>
      <c r="AD167" s="150"/>
      <c r="AE167" s="27" t="str">
        <f t="shared" si="38"/>
        <v/>
      </c>
      <c r="AF167" s="48" t="str">
        <f t="shared" si="39"/>
        <v/>
      </c>
      <c r="AG167" s="48" t="str">
        <f t="shared" si="40"/>
        <v/>
      </c>
      <c r="AH167" s="131"/>
      <c r="AI167" s="149" t="str">
        <f t="shared" si="41"/>
        <v>Débil</v>
      </c>
      <c r="AJ167" s="21" t="str">
        <f>IFERROR(VLOOKUP((CONCATENATE(AG167,AI167)),Listados!$U$3:$V$11,2,FALSE),"")</f>
        <v/>
      </c>
      <c r="AK167" s="48">
        <f t="shared" si="42"/>
        <v>100</v>
      </c>
      <c r="AL167" s="431"/>
      <c r="AM167" s="433"/>
      <c r="AN167" s="169">
        <f>+IF(AND(Q167="Preventivo",AM163="Fuerte"),2,IF(AND(Q167="Preventivo",AM163="Moderado"),1,0))</f>
        <v>0</v>
      </c>
      <c r="AO167" s="169">
        <f t="shared" si="43"/>
        <v>0</v>
      </c>
      <c r="AP167" s="169">
        <f>+K163-AN167</f>
        <v>2</v>
      </c>
      <c r="AQ167" s="169">
        <f>+M163-AO167</f>
        <v>2</v>
      </c>
      <c r="AR167" s="422"/>
      <c r="AS167" s="422"/>
      <c r="AT167" s="422"/>
      <c r="AU167" s="422"/>
      <c r="AV167" s="387"/>
      <c r="AW167" s="388"/>
      <c r="AX167" s="389"/>
      <c r="AY167" s="387"/>
      <c r="AZ167" s="388"/>
      <c r="BA167" s="389"/>
      <c r="BB167" s="387"/>
      <c r="BC167" s="388"/>
      <c r="BD167" s="389"/>
    </row>
    <row r="168" spans="1:56" ht="15.75" thickBot="1">
      <c r="A168" s="406"/>
      <c r="B168" s="407"/>
      <c r="C168" s="408"/>
      <c r="D168" s="409"/>
      <c r="E168" s="164"/>
      <c r="F168" s="164"/>
      <c r="G168" s="165"/>
      <c r="H168" s="165"/>
      <c r="I168" s="165"/>
      <c r="J168" s="407"/>
      <c r="K168" s="426"/>
      <c r="L168" s="428"/>
      <c r="M168" s="426"/>
      <c r="N168" s="435"/>
      <c r="O168" s="164"/>
      <c r="P168" s="166"/>
      <c r="Q168" s="166"/>
      <c r="R168" s="172"/>
      <c r="S168" s="27" t="str">
        <f t="shared" si="32"/>
        <v/>
      </c>
      <c r="T168" s="172"/>
      <c r="U168" s="27" t="str">
        <f t="shared" si="33"/>
        <v/>
      </c>
      <c r="V168" s="150"/>
      <c r="W168" s="27" t="str">
        <f t="shared" si="34"/>
        <v/>
      </c>
      <c r="X168" s="150"/>
      <c r="Y168" s="27" t="str">
        <f t="shared" si="35"/>
        <v/>
      </c>
      <c r="Z168" s="150"/>
      <c r="AA168" s="27" t="str">
        <f t="shared" si="36"/>
        <v/>
      </c>
      <c r="AB168" s="150"/>
      <c r="AC168" s="27" t="str">
        <f t="shared" si="37"/>
        <v/>
      </c>
      <c r="AD168" s="150"/>
      <c r="AE168" s="27" t="str">
        <f t="shared" si="38"/>
        <v/>
      </c>
      <c r="AF168" s="48" t="str">
        <f t="shared" si="39"/>
        <v/>
      </c>
      <c r="AG168" s="48" t="str">
        <f t="shared" si="40"/>
        <v/>
      </c>
      <c r="AH168" s="131"/>
      <c r="AI168" s="149" t="str">
        <f t="shared" si="41"/>
        <v>Débil</v>
      </c>
      <c r="AJ168" s="21" t="str">
        <f>IFERROR(VLOOKUP((CONCATENATE(AG168,AI168)),Listados!$U$3:$V$11,2,FALSE),"")</f>
        <v/>
      </c>
      <c r="AK168" s="48">
        <f t="shared" si="42"/>
        <v>100</v>
      </c>
      <c r="AL168" s="432"/>
      <c r="AM168" s="433"/>
      <c r="AN168" s="169">
        <f>+IF(AND(Q168="Preventivo",AM163="Fuerte"),2,IF(AND(Q168="Preventivo",AM163="Moderado"),1,0))</f>
        <v>0</v>
      </c>
      <c r="AO168" s="169">
        <f t="shared" si="43"/>
        <v>0</v>
      </c>
      <c r="AP168" s="169">
        <f>+K163-AN168</f>
        <v>2</v>
      </c>
      <c r="AQ168" s="169">
        <f>+M163-AO168</f>
        <v>2</v>
      </c>
      <c r="AR168" s="423"/>
      <c r="AS168" s="423"/>
      <c r="AT168" s="423"/>
      <c r="AU168" s="423"/>
      <c r="AV168" s="387"/>
      <c r="AW168" s="388"/>
      <c r="AX168" s="389"/>
      <c r="AY168" s="387"/>
      <c r="AZ168" s="388"/>
      <c r="BA168" s="389"/>
      <c r="BB168" s="387"/>
      <c r="BC168" s="388"/>
      <c r="BD168" s="389"/>
    </row>
    <row r="169" spans="1:56" ht="409.6" customHeight="1" thickBot="1">
      <c r="A169" s="404">
        <v>28</v>
      </c>
      <c r="B169" s="407" t="s">
        <v>68</v>
      </c>
      <c r="C169" s="408" t="str">
        <f>IFERROR(VLOOKUP(B169,Listados!B$3:C$20,2,FALSE),"")</f>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
      <c r="D169" s="409" t="s">
        <v>433</v>
      </c>
      <c r="E169" s="164" t="s">
        <v>15</v>
      </c>
      <c r="F169" s="164" t="s">
        <v>343</v>
      </c>
      <c r="G169" s="165" t="s">
        <v>434</v>
      </c>
      <c r="H169" s="165" t="s">
        <v>16</v>
      </c>
      <c r="I169" s="165" t="s">
        <v>367</v>
      </c>
      <c r="J169" s="407" t="s">
        <v>63</v>
      </c>
      <c r="K169" s="424">
        <f>+VLOOKUP(J169,Listados!$K$8:$L$12,2,0)</f>
        <v>5</v>
      </c>
      <c r="L169" s="427" t="s">
        <v>54</v>
      </c>
      <c r="M169" s="424">
        <f>+VLOOKUP(L169,Listados!$K$13:$L$17,2,0)</f>
        <v>4</v>
      </c>
      <c r="N169" s="434" t="str">
        <f>IF(AND(J169&lt;&gt;"",L169&lt;&gt;""),VLOOKUP(J169&amp;L169,Listados!$M$3:$N$27,2,FALSE),"")</f>
        <v>Extremo</v>
      </c>
      <c r="O169" s="165" t="s">
        <v>435</v>
      </c>
      <c r="P169" s="164" t="s">
        <v>434</v>
      </c>
      <c r="Q169" s="165" t="s">
        <v>20</v>
      </c>
      <c r="R169" s="172"/>
      <c r="S169" s="27" t="str">
        <f t="shared" si="32"/>
        <v/>
      </c>
      <c r="T169" s="172"/>
      <c r="U169" s="27" t="str">
        <f t="shared" si="33"/>
        <v/>
      </c>
      <c r="V169" s="150"/>
      <c r="W169" s="27" t="str">
        <f t="shared" si="34"/>
        <v/>
      </c>
      <c r="X169" s="150"/>
      <c r="Y169" s="27" t="str">
        <f t="shared" si="35"/>
        <v/>
      </c>
      <c r="Z169" s="150"/>
      <c r="AA169" s="27" t="str">
        <f t="shared" si="36"/>
        <v/>
      </c>
      <c r="AB169" s="150"/>
      <c r="AC169" s="27" t="str">
        <f t="shared" si="37"/>
        <v/>
      </c>
      <c r="AD169" s="150"/>
      <c r="AE169" s="27" t="str">
        <f t="shared" si="38"/>
        <v/>
      </c>
      <c r="AF169" s="48" t="str">
        <f t="shared" si="39"/>
        <v/>
      </c>
      <c r="AG169" s="48" t="str">
        <f t="shared" si="40"/>
        <v/>
      </c>
      <c r="AH169" s="131"/>
      <c r="AI169" s="149" t="str">
        <f t="shared" si="41"/>
        <v>Débil</v>
      </c>
      <c r="AJ169" s="21" t="str">
        <f>IFERROR(VLOOKUP((CONCATENATE(AG169,AI169)),Listados!$U$3:$V$11,2,FALSE),"")</f>
        <v/>
      </c>
      <c r="AK169" s="48">
        <f t="shared" si="42"/>
        <v>100</v>
      </c>
      <c r="AL169" s="430">
        <f>AVERAGE(AK169:AK174)</f>
        <v>100</v>
      </c>
      <c r="AM169" s="432" t="str">
        <f>IF(AL169&lt;=50, "Débil", IF(AL169&lt;=99,"Moderado","Fuerte"))</f>
        <v>Fuerte</v>
      </c>
      <c r="AN169" s="169">
        <f>+IF(AND(Q169="Preventivo",AM169="Fuerte"),2,IF(AND(Q169="Preventivo",AM169="Moderado"),1,0))</f>
        <v>2</v>
      </c>
      <c r="AO169" s="169">
        <f t="shared" si="43"/>
        <v>1</v>
      </c>
      <c r="AP169" s="169">
        <f>+K169-AN169</f>
        <v>3</v>
      </c>
      <c r="AQ169" s="169">
        <f>+M169-AO169</f>
        <v>3</v>
      </c>
      <c r="AR169" s="421" t="str">
        <f>+VLOOKUP(MIN(AP169,AP170,AP171,AP172,AP173,AP174),Listados!$J$18:$K$24,2,TRUE)</f>
        <v>Posible</v>
      </c>
      <c r="AS169" s="421" t="str">
        <f>+VLOOKUP(MIN(AQ169,AQ170,AQ171,AQ172,AQ173,AQ174),Listados!$J$27:$K$32,2,TRUE)</f>
        <v>Moderado</v>
      </c>
      <c r="AT169" s="421" t="str">
        <f>IF(AND(AR169&lt;&gt;"",AS169&lt;&gt;""),VLOOKUP(AR169&amp;AS169,Listados!$M$3:$N$27,2,FALSE),"")</f>
        <v>Alto</v>
      </c>
      <c r="AU169" s="421" t="str">
        <f>+VLOOKUP(AT169,Listados!$P$3:$Q$6,2,FALSE)</f>
        <v>Reducir el riesgo</v>
      </c>
      <c r="AV169" s="387"/>
      <c r="AW169" s="388"/>
      <c r="AX169" s="389"/>
      <c r="AY169" s="387"/>
      <c r="AZ169" s="388"/>
      <c r="BA169" s="389"/>
      <c r="BB169" s="387"/>
      <c r="BC169" s="388"/>
      <c r="BD169" s="389"/>
    </row>
    <row r="170" spans="1:56" ht="228.75" thickBot="1">
      <c r="A170" s="405"/>
      <c r="B170" s="407"/>
      <c r="C170" s="408"/>
      <c r="D170" s="409"/>
      <c r="E170" s="164"/>
      <c r="F170" s="164"/>
      <c r="G170" s="165" t="s">
        <v>436</v>
      </c>
      <c r="H170" s="165" t="s">
        <v>16</v>
      </c>
      <c r="I170" s="165" t="s">
        <v>437</v>
      </c>
      <c r="J170" s="407"/>
      <c r="K170" s="425"/>
      <c r="L170" s="428"/>
      <c r="M170" s="425"/>
      <c r="N170" s="435"/>
      <c r="O170" s="165" t="s">
        <v>438</v>
      </c>
      <c r="P170" s="164" t="s">
        <v>436</v>
      </c>
      <c r="Q170" s="165" t="s">
        <v>20</v>
      </c>
      <c r="R170" s="172"/>
      <c r="S170" s="27" t="str">
        <f t="shared" si="32"/>
        <v/>
      </c>
      <c r="T170" s="172"/>
      <c r="U170" s="27" t="str">
        <f t="shared" si="33"/>
        <v/>
      </c>
      <c r="V170" s="150"/>
      <c r="W170" s="27" t="str">
        <f t="shared" si="34"/>
        <v/>
      </c>
      <c r="X170" s="150"/>
      <c r="Y170" s="27" t="str">
        <f t="shared" si="35"/>
        <v/>
      </c>
      <c r="Z170" s="150"/>
      <c r="AA170" s="27" t="str">
        <f t="shared" si="36"/>
        <v/>
      </c>
      <c r="AB170" s="150"/>
      <c r="AC170" s="27" t="str">
        <f t="shared" si="37"/>
        <v/>
      </c>
      <c r="AD170" s="150"/>
      <c r="AE170" s="27" t="str">
        <f t="shared" si="38"/>
        <v/>
      </c>
      <c r="AF170" s="48" t="str">
        <f t="shared" si="39"/>
        <v/>
      </c>
      <c r="AG170" s="48" t="str">
        <f t="shared" si="40"/>
        <v/>
      </c>
      <c r="AH170" s="131"/>
      <c r="AI170" s="149" t="str">
        <f t="shared" si="41"/>
        <v>Débil</v>
      </c>
      <c r="AJ170" s="21" t="str">
        <f>IFERROR(VLOOKUP((CONCATENATE(AG170,AI170)),Listados!$U$3:$V$11,2,FALSE),"")</f>
        <v/>
      </c>
      <c r="AK170" s="48">
        <f t="shared" si="42"/>
        <v>100</v>
      </c>
      <c r="AL170" s="431"/>
      <c r="AM170" s="433"/>
      <c r="AN170" s="169">
        <f>+IF(AND(Q170="Preventivo",AM169="Fuerte"),2,IF(AND(Q170="Preventivo",AM169="Moderado"),1,0))</f>
        <v>2</v>
      </c>
      <c r="AO170" s="169">
        <f t="shared" si="43"/>
        <v>1</v>
      </c>
      <c r="AP170" s="169">
        <f>+K169-AN170</f>
        <v>3</v>
      </c>
      <c r="AQ170" s="169">
        <f>+M169-AO170</f>
        <v>3</v>
      </c>
      <c r="AR170" s="422"/>
      <c r="AS170" s="422"/>
      <c r="AT170" s="422"/>
      <c r="AU170" s="422"/>
      <c r="AV170" s="387"/>
      <c r="AW170" s="388"/>
      <c r="AX170" s="389"/>
      <c r="AY170" s="387"/>
      <c r="AZ170" s="388"/>
      <c r="BA170" s="389"/>
      <c r="BB170" s="387"/>
      <c r="BC170" s="388"/>
      <c r="BD170" s="389"/>
    </row>
    <row r="171" spans="1:56" ht="29.25" thickBot="1">
      <c r="A171" s="405"/>
      <c r="B171" s="407"/>
      <c r="C171" s="408"/>
      <c r="D171" s="409"/>
      <c r="E171" s="164"/>
      <c r="F171" s="164"/>
      <c r="G171" s="165"/>
      <c r="H171" s="165"/>
      <c r="I171" s="165" t="s">
        <v>439</v>
      </c>
      <c r="J171" s="407"/>
      <c r="K171" s="425"/>
      <c r="L171" s="428"/>
      <c r="M171" s="425"/>
      <c r="N171" s="435"/>
      <c r="O171" s="164"/>
      <c r="P171" s="166"/>
      <c r="Q171" s="166"/>
      <c r="R171" s="172"/>
      <c r="S171" s="27" t="str">
        <f t="shared" si="32"/>
        <v/>
      </c>
      <c r="T171" s="172"/>
      <c r="U171" s="27" t="str">
        <f t="shared" si="33"/>
        <v/>
      </c>
      <c r="V171" s="150"/>
      <c r="W171" s="27" t="str">
        <f t="shared" si="34"/>
        <v/>
      </c>
      <c r="X171" s="150"/>
      <c r="Y171" s="27" t="str">
        <f t="shared" si="35"/>
        <v/>
      </c>
      <c r="Z171" s="150"/>
      <c r="AA171" s="27" t="str">
        <f t="shared" si="36"/>
        <v/>
      </c>
      <c r="AB171" s="150"/>
      <c r="AC171" s="27" t="str">
        <f t="shared" si="37"/>
        <v/>
      </c>
      <c r="AD171" s="150"/>
      <c r="AE171" s="27" t="str">
        <f t="shared" si="38"/>
        <v/>
      </c>
      <c r="AF171" s="48" t="str">
        <f t="shared" si="39"/>
        <v/>
      </c>
      <c r="AG171" s="48" t="str">
        <f t="shared" si="40"/>
        <v/>
      </c>
      <c r="AH171" s="131"/>
      <c r="AI171" s="149" t="str">
        <f t="shared" si="41"/>
        <v>Débil</v>
      </c>
      <c r="AJ171" s="21" t="str">
        <f>IFERROR(VLOOKUP((CONCATENATE(AG171,AI171)),Listados!$U$3:$V$11,2,FALSE),"")</f>
        <v/>
      </c>
      <c r="AK171" s="48">
        <f t="shared" si="42"/>
        <v>100</v>
      </c>
      <c r="AL171" s="431"/>
      <c r="AM171" s="433"/>
      <c r="AN171" s="169">
        <f>+IF(AND(Q171="Preventivo",AM169="Fuerte"),2,IF(AND(Q171="Preventivo",AM169="Moderado"),1,0))</f>
        <v>0</v>
      </c>
      <c r="AO171" s="169">
        <f t="shared" si="43"/>
        <v>0</v>
      </c>
      <c r="AP171" s="169">
        <f>+K169-AN171</f>
        <v>5</v>
      </c>
      <c r="AQ171" s="169">
        <f>+M169-AO171</f>
        <v>4</v>
      </c>
      <c r="AR171" s="422"/>
      <c r="AS171" s="422"/>
      <c r="AT171" s="422"/>
      <c r="AU171" s="422"/>
      <c r="AV171" s="387"/>
      <c r="AW171" s="388"/>
      <c r="AX171" s="389"/>
      <c r="AY171" s="387"/>
      <c r="AZ171" s="388"/>
      <c r="BA171" s="389"/>
      <c r="BB171" s="387"/>
      <c r="BC171" s="388"/>
      <c r="BD171" s="389"/>
    </row>
    <row r="172" spans="1:56" ht="15.75" thickBot="1">
      <c r="A172" s="405"/>
      <c r="B172" s="407"/>
      <c r="C172" s="408"/>
      <c r="D172" s="409"/>
      <c r="E172" s="164"/>
      <c r="F172" s="164"/>
      <c r="G172" s="165"/>
      <c r="H172" s="165"/>
      <c r="I172" s="165"/>
      <c r="J172" s="407"/>
      <c r="K172" s="425"/>
      <c r="L172" s="428"/>
      <c r="M172" s="425"/>
      <c r="N172" s="435"/>
      <c r="O172" s="164"/>
      <c r="P172" s="166"/>
      <c r="Q172" s="166"/>
      <c r="R172" s="172"/>
      <c r="S172" s="27" t="str">
        <f t="shared" si="32"/>
        <v/>
      </c>
      <c r="T172" s="172"/>
      <c r="U172" s="27" t="str">
        <f t="shared" si="33"/>
        <v/>
      </c>
      <c r="V172" s="150"/>
      <c r="W172" s="27" t="str">
        <f t="shared" si="34"/>
        <v/>
      </c>
      <c r="X172" s="150"/>
      <c r="Y172" s="27" t="str">
        <f t="shared" si="35"/>
        <v/>
      </c>
      <c r="Z172" s="150"/>
      <c r="AA172" s="27" t="str">
        <f t="shared" si="36"/>
        <v/>
      </c>
      <c r="AB172" s="150"/>
      <c r="AC172" s="27" t="str">
        <f t="shared" si="37"/>
        <v/>
      </c>
      <c r="AD172" s="150"/>
      <c r="AE172" s="27" t="str">
        <f t="shared" si="38"/>
        <v/>
      </c>
      <c r="AF172" s="48" t="str">
        <f t="shared" si="39"/>
        <v/>
      </c>
      <c r="AG172" s="48" t="str">
        <f t="shared" si="40"/>
        <v/>
      </c>
      <c r="AH172" s="131"/>
      <c r="AI172" s="149" t="str">
        <f t="shared" si="41"/>
        <v>Débil</v>
      </c>
      <c r="AJ172" s="21" t="str">
        <f>IFERROR(VLOOKUP((CONCATENATE(AG172,AI172)),Listados!$U$3:$V$11,2,FALSE),"")</f>
        <v/>
      </c>
      <c r="AK172" s="48">
        <f t="shared" si="42"/>
        <v>100</v>
      </c>
      <c r="AL172" s="431"/>
      <c r="AM172" s="433"/>
      <c r="AN172" s="169">
        <f>+IF(AND(Q172="Preventivo",AM169="Fuerte"),2,IF(AND(Q172="Preventivo",AM169="Moderado"),1,0))</f>
        <v>0</v>
      </c>
      <c r="AO172" s="169">
        <f t="shared" si="43"/>
        <v>0</v>
      </c>
      <c r="AP172" s="169">
        <f>+K169-AN172</f>
        <v>5</v>
      </c>
      <c r="AQ172" s="169">
        <f>+M169-AO172</f>
        <v>4</v>
      </c>
      <c r="AR172" s="422"/>
      <c r="AS172" s="422"/>
      <c r="AT172" s="422"/>
      <c r="AU172" s="422"/>
      <c r="AV172" s="387"/>
      <c r="AW172" s="388"/>
      <c r="AX172" s="389"/>
      <c r="AY172" s="387"/>
      <c r="AZ172" s="388"/>
      <c r="BA172" s="389"/>
      <c r="BB172" s="387"/>
      <c r="BC172" s="388"/>
      <c r="BD172" s="389"/>
    </row>
    <row r="173" spans="1:56" ht="15.75" thickBot="1">
      <c r="A173" s="405"/>
      <c r="B173" s="407"/>
      <c r="C173" s="408"/>
      <c r="D173" s="409"/>
      <c r="E173" s="164"/>
      <c r="F173" s="164"/>
      <c r="G173" s="165"/>
      <c r="H173" s="165"/>
      <c r="I173" s="165"/>
      <c r="J173" s="407"/>
      <c r="K173" s="425"/>
      <c r="L173" s="428"/>
      <c r="M173" s="425"/>
      <c r="N173" s="435"/>
      <c r="O173" s="164"/>
      <c r="P173" s="166"/>
      <c r="Q173" s="166"/>
      <c r="R173" s="172"/>
      <c r="S173" s="27" t="str">
        <f t="shared" si="32"/>
        <v/>
      </c>
      <c r="T173" s="172"/>
      <c r="U173" s="27" t="str">
        <f t="shared" si="33"/>
        <v/>
      </c>
      <c r="V173" s="150"/>
      <c r="W173" s="27" t="str">
        <f t="shared" si="34"/>
        <v/>
      </c>
      <c r="X173" s="150"/>
      <c r="Y173" s="27" t="str">
        <f t="shared" si="35"/>
        <v/>
      </c>
      <c r="Z173" s="150"/>
      <c r="AA173" s="27" t="str">
        <f t="shared" si="36"/>
        <v/>
      </c>
      <c r="AB173" s="150"/>
      <c r="AC173" s="27" t="str">
        <f t="shared" si="37"/>
        <v/>
      </c>
      <c r="AD173" s="150"/>
      <c r="AE173" s="27" t="str">
        <f t="shared" si="38"/>
        <v/>
      </c>
      <c r="AF173" s="48" t="str">
        <f t="shared" si="39"/>
        <v/>
      </c>
      <c r="AG173" s="48" t="str">
        <f t="shared" si="40"/>
        <v/>
      </c>
      <c r="AH173" s="131"/>
      <c r="AI173" s="149" t="str">
        <f t="shared" si="41"/>
        <v>Débil</v>
      </c>
      <c r="AJ173" s="21" t="str">
        <f>IFERROR(VLOOKUP((CONCATENATE(AG173,AI173)),Listados!$U$3:$V$11,2,FALSE),"")</f>
        <v/>
      </c>
      <c r="AK173" s="48">
        <f t="shared" si="42"/>
        <v>100</v>
      </c>
      <c r="AL173" s="431"/>
      <c r="AM173" s="433"/>
      <c r="AN173" s="169">
        <f>+IF(AND(Q173="Preventivo",AM169="Fuerte"),2,IF(AND(Q173="Preventivo",AM169="Moderado"),1,0))</f>
        <v>0</v>
      </c>
      <c r="AO173" s="169">
        <f t="shared" si="43"/>
        <v>0</v>
      </c>
      <c r="AP173" s="169">
        <f>+K169-AN173</f>
        <v>5</v>
      </c>
      <c r="AQ173" s="169">
        <f>+M169-AO173</f>
        <v>4</v>
      </c>
      <c r="AR173" s="422"/>
      <c r="AS173" s="422"/>
      <c r="AT173" s="422"/>
      <c r="AU173" s="422"/>
      <c r="AV173" s="387"/>
      <c r="AW173" s="388"/>
      <c r="AX173" s="389"/>
      <c r="AY173" s="387"/>
      <c r="AZ173" s="388"/>
      <c r="BA173" s="389"/>
      <c r="BB173" s="387"/>
      <c r="BC173" s="388"/>
      <c r="BD173" s="389"/>
    </row>
    <row r="174" spans="1:56" ht="15.75" thickBot="1">
      <c r="A174" s="406"/>
      <c r="B174" s="407"/>
      <c r="C174" s="408"/>
      <c r="D174" s="409"/>
      <c r="E174" s="164"/>
      <c r="F174" s="164"/>
      <c r="G174" s="165"/>
      <c r="H174" s="165"/>
      <c r="I174" s="165"/>
      <c r="J174" s="407"/>
      <c r="K174" s="426"/>
      <c r="L174" s="428"/>
      <c r="M174" s="426"/>
      <c r="N174" s="435"/>
      <c r="O174" s="164"/>
      <c r="P174" s="166"/>
      <c r="Q174" s="166"/>
      <c r="R174" s="172"/>
      <c r="S174" s="27" t="str">
        <f t="shared" si="32"/>
        <v/>
      </c>
      <c r="T174" s="172"/>
      <c r="U174" s="27" t="str">
        <f t="shared" si="33"/>
        <v/>
      </c>
      <c r="V174" s="150"/>
      <c r="W174" s="27" t="str">
        <f t="shared" si="34"/>
        <v/>
      </c>
      <c r="X174" s="150"/>
      <c r="Y174" s="27" t="str">
        <f t="shared" si="35"/>
        <v/>
      </c>
      <c r="Z174" s="150"/>
      <c r="AA174" s="27" t="str">
        <f t="shared" si="36"/>
        <v/>
      </c>
      <c r="AB174" s="150"/>
      <c r="AC174" s="27" t="str">
        <f t="shared" si="37"/>
        <v/>
      </c>
      <c r="AD174" s="150"/>
      <c r="AE174" s="27" t="str">
        <f t="shared" si="38"/>
        <v/>
      </c>
      <c r="AF174" s="48" t="str">
        <f t="shared" si="39"/>
        <v/>
      </c>
      <c r="AG174" s="48" t="str">
        <f t="shared" si="40"/>
        <v/>
      </c>
      <c r="AH174" s="131"/>
      <c r="AI174" s="149" t="str">
        <f t="shared" si="41"/>
        <v>Débil</v>
      </c>
      <c r="AJ174" s="21" t="str">
        <f>IFERROR(VLOOKUP((CONCATENATE(AG174,AI174)),Listados!$U$3:$V$11,2,FALSE),"")</f>
        <v/>
      </c>
      <c r="AK174" s="48">
        <f t="shared" si="42"/>
        <v>100</v>
      </c>
      <c r="AL174" s="432"/>
      <c r="AM174" s="433"/>
      <c r="AN174" s="169">
        <f>+IF(AND(Q174="Preventivo",AM169="Fuerte"),2,IF(AND(Q174="Preventivo",AM169="Moderado"),1,0))</f>
        <v>0</v>
      </c>
      <c r="AO174" s="169">
        <f t="shared" si="43"/>
        <v>0</v>
      </c>
      <c r="AP174" s="169">
        <f>+K169-AN174</f>
        <v>5</v>
      </c>
      <c r="AQ174" s="169">
        <f>+M169-AO174</f>
        <v>4</v>
      </c>
      <c r="AR174" s="423"/>
      <c r="AS174" s="423"/>
      <c r="AT174" s="423"/>
      <c r="AU174" s="423"/>
      <c r="AV174" s="387"/>
      <c r="AW174" s="388"/>
      <c r="AX174" s="389"/>
      <c r="AY174" s="387"/>
      <c r="AZ174" s="388"/>
      <c r="BA174" s="389"/>
      <c r="BB174" s="387"/>
      <c r="BC174" s="388"/>
      <c r="BD174" s="389"/>
    </row>
    <row r="175" spans="1:56" ht="186" thickBot="1">
      <c r="A175" s="404">
        <v>29</v>
      </c>
      <c r="B175" s="407" t="s">
        <v>68</v>
      </c>
      <c r="C175" s="408" t="str">
        <f>IFERROR(VLOOKUP(B175,Listados!B$3:C$20,2,FALSE),"")</f>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
      <c r="D175" s="409" t="s">
        <v>440</v>
      </c>
      <c r="E175" s="164" t="s">
        <v>15</v>
      </c>
      <c r="F175" s="164" t="s">
        <v>343</v>
      </c>
      <c r="G175" s="165" t="s">
        <v>441</v>
      </c>
      <c r="H175" s="165" t="s">
        <v>30</v>
      </c>
      <c r="I175" s="165" t="s">
        <v>442</v>
      </c>
      <c r="J175" s="407" t="s">
        <v>63</v>
      </c>
      <c r="K175" s="424">
        <f>+VLOOKUP(J175,Listados!$K$8:$L$12,2,0)</f>
        <v>5</v>
      </c>
      <c r="L175" s="427" t="s">
        <v>54</v>
      </c>
      <c r="M175" s="424">
        <f>+VLOOKUP(L175,Listados!$K$13:$L$17,2,0)</f>
        <v>4</v>
      </c>
      <c r="N175" s="434" t="str">
        <f>IF(AND(J175&lt;&gt;"",L175&lt;&gt;""),VLOOKUP(J175&amp;L175,Listados!$M$3:$N$27,2,FALSE),"")</f>
        <v>Extremo</v>
      </c>
      <c r="O175" s="165" t="s">
        <v>443</v>
      </c>
      <c r="P175" s="165" t="s">
        <v>441</v>
      </c>
      <c r="Q175" s="165" t="s">
        <v>20</v>
      </c>
      <c r="R175" s="172"/>
      <c r="S175" s="27" t="str">
        <f t="shared" si="32"/>
        <v/>
      </c>
      <c r="T175" s="172"/>
      <c r="U175" s="27" t="str">
        <f t="shared" si="33"/>
        <v/>
      </c>
      <c r="V175" s="150"/>
      <c r="W175" s="27" t="str">
        <f t="shared" si="34"/>
        <v/>
      </c>
      <c r="X175" s="150"/>
      <c r="Y175" s="27" t="str">
        <f t="shared" si="35"/>
        <v/>
      </c>
      <c r="Z175" s="150"/>
      <c r="AA175" s="27" t="str">
        <f t="shared" si="36"/>
        <v/>
      </c>
      <c r="AB175" s="150"/>
      <c r="AC175" s="27" t="str">
        <f t="shared" si="37"/>
        <v/>
      </c>
      <c r="AD175" s="150"/>
      <c r="AE175" s="27" t="str">
        <f t="shared" si="38"/>
        <v/>
      </c>
      <c r="AF175" s="48" t="str">
        <f t="shared" si="39"/>
        <v/>
      </c>
      <c r="AG175" s="48" t="str">
        <f t="shared" si="40"/>
        <v/>
      </c>
      <c r="AH175" s="131"/>
      <c r="AI175" s="149" t="str">
        <f t="shared" si="41"/>
        <v>Débil</v>
      </c>
      <c r="AJ175" s="21" t="str">
        <f>IFERROR(VLOOKUP((CONCATENATE(AG175,AI175)),Listados!$U$3:$V$11,2,FALSE),"")</f>
        <v/>
      </c>
      <c r="AK175" s="48">
        <f t="shared" si="42"/>
        <v>100</v>
      </c>
      <c r="AL175" s="430">
        <f>AVERAGE(AK175:AK180)</f>
        <v>100</v>
      </c>
      <c r="AM175" s="432" t="str">
        <f>IF(AL175&lt;=50, "Débil", IF(AL175&lt;=99,"Moderado","Fuerte"))</f>
        <v>Fuerte</v>
      </c>
      <c r="AN175" s="169">
        <f>+IF(AND(Q175="Preventivo",AM175="Fuerte"),2,IF(AND(Q175="Preventivo",AM175="Moderado"),1,0))</f>
        <v>2</v>
      </c>
      <c r="AO175" s="169">
        <f t="shared" si="43"/>
        <v>1</v>
      </c>
      <c r="AP175" s="169">
        <f>+K175-AN175</f>
        <v>3</v>
      </c>
      <c r="AQ175" s="169">
        <f>+M175-AO175</f>
        <v>3</v>
      </c>
      <c r="AR175" s="421" t="str">
        <f>+VLOOKUP(MIN(AP175,AP176,AP177,AP178,AP179,AP180),Listados!$J$18:$K$24,2,TRUE)</f>
        <v>Posible</v>
      </c>
      <c r="AS175" s="421" t="str">
        <f>+VLOOKUP(MIN(AQ175,AQ176,AQ177,AQ178,AQ179,AQ180),Listados!$J$27:$K$32,2,TRUE)</f>
        <v>Moderado</v>
      </c>
      <c r="AT175" s="421" t="str">
        <f>IF(AND(AR175&lt;&gt;"",AS175&lt;&gt;""),VLOOKUP(AR175&amp;AS175,Listados!$M$3:$N$27,2,FALSE),"")</f>
        <v>Alto</v>
      </c>
      <c r="AU175" s="421" t="str">
        <f>+VLOOKUP(AT175,Listados!$P$3:$Q$6,2,FALSE)</f>
        <v>Reducir el riesgo</v>
      </c>
      <c r="AV175" s="387"/>
      <c r="AW175" s="388"/>
      <c r="AX175" s="389"/>
      <c r="AY175" s="387"/>
      <c r="AZ175" s="388"/>
      <c r="BA175" s="389"/>
      <c r="BB175" s="387"/>
      <c r="BC175" s="388"/>
      <c r="BD175" s="389"/>
    </row>
    <row r="176" spans="1:56" ht="186" thickBot="1">
      <c r="A176" s="405"/>
      <c r="B176" s="407"/>
      <c r="C176" s="408"/>
      <c r="D176" s="409"/>
      <c r="E176" s="164"/>
      <c r="F176" s="164"/>
      <c r="G176" s="165" t="s">
        <v>444</v>
      </c>
      <c r="H176" s="165" t="s">
        <v>16</v>
      </c>
      <c r="I176" s="165" t="s">
        <v>437</v>
      </c>
      <c r="J176" s="407"/>
      <c r="K176" s="425"/>
      <c r="L176" s="428"/>
      <c r="M176" s="425"/>
      <c r="N176" s="435"/>
      <c r="O176" s="165" t="s">
        <v>443</v>
      </c>
      <c r="P176" s="165" t="s">
        <v>444</v>
      </c>
      <c r="Q176" s="166"/>
      <c r="R176" s="172"/>
      <c r="S176" s="27" t="str">
        <f t="shared" si="32"/>
        <v/>
      </c>
      <c r="T176" s="172"/>
      <c r="U176" s="27" t="str">
        <f t="shared" si="33"/>
        <v/>
      </c>
      <c r="V176" s="150"/>
      <c r="W176" s="27" t="str">
        <f t="shared" si="34"/>
        <v/>
      </c>
      <c r="X176" s="150"/>
      <c r="Y176" s="27" t="str">
        <f t="shared" si="35"/>
        <v/>
      </c>
      <c r="Z176" s="150"/>
      <c r="AA176" s="27" t="str">
        <f t="shared" si="36"/>
        <v/>
      </c>
      <c r="AB176" s="150"/>
      <c r="AC176" s="27" t="str">
        <f t="shared" si="37"/>
        <v/>
      </c>
      <c r="AD176" s="150"/>
      <c r="AE176" s="27" t="str">
        <f t="shared" si="38"/>
        <v/>
      </c>
      <c r="AF176" s="48" t="str">
        <f t="shared" si="39"/>
        <v/>
      </c>
      <c r="AG176" s="48" t="str">
        <f t="shared" si="40"/>
        <v/>
      </c>
      <c r="AH176" s="131"/>
      <c r="AI176" s="149" t="str">
        <f t="shared" si="41"/>
        <v>Débil</v>
      </c>
      <c r="AJ176" s="21" t="str">
        <f>IFERROR(VLOOKUP((CONCATENATE(AG176,AI176)),Listados!$U$3:$V$11,2,FALSE),"")</f>
        <v/>
      </c>
      <c r="AK176" s="48">
        <f t="shared" si="42"/>
        <v>100</v>
      </c>
      <c r="AL176" s="431"/>
      <c r="AM176" s="433"/>
      <c r="AN176" s="169">
        <f>+IF(AND(Q176="Preventivo",AM175="Fuerte"),2,IF(AND(Q176="Preventivo",AM175="Moderado"),1,0))</f>
        <v>0</v>
      </c>
      <c r="AO176" s="169">
        <f t="shared" si="43"/>
        <v>0</v>
      </c>
      <c r="AP176" s="169">
        <f>+K175-AN176</f>
        <v>5</v>
      </c>
      <c r="AQ176" s="169">
        <f>+M175-AO176</f>
        <v>4</v>
      </c>
      <c r="AR176" s="422"/>
      <c r="AS176" s="422"/>
      <c r="AT176" s="422"/>
      <c r="AU176" s="422"/>
      <c r="AV176" s="387"/>
      <c r="AW176" s="388"/>
      <c r="AX176" s="389"/>
      <c r="AY176" s="387"/>
      <c r="AZ176" s="388"/>
      <c r="BA176" s="389"/>
      <c r="BB176" s="387"/>
      <c r="BC176" s="388"/>
      <c r="BD176" s="389"/>
    </row>
    <row r="177" spans="1:56" ht="29.25" thickBot="1">
      <c r="A177" s="405"/>
      <c r="B177" s="407"/>
      <c r="C177" s="408"/>
      <c r="D177" s="409"/>
      <c r="E177" s="164"/>
      <c r="F177" s="164"/>
      <c r="G177" s="165"/>
      <c r="H177" s="165"/>
      <c r="I177" s="165" t="s">
        <v>439</v>
      </c>
      <c r="J177" s="407"/>
      <c r="K177" s="425"/>
      <c r="L177" s="428"/>
      <c r="M177" s="425"/>
      <c r="N177" s="435"/>
      <c r="O177" s="164"/>
      <c r="P177" s="166"/>
      <c r="Q177" s="166"/>
      <c r="R177" s="172"/>
      <c r="S177" s="27" t="str">
        <f t="shared" si="32"/>
        <v/>
      </c>
      <c r="T177" s="172"/>
      <c r="U177" s="27" t="str">
        <f t="shared" si="33"/>
        <v/>
      </c>
      <c r="V177" s="150"/>
      <c r="W177" s="27" t="str">
        <f t="shared" si="34"/>
        <v/>
      </c>
      <c r="X177" s="150"/>
      <c r="Y177" s="27" t="str">
        <f t="shared" si="35"/>
        <v/>
      </c>
      <c r="Z177" s="150"/>
      <c r="AA177" s="27" t="str">
        <f t="shared" si="36"/>
        <v/>
      </c>
      <c r="AB177" s="150"/>
      <c r="AC177" s="27" t="str">
        <f t="shared" si="37"/>
        <v/>
      </c>
      <c r="AD177" s="150"/>
      <c r="AE177" s="27" t="str">
        <f t="shared" si="38"/>
        <v/>
      </c>
      <c r="AF177" s="48" t="str">
        <f t="shared" si="39"/>
        <v/>
      </c>
      <c r="AG177" s="48" t="str">
        <f t="shared" si="40"/>
        <v/>
      </c>
      <c r="AH177" s="131"/>
      <c r="AI177" s="149" t="str">
        <f t="shared" si="41"/>
        <v>Débil</v>
      </c>
      <c r="AJ177" s="21" t="str">
        <f>IFERROR(VLOOKUP((CONCATENATE(AG177,AI177)),Listados!$U$3:$V$11,2,FALSE),"")</f>
        <v/>
      </c>
      <c r="AK177" s="48">
        <f t="shared" si="42"/>
        <v>100</v>
      </c>
      <c r="AL177" s="431"/>
      <c r="AM177" s="433"/>
      <c r="AN177" s="169">
        <f>+IF(AND(Q177="Preventivo",AM175="Fuerte"),2,IF(AND(Q177="Preventivo",AM175="Moderado"),1,0))</f>
        <v>0</v>
      </c>
      <c r="AO177" s="169">
        <f t="shared" si="43"/>
        <v>0</v>
      </c>
      <c r="AP177" s="169">
        <f>+K175-AN177</f>
        <v>5</v>
      </c>
      <c r="AQ177" s="169">
        <f>+M175-AO177</f>
        <v>4</v>
      </c>
      <c r="AR177" s="422"/>
      <c r="AS177" s="422"/>
      <c r="AT177" s="422"/>
      <c r="AU177" s="422"/>
      <c r="AV177" s="387"/>
      <c r="AW177" s="388"/>
      <c r="AX177" s="389"/>
      <c r="AY177" s="387"/>
      <c r="AZ177" s="388"/>
      <c r="BA177" s="389"/>
      <c r="BB177" s="387"/>
      <c r="BC177" s="388"/>
      <c r="BD177" s="389"/>
    </row>
    <row r="178" spans="1:56" ht="15.75" thickBot="1">
      <c r="A178" s="405"/>
      <c r="B178" s="407"/>
      <c r="C178" s="408"/>
      <c r="D178" s="409"/>
      <c r="E178" s="164"/>
      <c r="F178" s="164"/>
      <c r="G178" s="165"/>
      <c r="H178" s="165"/>
      <c r="I178" s="165"/>
      <c r="J178" s="407"/>
      <c r="K178" s="425"/>
      <c r="L178" s="428"/>
      <c r="M178" s="425"/>
      <c r="N178" s="435"/>
      <c r="O178" s="164"/>
      <c r="P178" s="166"/>
      <c r="Q178" s="166"/>
      <c r="R178" s="172"/>
      <c r="S178" s="27" t="str">
        <f t="shared" si="32"/>
        <v/>
      </c>
      <c r="T178" s="172"/>
      <c r="U178" s="27" t="str">
        <f t="shared" si="33"/>
        <v/>
      </c>
      <c r="V178" s="150"/>
      <c r="W178" s="27" t="str">
        <f t="shared" si="34"/>
        <v/>
      </c>
      <c r="X178" s="150"/>
      <c r="Y178" s="27" t="str">
        <f t="shared" si="35"/>
        <v/>
      </c>
      <c r="Z178" s="150"/>
      <c r="AA178" s="27" t="str">
        <f t="shared" si="36"/>
        <v/>
      </c>
      <c r="AB178" s="150"/>
      <c r="AC178" s="27" t="str">
        <f t="shared" si="37"/>
        <v/>
      </c>
      <c r="AD178" s="150"/>
      <c r="AE178" s="27" t="str">
        <f t="shared" si="38"/>
        <v/>
      </c>
      <c r="AF178" s="48" t="str">
        <f t="shared" si="39"/>
        <v/>
      </c>
      <c r="AG178" s="48" t="str">
        <f t="shared" si="40"/>
        <v/>
      </c>
      <c r="AH178" s="131"/>
      <c r="AI178" s="149" t="str">
        <f t="shared" si="41"/>
        <v>Débil</v>
      </c>
      <c r="AJ178" s="21" t="str">
        <f>IFERROR(VLOOKUP((CONCATENATE(AG178,AI178)),Listados!$U$3:$V$11,2,FALSE),"")</f>
        <v/>
      </c>
      <c r="AK178" s="48">
        <f t="shared" si="42"/>
        <v>100</v>
      </c>
      <c r="AL178" s="431"/>
      <c r="AM178" s="433"/>
      <c r="AN178" s="169">
        <f>+IF(AND(Q178="Preventivo",AM175="Fuerte"),2,IF(AND(Q178="Preventivo",AM175="Moderado"),1,0))</f>
        <v>0</v>
      </c>
      <c r="AO178" s="169">
        <f t="shared" si="43"/>
        <v>0</v>
      </c>
      <c r="AP178" s="169">
        <f>+K175-AN178</f>
        <v>5</v>
      </c>
      <c r="AQ178" s="169">
        <f>+M175-AO178</f>
        <v>4</v>
      </c>
      <c r="AR178" s="422"/>
      <c r="AS178" s="422"/>
      <c r="AT178" s="422"/>
      <c r="AU178" s="422"/>
      <c r="AV178" s="387"/>
      <c r="AW178" s="388"/>
      <c r="AX178" s="389"/>
      <c r="AY178" s="387"/>
      <c r="AZ178" s="388"/>
      <c r="BA178" s="389"/>
      <c r="BB178" s="387"/>
      <c r="BC178" s="388"/>
      <c r="BD178" s="389"/>
    </row>
    <row r="179" spans="1:56" ht="15.75" thickBot="1">
      <c r="A179" s="405"/>
      <c r="B179" s="407"/>
      <c r="C179" s="408"/>
      <c r="D179" s="409"/>
      <c r="E179" s="164"/>
      <c r="F179" s="164"/>
      <c r="G179" s="165"/>
      <c r="H179" s="165"/>
      <c r="I179" s="165"/>
      <c r="J179" s="407"/>
      <c r="K179" s="425"/>
      <c r="L179" s="428"/>
      <c r="M179" s="425"/>
      <c r="N179" s="435"/>
      <c r="O179" s="164"/>
      <c r="P179" s="166"/>
      <c r="Q179" s="166"/>
      <c r="R179" s="172"/>
      <c r="S179" s="27" t="str">
        <f t="shared" si="32"/>
        <v/>
      </c>
      <c r="T179" s="172"/>
      <c r="U179" s="27" t="str">
        <f t="shared" si="33"/>
        <v/>
      </c>
      <c r="V179" s="150"/>
      <c r="W179" s="27" t="str">
        <f t="shared" si="34"/>
        <v/>
      </c>
      <c r="X179" s="150"/>
      <c r="Y179" s="27" t="str">
        <f t="shared" si="35"/>
        <v/>
      </c>
      <c r="Z179" s="150"/>
      <c r="AA179" s="27" t="str">
        <f t="shared" si="36"/>
        <v/>
      </c>
      <c r="AB179" s="150"/>
      <c r="AC179" s="27" t="str">
        <f t="shared" si="37"/>
        <v/>
      </c>
      <c r="AD179" s="150"/>
      <c r="AE179" s="27" t="str">
        <f t="shared" si="38"/>
        <v/>
      </c>
      <c r="AF179" s="48" t="str">
        <f t="shared" si="39"/>
        <v/>
      </c>
      <c r="AG179" s="48" t="str">
        <f t="shared" si="40"/>
        <v/>
      </c>
      <c r="AH179" s="131"/>
      <c r="AI179" s="149" t="str">
        <f t="shared" si="41"/>
        <v>Débil</v>
      </c>
      <c r="AJ179" s="21" t="str">
        <f>IFERROR(VLOOKUP((CONCATENATE(AG179,AI179)),Listados!$U$3:$V$11,2,FALSE),"")</f>
        <v/>
      </c>
      <c r="AK179" s="48">
        <f t="shared" si="42"/>
        <v>100</v>
      </c>
      <c r="AL179" s="431"/>
      <c r="AM179" s="433"/>
      <c r="AN179" s="169">
        <f>+IF(AND(Q179="Preventivo",AM175="Fuerte"),2,IF(AND(Q179="Preventivo",AM175="Moderado"),1,0))</f>
        <v>0</v>
      </c>
      <c r="AO179" s="169">
        <f t="shared" si="43"/>
        <v>0</v>
      </c>
      <c r="AP179" s="169">
        <f>+K175-AN179</f>
        <v>5</v>
      </c>
      <c r="AQ179" s="169">
        <f>+M175-AO179</f>
        <v>4</v>
      </c>
      <c r="AR179" s="422"/>
      <c r="AS179" s="422"/>
      <c r="AT179" s="422"/>
      <c r="AU179" s="422"/>
      <c r="AV179" s="387"/>
      <c r="AW179" s="388"/>
      <c r="AX179" s="389"/>
      <c r="AY179" s="387"/>
      <c r="AZ179" s="388"/>
      <c r="BA179" s="389"/>
      <c r="BB179" s="387"/>
      <c r="BC179" s="388"/>
      <c r="BD179" s="389"/>
    </row>
    <row r="180" spans="1:56" ht="15.75" thickBot="1">
      <c r="A180" s="406"/>
      <c r="B180" s="407"/>
      <c r="C180" s="408"/>
      <c r="D180" s="409"/>
      <c r="E180" s="164"/>
      <c r="F180" s="164"/>
      <c r="G180" s="165"/>
      <c r="H180" s="165"/>
      <c r="I180" s="165"/>
      <c r="J180" s="407"/>
      <c r="K180" s="426"/>
      <c r="L180" s="428"/>
      <c r="M180" s="426"/>
      <c r="N180" s="435"/>
      <c r="O180" s="164"/>
      <c r="P180" s="166"/>
      <c r="Q180" s="166"/>
      <c r="R180" s="172"/>
      <c r="S180" s="27" t="str">
        <f t="shared" si="32"/>
        <v/>
      </c>
      <c r="T180" s="172"/>
      <c r="U180" s="27" t="str">
        <f t="shared" si="33"/>
        <v/>
      </c>
      <c r="V180" s="150"/>
      <c r="W180" s="27" t="str">
        <f t="shared" si="34"/>
        <v/>
      </c>
      <c r="X180" s="150"/>
      <c r="Y180" s="27" t="str">
        <f t="shared" si="35"/>
        <v/>
      </c>
      <c r="Z180" s="150"/>
      <c r="AA180" s="27" t="str">
        <f t="shared" si="36"/>
        <v/>
      </c>
      <c r="AB180" s="150"/>
      <c r="AC180" s="27" t="str">
        <f t="shared" si="37"/>
        <v/>
      </c>
      <c r="AD180" s="150"/>
      <c r="AE180" s="27" t="str">
        <f t="shared" si="38"/>
        <v/>
      </c>
      <c r="AF180" s="48" t="str">
        <f t="shared" si="39"/>
        <v/>
      </c>
      <c r="AG180" s="48" t="str">
        <f t="shared" si="40"/>
        <v/>
      </c>
      <c r="AH180" s="131"/>
      <c r="AI180" s="149" t="str">
        <f t="shared" si="41"/>
        <v>Débil</v>
      </c>
      <c r="AJ180" s="21" t="str">
        <f>IFERROR(VLOOKUP((CONCATENATE(AG180,AI180)),Listados!$U$3:$V$11,2,FALSE),"")</f>
        <v/>
      </c>
      <c r="AK180" s="48">
        <f t="shared" si="42"/>
        <v>100</v>
      </c>
      <c r="AL180" s="432"/>
      <c r="AM180" s="433"/>
      <c r="AN180" s="169">
        <f>+IF(AND(Q180="Preventivo",AM175="Fuerte"),2,IF(AND(Q180="Preventivo",AM175="Moderado"),1,0))</f>
        <v>0</v>
      </c>
      <c r="AO180" s="169">
        <f t="shared" si="43"/>
        <v>0</v>
      </c>
      <c r="AP180" s="169">
        <f>+K175-AN180</f>
        <v>5</v>
      </c>
      <c r="AQ180" s="169">
        <f>+M175-AO180</f>
        <v>4</v>
      </c>
      <c r="AR180" s="423"/>
      <c r="AS180" s="423"/>
      <c r="AT180" s="423"/>
      <c r="AU180" s="423"/>
      <c r="AV180" s="387"/>
      <c r="AW180" s="388"/>
      <c r="AX180" s="389"/>
      <c r="AY180" s="387"/>
      <c r="AZ180" s="388"/>
      <c r="BA180" s="389"/>
      <c r="BB180" s="387"/>
      <c r="BC180" s="388"/>
      <c r="BD180" s="389"/>
    </row>
    <row r="181" spans="1:56" ht="200.25" thickBot="1">
      <c r="A181" s="404">
        <v>30</v>
      </c>
      <c r="B181" s="407" t="s">
        <v>68</v>
      </c>
      <c r="C181" s="408" t="str">
        <f>IFERROR(VLOOKUP(B181,Listados!B$3:C$20,2,FALSE),"")</f>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
      <c r="D181" s="409" t="s">
        <v>445</v>
      </c>
      <c r="E181" s="164" t="s">
        <v>15</v>
      </c>
      <c r="F181" s="164" t="s">
        <v>343</v>
      </c>
      <c r="G181" s="165" t="s">
        <v>446</v>
      </c>
      <c r="H181" s="165" t="s">
        <v>16</v>
      </c>
      <c r="I181" s="165" t="s">
        <v>447</v>
      </c>
      <c r="J181" s="407" t="s">
        <v>31</v>
      </c>
      <c r="K181" s="424">
        <f>+VLOOKUP(J181,Listados!$K$8:$L$12,2,0)</f>
        <v>2</v>
      </c>
      <c r="L181" s="427" t="s">
        <v>36</v>
      </c>
      <c r="M181" s="424">
        <f>+VLOOKUP(L181,Listados!$K$13:$L$17,2,0)</f>
        <v>3</v>
      </c>
      <c r="N181" s="434" t="str">
        <f>IF(AND(J181&lt;&gt;"",L181&lt;&gt;""),VLOOKUP(J181&amp;L181,Listados!$M$3:$N$27,2,FALSE),"")</f>
        <v>Moderado</v>
      </c>
      <c r="O181" s="165" t="s">
        <v>448</v>
      </c>
      <c r="P181" s="165" t="s">
        <v>446</v>
      </c>
      <c r="Q181" s="165" t="s">
        <v>20</v>
      </c>
      <c r="R181" s="172"/>
      <c r="S181" s="27" t="str">
        <f t="shared" si="32"/>
        <v/>
      </c>
      <c r="T181" s="172"/>
      <c r="U181" s="27" t="str">
        <f t="shared" si="33"/>
        <v/>
      </c>
      <c r="V181" s="150"/>
      <c r="W181" s="27" t="str">
        <f t="shared" si="34"/>
        <v/>
      </c>
      <c r="X181" s="150"/>
      <c r="Y181" s="27" t="str">
        <f t="shared" si="35"/>
        <v/>
      </c>
      <c r="Z181" s="150"/>
      <c r="AA181" s="27" t="str">
        <f t="shared" si="36"/>
        <v/>
      </c>
      <c r="AB181" s="150"/>
      <c r="AC181" s="27" t="str">
        <f t="shared" si="37"/>
        <v/>
      </c>
      <c r="AD181" s="150"/>
      <c r="AE181" s="27" t="str">
        <f t="shared" si="38"/>
        <v/>
      </c>
      <c r="AF181" s="48" t="str">
        <f t="shared" si="39"/>
        <v/>
      </c>
      <c r="AG181" s="48" t="str">
        <f t="shared" si="40"/>
        <v/>
      </c>
      <c r="AH181" s="131"/>
      <c r="AI181" s="149" t="str">
        <f t="shared" si="41"/>
        <v>Débil</v>
      </c>
      <c r="AJ181" s="21" t="str">
        <f>IFERROR(VLOOKUP((CONCATENATE(AG181,AI181)),Listados!$U$3:$V$11,2,FALSE),"")</f>
        <v/>
      </c>
      <c r="AK181" s="48">
        <f t="shared" si="42"/>
        <v>100</v>
      </c>
      <c r="AL181" s="430">
        <f>AVERAGE(AK181:AK186)</f>
        <v>100</v>
      </c>
      <c r="AM181" s="432" t="str">
        <f>IF(AL181&lt;=50, "Débil", IF(AL181&lt;=99,"Moderado","Fuerte"))</f>
        <v>Fuerte</v>
      </c>
      <c r="AN181" s="169">
        <f>+IF(AND(Q181="Preventivo",AM181="Fuerte"),2,IF(AND(Q181="Preventivo",AM181="Moderado"),1,0))</f>
        <v>2</v>
      </c>
      <c r="AO181" s="169">
        <f t="shared" si="43"/>
        <v>1</v>
      </c>
      <c r="AP181" s="169">
        <f>+K181-AN181</f>
        <v>0</v>
      </c>
      <c r="AQ181" s="169">
        <f>+M181-AO181</f>
        <v>2</v>
      </c>
      <c r="AR181" s="421" t="str">
        <f>+VLOOKUP(MIN(AP181,AP182,AP183,AP184,AP185,AP186),Listados!$J$18:$K$24,2,TRUE)</f>
        <v>Rara Vez</v>
      </c>
      <c r="AS181" s="421" t="str">
        <f>+VLOOKUP(MIN(AQ181,AQ182,AQ183,AQ184,AQ185,AQ186),Listados!$J$27:$K$32,2,TRUE)</f>
        <v>Insignificante</v>
      </c>
      <c r="AT181" s="421" t="str">
        <f>IF(AND(AR181&lt;&gt;"",AS181&lt;&gt;""),VLOOKUP(AR181&amp;AS181,Listados!$M$3:$N$27,2,FALSE),"")</f>
        <v>Bajo</v>
      </c>
      <c r="AU181" s="421" t="str">
        <f>+VLOOKUP(AT181,Listados!$P$3:$Q$6,2,FALSE)</f>
        <v>Asumir el riesgo</v>
      </c>
      <c r="AV181" s="387"/>
      <c r="AW181" s="388"/>
      <c r="AX181" s="389"/>
      <c r="AY181" s="387"/>
      <c r="AZ181" s="388"/>
      <c r="BA181" s="389"/>
      <c r="BB181" s="387"/>
      <c r="BC181" s="388"/>
      <c r="BD181" s="389"/>
    </row>
    <row r="182" spans="1:56" ht="143.25" thickBot="1">
      <c r="A182" s="405"/>
      <c r="B182" s="407"/>
      <c r="C182" s="408"/>
      <c r="D182" s="409"/>
      <c r="E182" s="164"/>
      <c r="F182" s="164"/>
      <c r="G182" s="165" t="s">
        <v>449</v>
      </c>
      <c r="H182" s="165" t="s">
        <v>30</v>
      </c>
      <c r="I182" s="165" t="s">
        <v>450</v>
      </c>
      <c r="J182" s="407"/>
      <c r="K182" s="425"/>
      <c r="L182" s="428"/>
      <c r="M182" s="425"/>
      <c r="N182" s="435"/>
      <c r="O182" s="165" t="s">
        <v>451</v>
      </c>
      <c r="P182" s="165" t="s">
        <v>449</v>
      </c>
      <c r="Q182" s="165" t="s">
        <v>123</v>
      </c>
      <c r="R182" s="172"/>
      <c r="S182" s="27" t="str">
        <f t="shared" si="32"/>
        <v/>
      </c>
      <c r="T182" s="172"/>
      <c r="U182" s="27" t="str">
        <f t="shared" si="33"/>
        <v/>
      </c>
      <c r="V182" s="150"/>
      <c r="W182" s="27" t="str">
        <f t="shared" si="34"/>
        <v/>
      </c>
      <c r="X182" s="150"/>
      <c r="Y182" s="27" t="str">
        <f t="shared" si="35"/>
        <v/>
      </c>
      <c r="Z182" s="150"/>
      <c r="AA182" s="27" t="str">
        <f t="shared" si="36"/>
        <v/>
      </c>
      <c r="AB182" s="150"/>
      <c r="AC182" s="27" t="str">
        <f t="shared" si="37"/>
        <v/>
      </c>
      <c r="AD182" s="150"/>
      <c r="AE182" s="27" t="str">
        <f t="shared" si="38"/>
        <v/>
      </c>
      <c r="AF182" s="48" t="str">
        <f t="shared" si="39"/>
        <v/>
      </c>
      <c r="AG182" s="48" t="str">
        <f t="shared" si="40"/>
        <v/>
      </c>
      <c r="AH182" s="131"/>
      <c r="AI182" s="149" t="str">
        <f t="shared" si="41"/>
        <v>Débil</v>
      </c>
      <c r="AJ182" s="21" t="str">
        <f>IFERROR(VLOOKUP((CONCATENATE(AG182,AI182)),Listados!$U$3:$V$11,2,FALSE),"")</f>
        <v/>
      </c>
      <c r="AK182" s="48">
        <f t="shared" si="42"/>
        <v>100</v>
      </c>
      <c r="AL182" s="431"/>
      <c r="AM182" s="433"/>
      <c r="AN182" s="169">
        <f>+IF(AND(Q182="Preventivo",AM181="Fuerte"),2,IF(AND(Q182="Preventivo",AM181="Moderado"),1,0))</f>
        <v>0</v>
      </c>
      <c r="AO182" s="169">
        <f t="shared" si="43"/>
        <v>2</v>
      </c>
      <c r="AP182" s="169">
        <f>+K181-AN182</f>
        <v>2</v>
      </c>
      <c r="AQ182" s="169">
        <f>+M181-AO182</f>
        <v>1</v>
      </c>
      <c r="AR182" s="422"/>
      <c r="AS182" s="422"/>
      <c r="AT182" s="422"/>
      <c r="AU182" s="422"/>
      <c r="AV182" s="387"/>
      <c r="AW182" s="388"/>
      <c r="AX182" s="389"/>
      <c r="AY182" s="387"/>
      <c r="AZ182" s="388"/>
      <c r="BA182" s="389"/>
      <c r="BB182" s="387"/>
      <c r="BC182" s="388"/>
      <c r="BD182" s="389"/>
    </row>
    <row r="183" spans="1:56" ht="57.75" thickBot="1">
      <c r="A183" s="405"/>
      <c r="B183" s="407"/>
      <c r="C183" s="408"/>
      <c r="D183" s="409"/>
      <c r="E183" s="164"/>
      <c r="F183" s="164"/>
      <c r="G183" s="165"/>
      <c r="H183" s="165"/>
      <c r="I183" s="165" t="s">
        <v>452</v>
      </c>
      <c r="J183" s="407"/>
      <c r="K183" s="425"/>
      <c r="L183" s="428"/>
      <c r="M183" s="425"/>
      <c r="N183" s="435"/>
      <c r="O183" s="164"/>
      <c r="P183" s="166"/>
      <c r="Q183" s="166"/>
      <c r="R183" s="172"/>
      <c r="S183" s="27" t="str">
        <f t="shared" si="32"/>
        <v/>
      </c>
      <c r="T183" s="172"/>
      <c r="U183" s="27" t="str">
        <f t="shared" si="33"/>
        <v/>
      </c>
      <c r="V183" s="150"/>
      <c r="W183" s="27" t="str">
        <f t="shared" si="34"/>
        <v/>
      </c>
      <c r="X183" s="150"/>
      <c r="Y183" s="27" t="str">
        <f t="shared" si="35"/>
        <v/>
      </c>
      <c r="Z183" s="150"/>
      <c r="AA183" s="27" t="str">
        <f t="shared" si="36"/>
        <v/>
      </c>
      <c r="AB183" s="150"/>
      <c r="AC183" s="27" t="str">
        <f t="shared" si="37"/>
        <v/>
      </c>
      <c r="AD183" s="150"/>
      <c r="AE183" s="27" t="str">
        <f t="shared" si="38"/>
        <v/>
      </c>
      <c r="AF183" s="48" t="str">
        <f t="shared" si="39"/>
        <v/>
      </c>
      <c r="AG183" s="48" t="str">
        <f t="shared" si="40"/>
        <v/>
      </c>
      <c r="AH183" s="131"/>
      <c r="AI183" s="149" t="str">
        <f t="shared" si="41"/>
        <v>Débil</v>
      </c>
      <c r="AJ183" s="21" t="str">
        <f>IFERROR(VLOOKUP((CONCATENATE(AG183,AI183)),Listados!$U$3:$V$11,2,FALSE),"")</f>
        <v/>
      </c>
      <c r="AK183" s="48">
        <f t="shared" si="42"/>
        <v>100</v>
      </c>
      <c r="AL183" s="431"/>
      <c r="AM183" s="433"/>
      <c r="AN183" s="169">
        <f>+IF(AND(Q183="Preventivo",AM181="Fuerte"),2,IF(AND(Q183="Preventivo",AM181="Moderado"),1,0))</f>
        <v>0</v>
      </c>
      <c r="AO183" s="169">
        <f t="shared" si="43"/>
        <v>0</v>
      </c>
      <c r="AP183" s="169">
        <f>+K181-AN183</f>
        <v>2</v>
      </c>
      <c r="AQ183" s="169">
        <f>+M181-AO183</f>
        <v>3</v>
      </c>
      <c r="AR183" s="422"/>
      <c r="AS183" s="422"/>
      <c r="AT183" s="422"/>
      <c r="AU183" s="422"/>
      <c r="AV183" s="387"/>
      <c r="AW183" s="388"/>
      <c r="AX183" s="389"/>
      <c r="AY183" s="387"/>
      <c r="AZ183" s="388"/>
      <c r="BA183" s="389"/>
      <c r="BB183" s="387"/>
      <c r="BC183" s="388"/>
      <c r="BD183" s="389"/>
    </row>
    <row r="184" spans="1:56" ht="15.75" thickBot="1">
      <c r="A184" s="405"/>
      <c r="B184" s="407"/>
      <c r="C184" s="408"/>
      <c r="D184" s="409"/>
      <c r="E184" s="164"/>
      <c r="F184" s="164"/>
      <c r="G184" s="165"/>
      <c r="H184" s="165"/>
      <c r="I184" s="165"/>
      <c r="J184" s="407"/>
      <c r="K184" s="425"/>
      <c r="L184" s="428"/>
      <c r="M184" s="425"/>
      <c r="N184" s="435"/>
      <c r="O184" s="164"/>
      <c r="P184" s="166"/>
      <c r="Q184" s="166"/>
      <c r="R184" s="172"/>
      <c r="S184" s="27" t="str">
        <f t="shared" si="32"/>
        <v/>
      </c>
      <c r="T184" s="172"/>
      <c r="U184" s="27" t="str">
        <f t="shared" si="33"/>
        <v/>
      </c>
      <c r="V184" s="150"/>
      <c r="W184" s="27" t="str">
        <f t="shared" si="34"/>
        <v/>
      </c>
      <c r="X184" s="150"/>
      <c r="Y184" s="27" t="str">
        <f t="shared" si="35"/>
        <v/>
      </c>
      <c r="Z184" s="150"/>
      <c r="AA184" s="27" t="str">
        <f t="shared" si="36"/>
        <v/>
      </c>
      <c r="AB184" s="150"/>
      <c r="AC184" s="27" t="str">
        <f t="shared" si="37"/>
        <v/>
      </c>
      <c r="AD184" s="150"/>
      <c r="AE184" s="27" t="str">
        <f t="shared" si="38"/>
        <v/>
      </c>
      <c r="AF184" s="48" t="str">
        <f t="shared" si="39"/>
        <v/>
      </c>
      <c r="AG184" s="48" t="str">
        <f t="shared" si="40"/>
        <v/>
      </c>
      <c r="AH184" s="131"/>
      <c r="AI184" s="149" t="str">
        <f t="shared" si="41"/>
        <v>Débil</v>
      </c>
      <c r="AJ184" s="21" t="str">
        <f>IFERROR(VLOOKUP((CONCATENATE(AG184,AI184)),Listados!$U$3:$V$11,2,FALSE),"")</f>
        <v/>
      </c>
      <c r="AK184" s="48">
        <f t="shared" si="42"/>
        <v>100</v>
      </c>
      <c r="AL184" s="431"/>
      <c r="AM184" s="433"/>
      <c r="AN184" s="169">
        <f>+IF(AND(Q184="Preventivo",AM181="Fuerte"),2,IF(AND(Q184="Preventivo",AM181="Moderado"),1,0))</f>
        <v>0</v>
      </c>
      <c r="AO184" s="169">
        <f t="shared" si="43"/>
        <v>0</v>
      </c>
      <c r="AP184" s="169">
        <f>+K181-AN184</f>
        <v>2</v>
      </c>
      <c r="AQ184" s="169">
        <f>+M181-AO184</f>
        <v>3</v>
      </c>
      <c r="AR184" s="422"/>
      <c r="AS184" s="422"/>
      <c r="AT184" s="422"/>
      <c r="AU184" s="422"/>
      <c r="AV184" s="387"/>
      <c r="AW184" s="388"/>
      <c r="AX184" s="389"/>
      <c r="AY184" s="387"/>
      <c r="AZ184" s="388"/>
      <c r="BA184" s="389"/>
      <c r="BB184" s="387"/>
      <c r="BC184" s="388"/>
      <c r="BD184" s="389"/>
    </row>
    <row r="185" spans="1:56" ht="15.75" thickBot="1">
      <c r="A185" s="405"/>
      <c r="B185" s="407"/>
      <c r="C185" s="408"/>
      <c r="D185" s="409"/>
      <c r="E185" s="164"/>
      <c r="F185" s="164"/>
      <c r="G185" s="165"/>
      <c r="H185" s="165"/>
      <c r="I185" s="165"/>
      <c r="J185" s="407"/>
      <c r="K185" s="425"/>
      <c r="L185" s="428"/>
      <c r="M185" s="425"/>
      <c r="N185" s="435"/>
      <c r="O185" s="164"/>
      <c r="P185" s="166"/>
      <c r="Q185" s="166"/>
      <c r="R185" s="172"/>
      <c r="S185" s="27" t="str">
        <f t="shared" si="32"/>
        <v/>
      </c>
      <c r="T185" s="172"/>
      <c r="U185" s="27" t="str">
        <f t="shared" si="33"/>
        <v/>
      </c>
      <c r="V185" s="150"/>
      <c r="W185" s="27" t="str">
        <f t="shared" si="34"/>
        <v/>
      </c>
      <c r="X185" s="150"/>
      <c r="Y185" s="27" t="str">
        <f t="shared" si="35"/>
        <v/>
      </c>
      <c r="Z185" s="150"/>
      <c r="AA185" s="27" t="str">
        <f t="shared" si="36"/>
        <v/>
      </c>
      <c r="AB185" s="150"/>
      <c r="AC185" s="27" t="str">
        <f t="shared" si="37"/>
        <v/>
      </c>
      <c r="AD185" s="150"/>
      <c r="AE185" s="27" t="str">
        <f t="shared" si="38"/>
        <v/>
      </c>
      <c r="AF185" s="48" t="str">
        <f t="shared" si="39"/>
        <v/>
      </c>
      <c r="AG185" s="48" t="str">
        <f t="shared" si="40"/>
        <v/>
      </c>
      <c r="AH185" s="131"/>
      <c r="AI185" s="149" t="str">
        <f t="shared" si="41"/>
        <v>Débil</v>
      </c>
      <c r="AJ185" s="21" t="str">
        <f>IFERROR(VLOOKUP((CONCATENATE(AG185,AI185)),Listados!$U$3:$V$11,2,FALSE),"")</f>
        <v/>
      </c>
      <c r="AK185" s="48">
        <f t="shared" si="42"/>
        <v>100</v>
      </c>
      <c r="AL185" s="431"/>
      <c r="AM185" s="433"/>
      <c r="AN185" s="169">
        <f>+IF(AND(Q185="Preventivo",AM181="Fuerte"),2,IF(AND(Q185="Preventivo",AM181="Moderado"),1,0))</f>
        <v>0</v>
      </c>
      <c r="AO185" s="169">
        <f t="shared" si="43"/>
        <v>0</v>
      </c>
      <c r="AP185" s="169">
        <f>+K181-AN185</f>
        <v>2</v>
      </c>
      <c r="AQ185" s="169">
        <f>+M181-AO185</f>
        <v>3</v>
      </c>
      <c r="AR185" s="422"/>
      <c r="AS185" s="422"/>
      <c r="AT185" s="422"/>
      <c r="AU185" s="422"/>
      <c r="AV185" s="387"/>
      <c r="AW185" s="388"/>
      <c r="AX185" s="389"/>
      <c r="AY185" s="387"/>
      <c r="AZ185" s="388"/>
      <c r="BA185" s="389"/>
      <c r="BB185" s="387"/>
      <c r="BC185" s="388"/>
      <c r="BD185" s="389"/>
    </row>
    <row r="186" spans="1:56" ht="15.75" thickBot="1">
      <c r="A186" s="406"/>
      <c r="B186" s="407"/>
      <c r="C186" s="408"/>
      <c r="D186" s="409"/>
      <c r="E186" s="164"/>
      <c r="F186" s="164"/>
      <c r="G186" s="165"/>
      <c r="H186" s="165"/>
      <c r="I186" s="165"/>
      <c r="J186" s="407"/>
      <c r="K186" s="426"/>
      <c r="L186" s="428"/>
      <c r="M186" s="426"/>
      <c r="N186" s="435"/>
      <c r="O186" s="164"/>
      <c r="P186" s="166"/>
      <c r="Q186" s="166"/>
      <c r="R186" s="172"/>
      <c r="S186" s="27" t="str">
        <f t="shared" si="32"/>
        <v/>
      </c>
      <c r="T186" s="172"/>
      <c r="U186" s="27" t="str">
        <f t="shared" si="33"/>
        <v/>
      </c>
      <c r="V186" s="150"/>
      <c r="W186" s="27" t="str">
        <f t="shared" si="34"/>
        <v/>
      </c>
      <c r="X186" s="150"/>
      <c r="Y186" s="27" t="str">
        <f t="shared" si="35"/>
        <v/>
      </c>
      <c r="Z186" s="150"/>
      <c r="AA186" s="27" t="str">
        <f t="shared" si="36"/>
        <v/>
      </c>
      <c r="AB186" s="150"/>
      <c r="AC186" s="27" t="str">
        <f t="shared" si="37"/>
        <v/>
      </c>
      <c r="AD186" s="150"/>
      <c r="AE186" s="27" t="str">
        <f t="shared" si="38"/>
        <v/>
      </c>
      <c r="AF186" s="48" t="str">
        <f t="shared" si="39"/>
        <v/>
      </c>
      <c r="AG186" s="48" t="str">
        <f t="shared" si="40"/>
        <v/>
      </c>
      <c r="AH186" s="131"/>
      <c r="AI186" s="149" t="str">
        <f t="shared" si="41"/>
        <v>Débil</v>
      </c>
      <c r="AJ186" s="21" t="str">
        <f>IFERROR(VLOOKUP((CONCATENATE(AG186,AI186)),Listados!$U$3:$V$11,2,FALSE),"")</f>
        <v/>
      </c>
      <c r="AK186" s="48">
        <f t="shared" si="42"/>
        <v>100</v>
      </c>
      <c r="AL186" s="432"/>
      <c r="AM186" s="433"/>
      <c r="AN186" s="169">
        <f>+IF(AND(Q186="Preventivo",AM181="Fuerte"),2,IF(AND(Q186="Preventivo",AM181="Moderado"),1,0))</f>
        <v>0</v>
      </c>
      <c r="AO186" s="169">
        <f t="shared" si="43"/>
        <v>0</v>
      </c>
      <c r="AP186" s="169">
        <f>+K181-AN186</f>
        <v>2</v>
      </c>
      <c r="AQ186" s="169">
        <f>+M181-AO186</f>
        <v>3</v>
      </c>
      <c r="AR186" s="423"/>
      <c r="AS186" s="423"/>
      <c r="AT186" s="423"/>
      <c r="AU186" s="423"/>
      <c r="AV186" s="387"/>
      <c r="AW186" s="388"/>
      <c r="AX186" s="389"/>
      <c r="AY186" s="387"/>
      <c r="AZ186" s="388"/>
      <c r="BA186" s="389"/>
      <c r="BB186" s="387"/>
      <c r="BC186" s="388"/>
      <c r="BD186" s="389"/>
    </row>
    <row r="187" spans="1:56" ht="214.5" thickBot="1">
      <c r="A187" s="404">
        <v>31</v>
      </c>
      <c r="B187" s="407" t="s">
        <v>68</v>
      </c>
      <c r="C187" s="408" t="str">
        <f>IFERROR(VLOOKUP(B187,Listados!B$3:C$20,2,FALSE),"")</f>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
      <c r="D187" s="409" t="s">
        <v>453</v>
      </c>
      <c r="E187" s="164" t="s">
        <v>52</v>
      </c>
      <c r="F187" s="164"/>
      <c r="G187" s="165" t="s">
        <v>454</v>
      </c>
      <c r="H187" s="165" t="s">
        <v>16</v>
      </c>
      <c r="I187" s="165" t="s">
        <v>455</v>
      </c>
      <c r="J187" s="407" t="s">
        <v>31</v>
      </c>
      <c r="K187" s="424">
        <f>+VLOOKUP(J187,Listados!$K$8:$L$12,2,0)</f>
        <v>2</v>
      </c>
      <c r="L187" s="427" t="s">
        <v>54</v>
      </c>
      <c r="M187" s="424">
        <f>+VLOOKUP(L187,Listados!$K$13:$L$17,2,0)</f>
        <v>4</v>
      </c>
      <c r="N187" s="434" t="str">
        <f>IF(AND(J187&lt;&gt;"",L187&lt;&gt;""),VLOOKUP(J187&amp;L187,Listados!$M$3:$N$27,2,FALSE),"")</f>
        <v>Alto</v>
      </c>
      <c r="O187" s="165" t="s">
        <v>456</v>
      </c>
      <c r="P187" s="165" t="s">
        <v>454</v>
      </c>
      <c r="Q187" s="165" t="s">
        <v>20</v>
      </c>
      <c r="R187" s="172"/>
      <c r="S187" s="27" t="str">
        <f t="shared" si="32"/>
        <v/>
      </c>
      <c r="T187" s="172"/>
      <c r="U187" s="27" t="str">
        <f t="shared" si="33"/>
        <v/>
      </c>
      <c r="V187" s="150"/>
      <c r="W187" s="27" t="str">
        <f t="shared" si="34"/>
        <v/>
      </c>
      <c r="X187" s="150"/>
      <c r="Y187" s="27" t="str">
        <f t="shared" si="35"/>
        <v/>
      </c>
      <c r="Z187" s="150"/>
      <c r="AA187" s="27" t="str">
        <f t="shared" si="36"/>
        <v/>
      </c>
      <c r="AB187" s="150"/>
      <c r="AC187" s="27" t="str">
        <f t="shared" si="37"/>
        <v/>
      </c>
      <c r="AD187" s="150"/>
      <c r="AE187" s="27" t="str">
        <f t="shared" si="38"/>
        <v/>
      </c>
      <c r="AF187" s="48" t="str">
        <f t="shared" si="39"/>
        <v/>
      </c>
      <c r="AG187" s="48" t="str">
        <f t="shared" si="40"/>
        <v/>
      </c>
      <c r="AH187" s="131"/>
      <c r="AI187" s="149" t="str">
        <f t="shared" si="41"/>
        <v>Débil</v>
      </c>
      <c r="AJ187" s="21" t="str">
        <f>IFERROR(VLOOKUP((CONCATENATE(AG187,AI187)),Listados!$U$3:$V$11,2,FALSE),"")</f>
        <v/>
      </c>
      <c r="AK187" s="48">
        <f t="shared" si="42"/>
        <v>100</v>
      </c>
      <c r="AL187" s="430">
        <f>AVERAGE(AK187:AK192)</f>
        <v>100</v>
      </c>
      <c r="AM187" s="432" t="str">
        <f>IF(AL187&lt;=50, "Débil", IF(AL187&lt;=99,"Moderado","Fuerte"))</f>
        <v>Fuerte</v>
      </c>
      <c r="AN187" s="169">
        <f>+IF(AND(Q187="Preventivo",AM187="Fuerte"),2,IF(AND(Q187="Preventivo",AM187="Moderado"),1,0))</f>
        <v>2</v>
      </c>
      <c r="AO187" s="169">
        <f t="shared" si="43"/>
        <v>1</v>
      </c>
      <c r="AP187" s="169">
        <f>+K187-AN187</f>
        <v>0</v>
      </c>
      <c r="AQ187" s="169">
        <f>+M187-AO187</f>
        <v>3</v>
      </c>
      <c r="AR187" s="421" t="str">
        <f>+VLOOKUP(MIN(AP187,AP188,AP189,AP190,AP191,AP192),Listados!$J$18:$K$24,2,TRUE)</f>
        <v>Rara Vez</v>
      </c>
      <c r="AS187" s="421" t="str">
        <f>+VLOOKUP(MIN(AQ187,AQ188,AQ189,AQ190,AQ191,AQ192),Listados!$J$27:$K$32,2,TRUE)</f>
        <v>Moderado</v>
      </c>
      <c r="AT187" s="421" t="str">
        <f>IF(AND(AR187&lt;&gt;"",AS187&lt;&gt;""),VLOOKUP(AR187&amp;AS187,Listados!$M$3:$N$27,2,FALSE),"")</f>
        <v>Moderado</v>
      </c>
      <c r="AU187" s="421" t="str">
        <f>+VLOOKUP(AT187,Listados!$P$3:$Q$6,2,FALSE)</f>
        <v xml:space="preserve"> Reducir el riesgo</v>
      </c>
      <c r="AV187" s="387"/>
      <c r="AW187" s="388"/>
      <c r="AX187" s="389"/>
      <c r="AY187" s="387"/>
      <c r="AZ187" s="388"/>
      <c r="BA187" s="389"/>
      <c r="BB187" s="387"/>
      <c r="BC187" s="388"/>
      <c r="BD187" s="389"/>
    </row>
    <row r="188" spans="1:56" ht="228.75" thickBot="1">
      <c r="A188" s="405"/>
      <c r="B188" s="407"/>
      <c r="C188" s="408"/>
      <c r="D188" s="409"/>
      <c r="E188" s="164"/>
      <c r="F188" s="164"/>
      <c r="G188" s="165" t="s">
        <v>446</v>
      </c>
      <c r="H188" s="165" t="s">
        <v>16</v>
      </c>
      <c r="I188" s="165"/>
      <c r="J188" s="407"/>
      <c r="K188" s="425"/>
      <c r="L188" s="428"/>
      <c r="M188" s="425"/>
      <c r="N188" s="435"/>
      <c r="O188" s="165" t="s">
        <v>457</v>
      </c>
      <c r="P188" s="165" t="s">
        <v>454</v>
      </c>
      <c r="Q188" s="165" t="s">
        <v>20</v>
      </c>
      <c r="R188" s="172"/>
      <c r="S188" s="27" t="str">
        <f t="shared" si="32"/>
        <v/>
      </c>
      <c r="T188" s="172"/>
      <c r="U188" s="27" t="str">
        <f t="shared" si="33"/>
        <v/>
      </c>
      <c r="V188" s="150"/>
      <c r="W188" s="27" t="str">
        <f t="shared" si="34"/>
        <v/>
      </c>
      <c r="X188" s="150"/>
      <c r="Y188" s="27" t="str">
        <f t="shared" si="35"/>
        <v/>
      </c>
      <c r="Z188" s="150"/>
      <c r="AA188" s="27" t="str">
        <f t="shared" si="36"/>
        <v/>
      </c>
      <c r="AB188" s="150"/>
      <c r="AC188" s="27" t="str">
        <f t="shared" si="37"/>
        <v/>
      </c>
      <c r="AD188" s="150"/>
      <c r="AE188" s="27" t="str">
        <f t="shared" si="38"/>
        <v/>
      </c>
      <c r="AF188" s="48" t="str">
        <f t="shared" si="39"/>
        <v/>
      </c>
      <c r="AG188" s="48" t="str">
        <f t="shared" si="40"/>
        <v/>
      </c>
      <c r="AH188" s="131"/>
      <c r="AI188" s="149" t="str">
        <f t="shared" si="41"/>
        <v>Débil</v>
      </c>
      <c r="AJ188" s="21" t="str">
        <f>IFERROR(VLOOKUP((CONCATENATE(AG188,AI188)),Listados!$U$3:$V$11,2,FALSE),"")</f>
        <v/>
      </c>
      <c r="AK188" s="48">
        <f t="shared" si="42"/>
        <v>100</v>
      </c>
      <c r="AL188" s="431"/>
      <c r="AM188" s="433"/>
      <c r="AN188" s="169">
        <f>+IF(AND(Q188="Preventivo",AM187="Fuerte"),2,IF(AND(Q188="Preventivo",AM187="Moderado"),1,0))</f>
        <v>2</v>
      </c>
      <c r="AO188" s="169">
        <f t="shared" si="43"/>
        <v>1</v>
      </c>
      <c r="AP188" s="169">
        <f>+K187-AN188</f>
        <v>0</v>
      </c>
      <c r="AQ188" s="169">
        <f>+M187-AO188</f>
        <v>3</v>
      </c>
      <c r="AR188" s="422"/>
      <c r="AS188" s="422"/>
      <c r="AT188" s="422"/>
      <c r="AU188" s="422"/>
      <c r="AV188" s="387"/>
      <c r="AW188" s="388"/>
      <c r="AX188" s="389"/>
      <c r="AY188" s="387"/>
      <c r="AZ188" s="388"/>
      <c r="BA188" s="389"/>
      <c r="BB188" s="387"/>
      <c r="BC188" s="388"/>
      <c r="BD188" s="389"/>
    </row>
    <row r="189" spans="1:56" ht="271.5" thickBot="1">
      <c r="A189" s="405"/>
      <c r="B189" s="407"/>
      <c r="C189" s="408"/>
      <c r="D189" s="409"/>
      <c r="E189" s="164"/>
      <c r="F189" s="164"/>
      <c r="G189" s="165"/>
      <c r="H189" s="165"/>
      <c r="I189" s="165"/>
      <c r="J189" s="407"/>
      <c r="K189" s="425"/>
      <c r="L189" s="428"/>
      <c r="M189" s="425"/>
      <c r="N189" s="435"/>
      <c r="O189" s="165" t="s">
        <v>458</v>
      </c>
      <c r="P189" s="165" t="s">
        <v>446</v>
      </c>
      <c r="Q189" s="165" t="s">
        <v>20</v>
      </c>
      <c r="R189" s="172"/>
      <c r="S189" s="27" t="str">
        <f t="shared" si="32"/>
        <v/>
      </c>
      <c r="T189" s="172"/>
      <c r="U189" s="27" t="str">
        <f t="shared" si="33"/>
        <v/>
      </c>
      <c r="V189" s="150"/>
      <c r="W189" s="27" t="str">
        <f t="shared" si="34"/>
        <v/>
      </c>
      <c r="X189" s="150"/>
      <c r="Y189" s="27" t="str">
        <f t="shared" si="35"/>
        <v/>
      </c>
      <c r="Z189" s="150"/>
      <c r="AA189" s="27" t="str">
        <f t="shared" si="36"/>
        <v/>
      </c>
      <c r="AB189" s="150"/>
      <c r="AC189" s="27" t="str">
        <f t="shared" si="37"/>
        <v/>
      </c>
      <c r="AD189" s="150"/>
      <c r="AE189" s="27" t="str">
        <f t="shared" si="38"/>
        <v/>
      </c>
      <c r="AF189" s="48" t="str">
        <f t="shared" si="39"/>
        <v/>
      </c>
      <c r="AG189" s="48" t="str">
        <f t="shared" si="40"/>
        <v/>
      </c>
      <c r="AH189" s="131"/>
      <c r="AI189" s="149" t="str">
        <f t="shared" si="41"/>
        <v>Débil</v>
      </c>
      <c r="AJ189" s="21" t="str">
        <f>IFERROR(VLOOKUP((CONCATENATE(AG189,AI189)),Listados!$U$3:$V$11,2,FALSE),"")</f>
        <v/>
      </c>
      <c r="AK189" s="48">
        <f t="shared" si="42"/>
        <v>100</v>
      </c>
      <c r="AL189" s="431"/>
      <c r="AM189" s="433"/>
      <c r="AN189" s="169">
        <f>+IF(AND(Q189="Preventivo",AM187="Fuerte"),2,IF(AND(Q189="Preventivo",AM187="Moderado"),1,0))</f>
        <v>2</v>
      </c>
      <c r="AO189" s="169">
        <f t="shared" si="43"/>
        <v>1</v>
      </c>
      <c r="AP189" s="169">
        <f>+K187-AN189</f>
        <v>0</v>
      </c>
      <c r="AQ189" s="169">
        <f>+M187-AO189</f>
        <v>3</v>
      </c>
      <c r="AR189" s="422"/>
      <c r="AS189" s="422"/>
      <c r="AT189" s="422"/>
      <c r="AU189" s="422"/>
      <c r="AV189" s="387"/>
      <c r="AW189" s="388"/>
      <c r="AX189" s="389"/>
      <c r="AY189" s="387"/>
      <c r="AZ189" s="388"/>
      <c r="BA189" s="389"/>
      <c r="BB189" s="387"/>
      <c r="BC189" s="388"/>
      <c r="BD189" s="389"/>
    </row>
    <row r="190" spans="1:56" ht="15.75" thickBot="1">
      <c r="A190" s="405"/>
      <c r="B190" s="407"/>
      <c r="C190" s="408"/>
      <c r="D190" s="409"/>
      <c r="E190" s="164"/>
      <c r="F190" s="164"/>
      <c r="G190" s="165"/>
      <c r="H190" s="165"/>
      <c r="I190" s="165"/>
      <c r="J190" s="407"/>
      <c r="K190" s="425"/>
      <c r="L190" s="428"/>
      <c r="M190" s="425"/>
      <c r="N190" s="435"/>
      <c r="O190" s="164"/>
      <c r="P190" s="166"/>
      <c r="Q190" s="166"/>
      <c r="R190" s="172"/>
      <c r="S190" s="27" t="str">
        <f t="shared" si="32"/>
        <v/>
      </c>
      <c r="T190" s="172"/>
      <c r="U190" s="27" t="str">
        <f t="shared" si="33"/>
        <v/>
      </c>
      <c r="V190" s="150"/>
      <c r="W190" s="27" t="str">
        <f t="shared" si="34"/>
        <v/>
      </c>
      <c r="X190" s="150"/>
      <c r="Y190" s="27" t="str">
        <f t="shared" si="35"/>
        <v/>
      </c>
      <c r="Z190" s="150"/>
      <c r="AA190" s="27" t="str">
        <f t="shared" si="36"/>
        <v/>
      </c>
      <c r="AB190" s="150"/>
      <c r="AC190" s="27" t="str">
        <f t="shared" si="37"/>
        <v/>
      </c>
      <c r="AD190" s="150"/>
      <c r="AE190" s="27" t="str">
        <f t="shared" si="38"/>
        <v/>
      </c>
      <c r="AF190" s="48" t="str">
        <f t="shared" si="39"/>
        <v/>
      </c>
      <c r="AG190" s="48" t="str">
        <f t="shared" si="40"/>
        <v/>
      </c>
      <c r="AH190" s="131"/>
      <c r="AI190" s="149" t="str">
        <f t="shared" si="41"/>
        <v>Débil</v>
      </c>
      <c r="AJ190" s="21" t="str">
        <f>IFERROR(VLOOKUP((CONCATENATE(AG190,AI190)),Listados!$U$3:$V$11,2,FALSE),"")</f>
        <v/>
      </c>
      <c r="AK190" s="48">
        <f t="shared" si="42"/>
        <v>100</v>
      </c>
      <c r="AL190" s="431"/>
      <c r="AM190" s="433"/>
      <c r="AN190" s="169">
        <f>+IF(AND(Q190="Preventivo",AM187="Fuerte"),2,IF(AND(Q190="Preventivo",AM187="Moderado"),1,0))</f>
        <v>0</v>
      </c>
      <c r="AO190" s="169">
        <f t="shared" si="43"/>
        <v>0</v>
      </c>
      <c r="AP190" s="169">
        <f>+K187-AN190</f>
        <v>2</v>
      </c>
      <c r="AQ190" s="169">
        <f>+M187-AO190</f>
        <v>4</v>
      </c>
      <c r="AR190" s="422"/>
      <c r="AS190" s="422"/>
      <c r="AT190" s="422"/>
      <c r="AU190" s="422"/>
      <c r="AV190" s="387"/>
      <c r="AW190" s="388"/>
      <c r="AX190" s="389"/>
      <c r="AY190" s="387"/>
      <c r="AZ190" s="388"/>
      <c r="BA190" s="389"/>
      <c r="BB190" s="387"/>
      <c r="BC190" s="388"/>
      <c r="BD190" s="389"/>
    </row>
    <row r="191" spans="1:56" ht="15.75" thickBot="1">
      <c r="A191" s="405"/>
      <c r="B191" s="407"/>
      <c r="C191" s="408"/>
      <c r="D191" s="409"/>
      <c r="E191" s="164"/>
      <c r="F191" s="164"/>
      <c r="G191" s="165"/>
      <c r="H191" s="165"/>
      <c r="I191" s="165"/>
      <c r="J191" s="407"/>
      <c r="K191" s="425"/>
      <c r="L191" s="428"/>
      <c r="M191" s="425"/>
      <c r="N191" s="435"/>
      <c r="O191" s="164"/>
      <c r="P191" s="166"/>
      <c r="Q191" s="166"/>
      <c r="R191" s="172"/>
      <c r="S191" s="27" t="str">
        <f t="shared" si="32"/>
        <v/>
      </c>
      <c r="T191" s="172"/>
      <c r="U191" s="27" t="str">
        <f t="shared" si="33"/>
        <v/>
      </c>
      <c r="V191" s="150"/>
      <c r="W191" s="27" t="str">
        <f t="shared" si="34"/>
        <v/>
      </c>
      <c r="X191" s="150"/>
      <c r="Y191" s="27" t="str">
        <f t="shared" si="35"/>
        <v/>
      </c>
      <c r="Z191" s="150"/>
      <c r="AA191" s="27" t="str">
        <f t="shared" si="36"/>
        <v/>
      </c>
      <c r="AB191" s="150"/>
      <c r="AC191" s="27" t="str">
        <f t="shared" si="37"/>
        <v/>
      </c>
      <c r="AD191" s="150"/>
      <c r="AE191" s="27" t="str">
        <f t="shared" si="38"/>
        <v/>
      </c>
      <c r="AF191" s="48" t="str">
        <f t="shared" si="39"/>
        <v/>
      </c>
      <c r="AG191" s="48" t="str">
        <f t="shared" si="40"/>
        <v/>
      </c>
      <c r="AH191" s="131"/>
      <c r="AI191" s="149" t="str">
        <f t="shared" si="41"/>
        <v>Débil</v>
      </c>
      <c r="AJ191" s="21" t="str">
        <f>IFERROR(VLOOKUP((CONCATENATE(AG191,AI191)),Listados!$U$3:$V$11,2,FALSE),"")</f>
        <v/>
      </c>
      <c r="AK191" s="48">
        <f t="shared" si="42"/>
        <v>100</v>
      </c>
      <c r="AL191" s="431"/>
      <c r="AM191" s="433"/>
      <c r="AN191" s="169">
        <f>+IF(AND(Q191="Preventivo",AM187="Fuerte"),2,IF(AND(Q191="Preventivo",AM187="Moderado"),1,0))</f>
        <v>0</v>
      </c>
      <c r="AO191" s="169">
        <f t="shared" si="43"/>
        <v>0</v>
      </c>
      <c r="AP191" s="169">
        <f>+K187-AN191</f>
        <v>2</v>
      </c>
      <c r="AQ191" s="169">
        <f>+M187-AO191</f>
        <v>4</v>
      </c>
      <c r="AR191" s="422"/>
      <c r="AS191" s="422"/>
      <c r="AT191" s="422"/>
      <c r="AU191" s="422"/>
      <c r="AV191" s="387"/>
      <c r="AW191" s="388"/>
      <c r="AX191" s="389"/>
      <c r="AY191" s="387"/>
      <c r="AZ191" s="388"/>
      <c r="BA191" s="389"/>
      <c r="BB191" s="387"/>
      <c r="BC191" s="388"/>
      <c r="BD191" s="389"/>
    </row>
    <row r="192" spans="1:56" ht="15.75" thickBot="1">
      <c r="A192" s="406"/>
      <c r="B192" s="407"/>
      <c r="C192" s="408"/>
      <c r="D192" s="409"/>
      <c r="E192" s="164"/>
      <c r="F192" s="164"/>
      <c r="G192" s="165"/>
      <c r="H192" s="165"/>
      <c r="I192" s="165"/>
      <c r="J192" s="407"/>
      <c r="K192" s="426"/>
      <c r="L192" s="428"/>
      <c r="M192" s="426"/>
      <c r="N192" s="435"/>
      <c r="O192" s="164"/>
      <c r="P192" s="166"/>
      <c r="Q192" s="166"/>
      <c r="R192" s="172"/>
      <c r="S192" s="27" t="str">
        <f t="shared" si="32"/>
        <v/>
      </c>
      <c r="T192" s="172"/>
      <c r="U192" s="27" t="str">
        <f t="shared" si="33"/>
        <v/>
      </c>
      <c r="V192" s="150"/>
      <c r="W192" s="27" t="str">
        <f t="shared" si="34"/>
        <v/>
      </c>
      <c r="X192" s="150"/>
      <c r="Y192" s="27" t="str">
        <f t="shared" si="35"/>
        <v/>
      </c>
      <c r="Z192" s="150"/>
      <c r="AA192" s="27" t="str">
        <f t="shared" si="36"/>
        <v/>
      </c>
      <c r="AB192" s="150"/>
      <c r="AC192" s="27" t="str">
        <f t="shared" si="37"/>
        <v/>
      </c>
      <c r="AD192" s="150"/>
      <c r="AE192" s="27" t="str">
        <f t="shared" si="38"/>
        <v/>
      </c>
      <c r="AF192" s="48" t="str">
        <f t="shared" si="39"/>
        <v/>
      </c>
      <c r="AG192" s="48" t="str">
        <f t="shared" si="40"/>
        <v/>
      </c>
      <c r="AH192" s="131"/>
      <c r="AI192" s="149" t="str">
        <f t="shared" si="41"/>
        <v>Débil</v>
      </c>
      <c r="AJ192" s="21" t="str">
        <f>IFERROR(VLOOKUP((CONCATENATE(AG192,AI192)),Listados!$U$3:$V$11,2,FALSE),"")</f>
        <v/>
      </c>
      <c r="AK192" s="48">
        <f t="shared" si="42"/>
        <v>100</v>
      </c>
      <c r="AL192" s="432"/>
      <c r="AM192" s="433"/>
      <c r="AN192" s="169">
        <f>+IF(AND(Q192="Preventivo",AM187="Fuerte"),2,IF(AND(Q192="Preventivo",AM187="Moderado"),1,0))</f>
        <v>0</v>
      </c>
      <c r="AO192" s="169">
        <f t="shared" si="43"/>
        <v>0</v>
      </c>
      <c r="AP192" s="169">
        <f>+K187-AN192</f>
        <v>2</v>
      </c>
      <c r="AQ192" s="169">
        <f>+M187-AO192</f>
        <v>4</v>
      </c>
      <c r="AR192" s="423"/>
      <c r="AS192" s="423"/>
      <c r="AT192" s="423"/>
      <c r="AU192" s="423"/>
      <c r="AV192" s="387"/>
      <c r="AW192" s="388"/>
      <c r="AX192" s="389"/>
      <c r="AY192" s="387"/>
      <c r="AZ192" s="388"/>
      <c r="BA192" s="389"/>
      <c r="BB192" s="387"/>
      <c r="BC192" s="388"/>
      <c r="BD192" s="389"/>
    </row>
    <row r="193" spans="1:56" ht="186" thickBot="1">
      <c r="A193" s="404">
        <v>32</v>
      </c>
      <c r="B193" s="407" t="s">
        <v>68</v>
      </c>
      <c r="C193" s="408" t="str">
        <f>IFERROR(VLOOKUP(B193,Listados!B$3:C$20,2,FALSE),"")</f>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
      <c r="D193" s="409" t="s">
        <v>459</v>
      </c>
      <c r="E193" s="164" t="s">
        <v>15</v>
      </c>
      <c r="F193" s="164" t="s">
        <v>178</v>
      </c>
      <c r="G193" s="165" t="s">
        <v>460</v>
      </c>
      <c r="H193" s="165" t="s">
        <v>30</v>
      </c>
      <c r="I193" s="165" t="s">
        <v>461</v>
      </c>
      <c r="J193" s="407" t="s">
        <v>53</v>
      </c>
      <c r="K193" s="424">
        <f>+VLOOKUP(J193,Listados!$K$8:$L$12,2,0)</f>
        <v>4</v>
      </c>
      <c r="L193" s="427" t="s">
        <v>36</v>
      </c>
      <c r="M193" s="424">
        <f>+VLOOKUP(L193,Listados!$K$13:$L$17,2,0)</f>
        <v>3</v>
      </c>
      <c r="N193" s="434" t="str">
        <f>IF(AND(J193&lt;&gt;"",L193&lt;&gt;""),VLOOKUP(J193&amp;L193,Listados!$M$3:$N$27,2,FALSE),"")</f>
        <v>Alto</v>
      </c>
      <c r="O193" s="165" t="s">
        <v>462</v>
      </c>
      <c r="P193" s="165" t="s">
        <v>460</v>
      </c>
      <c r="Q193" s="165" t="s">
        <v>123</v>
      </c>
      <c r="R193" s="172"/>
      <c r="S193" s="27" t="str">
        <f t="shared" si="32"/>
        <v/>
      </c>
      <c r="T193" s="172"/>
      <c r="U193" s="27" t="str">
        <f t="shared" si="33"/>
        <v/>
      </c>
      <c r="V193" s="150"/>
      <c r="W193" s="27" t="str">
        <f t="shared" si="34"/>
        <v/>
      </c>
      <c r="X193" s="150"/>
      <c r="Y193" s="27" t="str">
        <f t="shared" si="35"/>
        <v/>
      </c>
      <c r="Z193" s="150"/>
      <c r="AA193" s="27" t="str">
        <f t="shared" si="36"/>
        <v/>
      </c>
      <c r="AB193" s="150"/>
      <c r="AC193" s="27" t="str">
        <f t="shared" si="37"/>
        <v/>
      </c>
      <c r="AD193" s="150"/>
      <c r="AE193" s="27" t="str">
        <f t="shared" si="38"/>
        <v/>
      </c>
      <c r="AF193" s="48" t="str">
        <f t="shared" si="39"/>
        <v/>
      </c>
      <c r="AG193" s="48" t="str">
        <f t="shared" si="40"/>
        <v/>
      </c>
      <c r="AH193" s="131"/>
      <c r="AI193" s="149" t="str">
        <f t="shared" si="41"/>
        <v>Débil</v>
      </c>
      <c r="AJ193" s="21" t="str">
        <f>IFERROR(VLOOKUP((CONCATENATE(AG193,AI193)),Listados!$U$3:$V$11,2,FALSE),"")</f>
        <v/>
      </c>
      <c r="AK193" s="48">
        <f t="shared" si="42"/>
        <v>100</v>
      </c>
      <c r="AL193" s="430">
        <f>AVERAGE(AK193:AK198)</f>
        <v>100</v>
      </c>
      <c r="AM193" s="432" t="str">
        <f>IF(AL193&lt;=50, "Débil", IF(AL193&lt;=99,"Moderado","Fuerte"))</f>
        <v>Fuerte</v>
      </c>
      <c r="AN193" s="169">
        <f>+IF(AND(Q193="Preventivo",AM193="Fuerte"),2,IF(AND(Q193="Preventivo",AM193="Moderado"),1,0))</f>
        <v>0</v>
      </c>
      <c r="AO193" s="169">
        <f t="shared" si="43"/>
        <v>2</v>
      </c>
      <c r="AP193" s="169">
        <f>+K193-AN193</f>
        <v>4</v>
      </c>
      <c r="AQ193" s="169">
        <f>+M193-AO193</f>
        <v>1</v>
      </c>
      <c r="AR193" s="421" t="str">
        <f>+VLOOKUP(MIN(AP193,AP194,AP195,AP196,AP197,AP198),Listados!$J$18:$K$24,2,TRUE)</f>
        <v>Probable</v>
      </c>
      <c r="AS193" s="421" t="str">
        <f>+VLOOKUP(MIN(AQ193,AQ194,AQ195,AQ196,AQ197,AQ198),Listados!$J$27:$K$32,2,TRUE)</f>
        <v>Insignificante</v>
      </c>
      <c r="AT193" s="421" t="str">
        <f>IF(AND(AR193&lt;&gt;"",AS193&lt;&gt;""),VLOOKUP(AR193&amp;AS193,Listados!$M$3:$N$27,2,FALSE),"")</f>
        <v>Moderado</v>
      </c>
      <c r="AU193" s="421" t="str">
        <f>+VLOOKUP(AT193,Listados!$P$3:$Q$6,2,FALSE)</f>
        <v xml:space="preserve"> Reducir el riesgo</v>
      </c>
      <c r="AV193" s="387"/>
      <c r="AW193" s="388"/>
      <c r="AX193" s="389"/>
      <c r="AY193" s="387"/>
      <c r="AZ193" s="388"/>
      <c r="BA193" s="389"/>
      <c r="BB193" s="387"/>
      <c r="BC193" s="388"/>
      <c r="BD193" s="389"/>
    </row>
    <row r="194" spans="1:56" ht="15.75" thickBot="1">
      <c r="A194" s="405"/>
      <c r="B194" s="407"/>
      <c r="C194" s="408"/>
      <c r="D194" s="409"/>
      <c r="E194" s="164"/>
      <c r="F194" s="164"/>
      <c r="G194" s="165"/>
      <c r="H194" s="165"/>
      <c r="I194" s="165"/>
      <c r="J194" s="407"/>
      <c r="K194" s="425"/>
      <c r="L194" s="428"/>
      <c r="M194" s="425"/>
      <c r="N194" s="435"/>
      <c r="O194" s="164"/>
      <c r="P194" s="166"/>
      <c r="Q194" s="166"/>
      <c r="R194" s="172"/>
      <c r="S194" s="27" t="str">
        <f t="shared" si="32"/>
        <v/>
      </c>
      <c r="T194" s="172"/>
      <c r="U194" s="27" t="str">
        <f t="shared" si="33"/>
        <v/>
      </c>
      <c r="V194" s="150"/>
      <c r="W194" s="27" t="str">
        <f t="shared" si="34"/>
        <v/>
      </c>
      <c r="X194" s="150"/>
      <c r="Y194" s="27" t="str">
        <f t="shared" si="35"/>
        <v/>
      </c>
      <c r="Z194" s="150"/>
      <c r="AA194" s="27" t="str">
        <f t="shared" si="36"/>
        <v/>
      </c>
      <c r="AB194" s="150"/>
      <c r="AC194" s="27" t="str">
        <f t="shared" si="37"/>
        <v/>
      </c>
      <c r="AD194" s="150"/>
      <c r="AE194" s="27" t="str">
        <f t="shared" si="38"/>
        <v/>
      </c>
      <c r="AF194" s="48" t="str">
        <f t="shared" si="39"/>
        <v/>
      </c>
      <c r="AG194" s="48" t="str">
        <f t="shared" si="40"/>
        <v/>
      </c>
      <c r="AH194" s="131"/>
      <c r="AI194" s="149" t="str">
        <f t="shared" si="41"/>
        <v>Débil</v>
      </c>
      <c r="AJ194" s="21" t="str">
        <f>IFERROR(VLOOKUP((CONCATENATE(AG194,AI194)),Listados!$U$3:$V$11,2,FALSE),"")</f>
        <v/>
      </c>
      <c r="AK194" s="48">
        <f t="shared" si="42"/>
        <v>100</v>
      </c>
      <c r="AL194" s="431"/>
      <c r="AM194" s="433"/>
      <c r="AN194" s="169">
        <f>+IF(AND(Q194="Preventivo",AM193="Fuerte"),2,IF(AND(Q194="Preventivo",AM193="Moderado"),1,0))</f>
        <v>0</v>
      </c>
      <c r="AO194" s="169">
        <f t="shared" si="43"/>
        <v>0</v>
      </c>
      <c r="AP194" s="169">
        <f>+K193-AN194</f>
        <v>4</v>
      </c>
      <c r="AQ194" s="169">
        <f>+M193-AO194</f>
        <v>3</v>
      </c>
      <c r="AR194" s="422"/>
      <c r="AS194" s="422"/>
      <c r="AT194" s="422"/>
      <c r="AU194" s="422"/>
      <c r="AV194" s="387"/>
      <c r="AW194" s="388"/>
      <c r="AX194" s="389"/>
      <c r="AY194" s="387"/>
      <c r="AZ194" s="388"/>
      <c r="BA194" s="389"/>
      <c r="BB194" s="387"/>
      <c r="BC194" s="388"/>
      <c r="BD194" s="389"/>
    </row>
    <row r="195" spans="1:56" ht="15.75" thickBot="1">
      <c r="A195" s="405"/>
      <c r="B195" s="407"/>
      <c r="C195" s="408"/>
      <c r="D195" s="409"/>
      <c r="E195" s="164"/>
      <c r="F195" s="164"/>
      <c r="G195" s="165"/>
      <c r="H195" s="165"/>
      <c r="I195" s="165"/>
      <c r="J195" s="407"/>
      <c r="K195" s="425"/>
      <c r="L195" s="428"/>
      <c r="M195" s="425"/>
      <c r="N195" s="435"/>
      <c r="O195" s="164"/>
      <c r="P195" s="166"/>
      <c r="Q195" s="166"/>
      <c r="R195" s="172"/>
      <c r="S195" s="27" t="str">
        <f t="shared" si="32"/>
        <v/>
      </c>
      <c r="T195" s="172"/>
      <c r="U195" s="27" t="str">
        <f t="shared" si="33"/>
        <v/>
      </c>
      <c r="V195" s="150"/>
      <c r="W195" s="27" t="str">
        <f t="shared" si="34"/>
        <v/>
      </c>
      <c r="X195" s="150"/>
      <c r="Y195" s="27" t="str">
        <f t="shared" si="35"/>
        <v/>
      </c>
      <c r="Z195" s="150"/>
      <c r="AA195" s="27" t="str">
        <f t="shared" si="36"/>
        <v/>
      </c>
      <c r="AB195" s="150"/>
      <c r="AC195" s="27" t="str">
        <f t="shared" si="37"/>
        <v/>
      </c>
      <c r="AD195" s="150"/>
      <c r="AE195" s="27" t="str">
        <f t="shared" si="38"/>
        <v/>
      </c>
      <c r="AF195" s="48" t="str">
        <f t="shared" si="39"/>
        <v/>
      </c>
      <c r="AG195" s="48" t="str">
        <f t="shared" si="40"/>
        <v/>
      </c>
      <c r="AH195" s="131"/>
      <c r="AI195" s="149" t="str">
        <f t="shared" si="41"/>
        <v>Débil</v>
      </c>
      <c r="AJ195" s="21" t="str">
        <f>IFERROR(VLOOKUP((CONCATENATE(AG195,AI195)),Listados!$U$3:$V$11,2,FALSE),"")</f>
        <v/>
      </c>
      <c r="AK195" s="48">
        <f t="shared" si="42"/>
        <v>100</v>
      </c>
      <c r="AL195" s="431"/>
      <c r="AM195" s="433"/>
      <c r="AN195" s="169">
        <f>+IF(AND(Q195="Preventivo",AM193="Fuerte"),2,IF(AND(Q195="Preventivo",AM193="Moderado"),1,0))</f>
        <v>0</v>
      </c>
      <c r="AO195" s="169">
        <f t="shared" si="43"/>
        <v>0</v>
      </c>
      <c r="AP195" s="169">
        <f>+K193-AN195</f>
        <v>4</v>
      </c>
      <c r="AQ195" s="169">
        <f>+M193-AO195</f>
        <v>3</v>
      </c>
      <c r="AR195" s="422"/>
      <c r="AS195" s="422"/>
      <c r="AT195" s="422"/>
      <c r="AU195" s="422"/>
      <c r="AV195" s="387"/>
      <c r="AW195" s="388"/>
      <c r="AX195" s="389"/>
      <c r="AY195" s="387"/>
      <c r="AZ195" s="388"/>
      <c r="BA195" s="389"/>
      <c r="BB195" s="387"/>
      <c r="BC195" s="388"/>
      <c r="BD195" s="389"/>
    </row>
    <row r="196" spans="1:56" ht="15.75" thickBot="1">
      <c r="A196" s="405"/>
      <c r="B196" s="407"/>
      <c r="C196" s="408"/>
      <c r="D196" s="409"/>
      <c r="E196" s="164"/>
      <c r="F196" s="164"/>
      <c r="G196" s="165"/>
      <c r="H196" s="165"/>
      <c r="I196" s="165"/>
      <c r="J196" s="407"/>
      <c r="K196" s="425"/>
      <c r="L196" s="428"/>
      <c r="M196" s="425"/>
      <c r="N196" s="435"/>
      <c r="O196" s="164"/>
      <c r="P196" s="166"/>
      <c r="Q196" s="166"/>
      <c r="R196" s="172"/>
      <c r="S196" s="27" t="str">
        <f t="shared" si="32"/>
        <v/>
      </c>
      <c r="T196" s="172"/>
      <c r="U196" s="27" t="str">
        <f t="shared" si="33"/>
        <v/>
      </c>
      <c r="V196" s="150"/>
      <c r="W196" s="27" t="str">
        <f t="shared" si="34"/>
        <v/>
      </c>
      <c r="X196" s="150"/>
      <c r="Y196" s="27" t="str">
        <f t="shared" si="35"/>
        <v/>
      </c>
      <c r="Z196" s="150"/>
      <c r="AA196" s="27" t="str">
        <f t="shared" si="36"/>
        <v/>
      </c>
      <c r="AB196" s="150"/>
      <c r="AC196" s="27" t="str">
        <f t="shared" si="37"/>
        <v/>
      </c>
      <c r="AD196" s="150"/>
      <c r="AE196" s="27" t="str">
        <f t="shared" si="38"/>
        <v/>
      </c>
      <c r="AF196" s="48" t="str">
        <f t="shared" si="39"/>
        <v/>
      </c>
      <c r="AG196" s="48" t="str">
        <f t="shared" si="40"/>
        <v/>
      </c>
      <c r="AH196" s="131"/>
      <c r="AI196" s="149" t="str">
        <f t="shared" si="41"/>
        <v>Débil</v>
      </c>
      <c r="AJ196" s="21" t="str">
        <f>IFERROR(VLOOKUP((CONCATENATE(AG196,AI196)),Listados!$U$3:$V$11,2,FALSE),"")</f>
        <v/>
      </c>
      <c r="AK196" s="48">
        <f t="shared" si="42"/>
        <v>100</v>
      </c>
      <c r="AL196" s="431"/>
      <c r="AM196" s="433"/>
      <c r="AN196" s="169">
        <f>+IF(AND(Q196="Preventivo",AM193="Fuerte"),2,IF(AND(Q196="Preventivo",AM193="Moderado"),1,0))</f>
        <v>0</v>
      </c>
      <c r="AO196" s="169">
        <f t="shared" si="43"/>
        <v>0</v>
      </c>
      <c r="AP196" s="169">
        <f>+K193-AN196</f>
        <v>4</v>
      </c>
      <c r="AQ196" s="169">
        <f>+M193-AO196</f>
        <v>3</v>
      </c>
      <c r="AR196" s="422"/>
      <c r="AS196" s="422"/>
      <c r="AT196" s="422"/>
      <c r="AU196" s="422"/>
      <c r="AV196" s="387"/>
      <c r="AW196" s="388"/>
      <c r="AX196" s="389"/>
      <c r="AY196" s="387"/>
      <c r="AZ196" s="388"/>
      <c r="BA196" s="389"/>
      <c r="BB196" s="387"/>
      <c r="BC196" s="388"/>
      <c r="BD196" s="389"/>
    </row>
    <row r="197" spans="1:56" ht="15.75" thickBot="1">
      <c r="A197" s="405"/>
      <c r="B197" s="407"/>
      <c r="C197" s="408"/>
      <c r="D197" s="409"/>
      <c r="E197" s="164"/>
      <c r="F197" s="164"/>
      <c r="G197" s="165"/>
      <c r="H197" s="165"/>
      <c r="I197" s="165"/>
      <c r="J197" s="407"/>
      <c r="K197" s="425"/>
      <c r="L197" s="428"/>
      <c r="M197" s="425"/>
      <c r="N197" s="435"/>
      <c r="O197" s="164"/>
      <c r="P197" s="166"/>
      <c r="Q197" s="166"/>
      <c r="R197" s="172"/>
      <c r="S197" s="27" t="str">
        <f t="shared" si="32"/>
        <v/>
      </c>
      <c r="T197" s="172"/>
      <c r="U197" s="27" t="str">
        <f t="shared" si="33"/>
        <v/>
      </c>
      <c r="V197" s="150"/>
      <c r="W197" s="27" t="str">
        <f t="shared" si="34"/>
        <v/>
      </c>
      <c r="X197" s="150"/>
      <c r="Y197" s="27" t="str">
        <f t="shared" si="35"/>
        <v/>
      </c>
      <c r="Z197" s="150"/>
      <c r="AA197" s="27" t="str">
        <f t="shared" si="36"/>
        <v/>
      </c>
      <c r="AB197" s="150"/>
      <c r="AC197" s="27" t="str">
        <f t="shared" si="37"/>
        <v/>
      </c>
      <c r="AD197" s="150"/>
      <c r="AE197" s="27" t="str">
        <f t="shared" si="38"/>
        <v/>
      </c>
      <c r="AF197" s="48" t="str">
        <f t="shared" si="39"/>
        <v/>
      </c>
      <c r="AG197" s="48" t="str">
        <f t="shared" si="40"/>
        <v/>
      </c>
      <c r="AH197" s="131"/>
      <c r="AI197" s="149" t="str">
        <f t="shared" si="41"/>
        <v>Débil</v>
      </c>
      <c r="AJ197" s="21" t="str">
        <f>IFERROR(VLOOKUP((CONCATENATE(AG197,AI197)),Listados!$U$3:$V$11,2,FALSE),"")</f>
        <v/>
      </c>
      <c r="AK197" s="48">
        <f t="shared" si="42"/>
        <v>100</v>
      </c>
      <c r="AL197" s="431"/>
      <c r="AM197" s="433"/>
      <c r="AN197" s="169">
        <f>+IF(AND(Q197="Preventivo",AM193="Fuerte"),2,IF(AND(Q197="Preventivo",AM193="Moderado"),1,0))</f>
        <v>0</v>
      </c>
      <c r="AO197" s="169">
        <f t="shared" si="43"/>
        <v>0</v>
      </c>
      <c r="AP197" s="169">
        <f>+K193-AN197</f>
        <v>4</v>
      </c>
      <c r="AQ197" s="169">
        <f>+M193-AO197</f>
        <v>3</v>
      </c>
      <c r="AR197" s="422"/>
      <c r="AS197" s="422"/>
      <c r="AT197" s="422"/>
      <c r="AU197" s="422"/>
      <c r="AV197" s="387"/>
      <c r="AW197" s="388"/>
      <c r="AX197" s="389"/>
      <c r="AY197" s="387"/>
      <c r="AZ197" s="388"/>
      <c r="BA197" s="389"/>
      <c r="BB197" s="387"/>
      <c r="BC197" s="388"/>
      <c r="BD197" s="389"/>
    </row>
    <row r="198" spans="1:56" ht="15.75" thickBot="1">
      <c r="A198" s="406"/>
      <c r="B198" s="407"/>
      <c r="C198" s="408"/>
      <c r="D198" s="409"/>
      <c r="E198" s="164"/>
      <c r="F198" s="164"/>
      <c r="G198" s="165"/>
      <c r="H198" s="165"/>
      <c r="I198" s="165"/>
      <c r="J198" s="407"/>
      <c r="K198" s="426"/>
      <c r="L198" s="428"/>
      <c r="M198" s="426"/>
      <c r="N198" s="435"/>
      <c r="O198" s="164"/>
      <c r="P198" s="166"/>
      <c r="Q198" s="166"/>
      <c r="R198" s="172"/>
      <c r="S198" s="27" t="str">
        <f t="shared" si="32"/>
        <v/>
      </c>
      <c r="T198" s="172"/>
      <c r="U198" s="27" t="str">
        <f t="shared" si="33"/>
        <v/>
      </c>
      <c r="V198" s="150"/>
      <c r="W198" s="27" t="str">
        <f t="shared" si="34"/>
        <v/>
      </c>
      <c r="X198" s="150"/>
      <c r="Y198" s="27" t="str">
        <f t="shared" si="35"/>
        <v/>
      </c>
      <c r="Z198" s="150"/>
      <c r="AA198" s="27" t="str">
        <f t="shared" si="36"/>
        <v/>
      </c>
      <c r="AB198" s="150"/>
      <c r="AC198" s="27" t="str">
        <f t="shared" si="37"/>
        <v/>
      </c>
      <c r="AD198" s="150"/>
      <c r="AE198" s="27" t="str">
        <f t="shared" si="38"/>
        <v/>
      </c>
      <c r="AF198" s="48" t="str">
        <f t="shared" si="39"/>
        <v/>
      </c>
      <c r="AG198" s="48" t="str">
        <f t="shared" si="40"/>
        <v/>
      </c>
      <c r="AH198" s="131"/>
      <c r="AI198" s="149" t="str">
        <f t="shared" si="41"/>
        <v>Débil</v>
      </c>
      <c r="AJ198" s="21" t="str">
        <f>IFERROR(VLOOKUP((CONCATENATE(AG198,AI198)),Listados!$U$3:$V$11,2,FALSE),"")</f>
        <v/>
      </c>
      <c r="AK198" s="48">
        <f t="shared" si="42"/>
        <v>100</v>
      </c>
      <c r="AL198" s="432"/>
      <c r="AM198" s="433"/>
      <c r="AN198" s="169">
        <f>+IF(AND(Q198="Preventivo",AM193="Fuerte"),2,IF(AND(Q198="Preventivo",AM193="Moderado"),1,0))</f>
        <v>0</v>
      </c>
      <c r="AO198" s="169">
        <f t="shared" si="43"/>
        <v>0</v>
      </c>
      <c r="AP198" s="169">
        <f>+K193-AN198</f>
        <v>4</v>
      </c>
      <c r="AQ198" s="169">
        <f>+M193-AO198</f>
        <v>3</v>
      </c>
      <c r="AR198" s="423"/>
      <c r="AS198" s="423"/>
      <c r="AT198" s="423"/>
      <c r="AU198" s="423"/>
      <c r="AV198" s="387"/>
      <c r="AW198" s="388"/>
      <c r="AX198" s="389"/>
      <c r="AY198" s="387"/>
      <c r="AZ198" s="388"/>
      <c r="BA198" s="389"/>
      <c r="BB198" s="387"/>
      <c r="BC198" s="388"/>
      <c r="BD198" s="389"/>
    </row>
    <row r="199" spans="1:56" ht="157.5" thickBot="1">
      <c r="A199" s="404">
        <v>33</v>
      </c>
      <c r="B199" s="407" t="s">
        <v>86</v>
      </c>
      <c r="C199" s="408" t="str">
        <f>IFERROR(VLOOKUP(B199,Listados!B$3:C$20,2,FALSE),"")</f>
        <v>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v>
      </c>
      <c r="D199" s="409" t="s">
        <v>186</v>
      </c>
      <c r="E199" s="164" t="s">
        <v>41</v>
      </c>
      <c r="F199" s="164"/>
      <c r="G199" s="163" t="s">
        <v>187</v>
      </c>
      <c r="H199" s="165" t="s">
        <v>16</v>
      </c>
      <c r="I199" s="165" t="s">
        <v>188</v>
      </c>
      <c r="J199" s="407" t="s">
        <v>21</v>
      </c>
      <c r="K199" s="424">
        <f>+VLOOKUP(J199,Listados!$K$8:$L$12,2,0)</f>
        <v>1</v>
      </c>
      <c r="L199" s="427" t="s">
        <v>18</v>
      </c>
      <c r="M199" s="424">
        <f>+VLOOKUP(L199,Listados!$K$13:$L$17,2,0)</f>
        <v>1</v>
      </c>
      <c r="N199" s="434" t="str">
        <f>IF(AND(J199&lt;&gt;"",L199&lt;&gt;""),VLOOKUP(J199&amp;L199,Listados!$M$3:$N$27,2,FALSE),"")</f>
        <v>Bajo</v>
      </c>
      <c r="O199" s="165" t="s">
        <v>189</v>
      </c>
      <c r="P199" s="164" t="s">
        <v>187</v>
      </c>
      <c r="Q199" s="165" t="s">
        <v>20</v>
      </c>
      <c r="R199" s="172"/>
      <c r="S199" s="27" t="str">
        <f t="shared" si="32"/>
        <v/>
      </c>
      <c r="T199" s="172"/>
      <c r="U199" s="27" t="str">
        <f t="shared" si="33"/>
        <v/>
      </c>
      <c r="V199" s="150"/>
      <c r="W199" s="27" t="str">
        <f t="shared" si="34"/>
        <v/>
      </c>
      <c r="X199" s="150"/>
      <c r="Y199" s="27" t="str">
        <f t="shared" si="35"/>
        <v/>
      </c>
      <c r="Z199" s="150"/>
      <c r="AA199" s="27" t="str">
        <f t="shared" si="36"/>
        <v/>
      </c>
      <c r="AB199" s="150"/>
      <c r="AC199" s="27" t="str">
        <f t="shared" si="37"/>
        <v/>
      </c>
      <c r="AD199" s="150"/>
      <c r="AE199" s="27" t="str">
        <f t="shared" si="38"/>
        <v/>
      </c>
      <c r="AF199" s="48" t="str">
        <f t="shared" si="39"/>
        <v/>
      </c>
      <c r="AG199" s="48" t="str">
        <f t="shared" si="40"/>
        <v/>
      </c>
      <c r="AH199" s="131"/>
      <c r="AI199" s="149" t="str">
        <f t="shared" si="41"/>
        <v>Débil</v>
      </c>
      <c r="AJ199" s="21" t="str">
        <f>IFERROR(VLOOKUP((CONCATENATE(AG199,AI199)),Listados!$U$3:$V$11,2,FALSE),"")</f>
        <v/>
      </c>
      <c r="AK199" s="48">
        <f t="shared" si="42"/>
        <v>100</v>
      </c>
      <c r="AL199" s="430">
        <f>AVERAGE(AK199:AK204)</f>
        <v>100</v>
      </c>
      <c r="AM199" s="432" t="str">
        <f>IF(AL199&lt;=50, "Débil", IF(AL199&lt;=99,"Moderado","Fuerte"))</f>
        <v>Fuerte</v>
      </c>
      <c r="AN199" s="169">
        <f>+IF(AND(Q199="Preventivo",AM199="Fuerte"),2,IF(AND(Q199="Preventivo",AM199="Moderado"),1,0))</f>
        <v>2</v>
      </c>
      <c r="AO199" s="169">
        <f t="shared" si="43"/>
        <v>1</v>
      </c>
      <c r="AP199" s="169">
        <f>+K199-AN199</f>
        <v>-1</v>
      </c>
      <c r="AQ199" s="169">
        <f>+M199-AO199</f>
        <v>0</v>
      </c>
      <c r="AR199" s="421" t="str">
        <f>+VLOOKUP(MIN(AP199,AP200,AP201,AP202,AP203,AP204),Listados!$J$18:$K$24,2,TRUE)</f>
        <v>Rara Vez</v>
      </c>
      <c r="AS199" s="421" t="str">
        <f>+VLOOKUP(MIN(AQ199,AQ200,AQ201,AQ202,AQ203,AQ204),Listados!$J$27:$K$32,2,TRUE)</f>
        <v>Insignificante</v>
      </c>
      <c r="AT199" s="421" t="str">
        <f>IF(AND(AR199&lt;&gt;"",AS199&lt;&gt;""),VLOOKUP(AR199&amp;AS199,Listados!$M$3:$N$27,2,FALSE),"")</f>
        <v>Bajo</v>
      </c>
      <c r="AU199" s="421" t="str">
        <f>+VLOOKUP(AT199,Listados!$P$3:$Q$6,2,FALSE)</f>
        <v>Asumir el riesgo</v>
      </c>
      <c r="AV199" s="387"/>
      <c r="AW199" s="388"/>
      <c r="AX199" s="389"/>
      <c r="AY199" s="387"/>
      <c r="AZ199" s="388"/>
      <c r="BA199" s="389"/>
      <c r="BB199" s="387"/>
      <c r="BC199" s="388"/>
      <c r="BD199" s="389"/>
    </row>
    <row r="200" spans="1:56" ht="186" thickBot="1">
      <c r="A200" s="405"/>
      <c r="B200" s="407"/>
      <c r="C200" s="408"/>
      <c r="D200" s="409"/>
      <c r="E200" s="164"/>
      <c r="F200" s="164"/>
      <c r="G200" s="165" t="s">
        <v>190</v>
      </c>
      <c r="H200" s="165" t="s">
        <v>16</v>
      </c>
      <c r="I200" s="165" t="s">
        <v>191</v>
      </c>
      <c r="J200" s="407"/>
      <c r="K200" s="425"/>
      <c r="L200" s="428"/>
      <c r="M200" s="425"/>
      <c r="N200" s="435"/>
      <c r="O200" s="165" t="s">
        <v>192</v>
      </c>
      <c r="P200" s="164" t="s">
        <v>190</v>
      </c>
      <c r="Q200" s="165" t="s">
        <v>20</v>
      </c>
      <c r="R200" s="172"/>
      <c r="S200" s="27" t="str">
        <f t="shared" ref="S200:S263" si="44">+IF(R200="si",15,"")</f>
        <v/>
      </c>
      <c r="T200" s="172"/>
      <c r="U200" s="27" t="str">
        <f t="shared" ref="U200:U263" si="45">+IF(T200="si",15,"")</f>
        <v/>
      </c>
      <c r="V200" s="150"/>
      <c r="W200" s="27" t="str">
        <f t="shared" ref="W200:W263" si="46">+IF(V200="si",15,"")</f>
        <v/>
      </c>
      <c r="X200" s="150"/>
      <c r="Y200" s="27" t="str">
        <f t="shared" ref="Y200:Y263" si="47">+IF(X200="Preventivo",15,IF(X200="Detectivo",10,""))</f>
        <v/>
      </c>
      <c r="Z200" s="150"/>
      <c r="AA200" s="27" t="str">
        <f t="shared" ref="AA200:AA263" si="48">+IF(Z200="si",15,"")</f>
        <v/>
      </c>
      <c r="AB200" s="150"/>
      <c r="AC200" s="27" t="str">
        <f t="shared" ref="AC200:AC263" si="49">+IF(AB200="si",15,"")</f>
        <v/>
      </c>
      <c r="AD200" s="150"/>
      <c r="AE200" s="27" t="str">
        <f t="shared" ref="AE200:AE263" si="50">+IF(AD200="Completa",10,IF(AD200="Incompleta",5,""))</f>
        <v/>
      </c>
      <c r="AF200" s="48" t="str">
        <f t="shared" ref="AF200:AF263" si="51">IF((SUM(S200,U200,W200,Y200,AA200,AC200,AE200)=0),"",(SUM(S200,U200,W200,Y200,AA200,AC200,AE200)))</f>
        <v/>
      </c>
      <c r="AG200" s="48" t="str">
        <f t="shared" ref="AG200:AG263" si="52">IF(AF200&lt;=85,"Débil",IF(AF200&lt;=95,"Moderado",IF(AF200=100,"Fuerte","")))</f>
        <v/>
      </c>
      <c r="AH200" s="131"/>
      <c r="AI200" s="149" t="str">
        <f t="shared" si="41"/>
        <v>Débil</v>
      </c>
      <c r="AJ200" s="21" t="str">
        <f>IFERROR(VLOOKUP((CONCATENATE(AG200,AI200)),Listados!$U$3:$V$11,2,FALSE),"")</f>
        <v/>
      </c>
      <c r="AK200" s="48">
        <f t="shared" si="42"/>
        <v>100</v>
      </c>
      <c r="AL200" s="431"/>
      <c r="AM200" s="433"/>
      <c r="AN200" s="169">
        <f>+IF(AND(Q200="Preventivo",AM199="Fuerte"),2,IF(AND(Q200="Preventivo",AM199="Moderado"),1,0))</f>
        <v>2</v>
      </c>
      <c r="AO200" s="169">
        <f t="shared" si="43"/>
        <v>1</v>
      </c>
      <c r="AP200" s="169">
        <f>+K199-AN200</f>
        <v>-1</v>
      </c>
      <c r="AQ200" s="169">
        <f>+M199-AO200</f>
        <v>0</v>
      </c>
      <c r="AR200" s="422"/>
      <c r="AS200" s="422"/>
      <c r="AT200" s="422"/>
      <c r="AU200" s="422"/>
      <c r="AV200" s="387"/>
      <c r="AW200" s="388"/>
      <c r="AX200" s="389"/>
      <c r="AY200" s="387"/>
      <c r="AZ200" s="388"/>
      <c r="BA200" s="389"/>
      <c r="BB200" s="387"/>
      <c r="BC200" s="388"/>
      <c r="BD200" s="389"/>
    </row>
    <row r="201" spans="1:56" ht="186" thickBot="1">
      <c r="A201" s="405"/>
      <c r="B201" s="407"/>
      <c r="C201" s="408"/>
      <c r="D201" s="409"/>
      <c r="E201" s="164"/>
      <c r="F201" s="164"/>
      <c r="G201" s="163" t="s">
        <v>193</v>
      </c>
      <c r="H201" s="165" t="s">
        <v>30</v>
      </c>
      <c r="I201" s="165" t="s">
        <v>194</v>
      </c>
      <c r="J201" s="407"/>
      <c r="K201" s="425"/>
      <c r="L201" s="428"/>
      <c r="M201" s="425"/>
      <c r="N201" s="435"/>
      <c r="O201" s="165" t="s">
        <v>195</v>
      </c>
      <c r="P201" s="164" t="s">
        <v>193</v>
      </c>
      <c r="Q201" s="165" t="s">
        <v>20</v>
      </c>
      <c r="R201" s="172"/>
      <c r="S201" s="27" t="str">
        <f t="shared" si="44"/>
        <v/>
      </c>
      <c r="T201" s="172"/>
      <c r="U201" s="27" t="str">
        <f t="shared" si="45"/>
        <v/>
      </c>
      <c r="V201" s="150"/>
      <c r="W201" s="27" t="str">
        <f t="shared" si="46"/>
        <v/>
      </c>
      <c r="X201" s="150"/>
      <c r="Y201" s="27" t="str">
        <f t="shared" si="47"/>
        <v/>
      </c>
      <c r="Z201" s="150"/>
      <c r="AA201" s="27" t="str">
        <f t="shared" si="48"/>
        <v/>
      </c>
      <c r="AB201" s="150"/>
      <c r="AC201" s="27" t="str">
        <f t="shared" si="49"/>
        <v/>
      </c>
      <c r="AD201" s="150"/>
      <c r="AE201" s="27" t="str">
        <f t="shared" si="50"/>
        <v/>
      </c>
      <c r="AF201" s="48" t="str">
        <f t="shared" si="51"/>
        <v/>
      </c>
      <c r="AG201" s="48" t="str">
        <f t="shared" si="52"/>
        <v/>
      </c>
      <c r="AH201" s="131"/>
      <c r="AI201" s="149" t="str">
        <f t="shared" ref="AI201:AI264" si="53">+IF(AH201="siempre","Fuerte",IF(AH201="Algunas veces","Moderado","Débil"))</f>
        <v>Débil</v>
      </c>
      <c r="AJ201" s="21" t="str">
        <f>IFERROR(VLOOKUP((CONCATENATE(AG201,AI201)),Listados!$U$3:$V$11,2,FALSE),"")</f>
        <v/>
      </c>
      <c r="AK201" s="48">
        <f t="shared" ref="AK201:AK264" si="54">IF(ISBLANK(AJ201),"",IF(AJ201="Débil", 0, IF(AJ201="Moderado",50,100)))</f>
        <v>100</v>
      </c>
      <c r="AL201" s="431"/>
      <c r="AM201" s="433"/>
      <c r="AN201" s="169">
        <f>+IF(AND(Q201="Preventivo",AM199="Fuerte"),2,IF(AND(Q201="Preventivo",AM199="Moderado"),1,0))</f>
        <v>2</v>
      </c>
      <c r="AO201" s="169">
        <f t="shared" si="43"/>
        <v>1</v>
      </c>
      <c r="AP201" s="169">
        <f>+K199-AN201</f>
        <v>-1</v>
      </c>
      <c r="AQ201" s="169">
        <f>+M199-AO201</f>
        <v>0</v>
      </c>
      <c r="AR201" s="422"/>
      <c r="AS201" s="422"/>
      <c r="AT201" s="422"/>
      <c r="AU201" s="422"/>
      <c r="AV201" s="387"/>
      <c r="AW201" s="388"/>
      <c r="AX201" s="389"/>
      <c r="AY201" s="387"/>
      <c r="AZ201" s="388"/>
      <c r="BA201" s="389"/>
      <c r="BB201" s="387"/>
      <c r="BC201" s="388"/>
      <c r="BD201" s="389"/>
    </row>
    <row r="202" spans="1:56" ht="257.25" thickBot="1">
      <c r="A202" s="405"/>
      <c r="B202" s="407"/>
      <c r="C202" s="408"/>
      <c r="D202" s="409"/>
      <c r="E202" s="164"/>
      <c r="F202" s="164"/>
      <c r="G202" s="165" t="s">
        <v>196</v>
      </c>
      <c r="H202" s="165" t="s">
        <v>16</v>
      </c>
      <c r="I202" s="165"/>
      <c r="J202" s="407"/>
      <c r="K202" s="425"/>
      <c r="L202" s="428"/>
      <c r="M202" s="425"/>
      <c r="N202" s="435"/>
      <c r="O202" s="165" t="s">
        <v>463</v>
      </c>
      <c r="P202" s="164" t="s">
        <v>196</v>
      </c>
      <c r="Q202" s="165" t="s">
        <v>20</v>
      </c>
      <c r="R202" s="172"/>
      <c r="S202" s="27" t="str">
        <f t="shared" si="44"/>
        <v/>
      </c>
      <c r="T202" s="172"/>
      <c r="U202" s="27" t="str">
        <f t="shared" si="45"/>
        <v/>
      </c>
      <c r="V202" s="150"/>
      <c r="W202" s="27" t="str">
        <f t="shared" si="46"/>
        <v/>
      </c>
      <c r="X202" s="150"/>
      <c r="Y202" s="27" t="str">
        <f t="shared" si="47"/>
        <v/>
      </c>
      <c r="Z202" s="150"/>
      <c r="AA202" s="27" t="str">
        <f t="shared" si="48"/>
        <v/>
      </c>
      <c r="AB202" s="150"/>
      <c r="AC202" s="27" t="str">
        <f t="shared" si="49"/>
        <v/>
      </c>
      <c r="AD202" s="150"/>
      <c r="AE202" s="27" t="str">
        <f t="shared" si="50"/>
        <v/>
      </c>
      <c r="AF202" s="48" t="str">
        <f t="shared" si="51"/>
        <v/>
      </c>
      <c r="AG202" s="48" t="str">
        <f t="shared" si="52"/>
        <v/>
      </c>
      <c r="AH202" s="131"/>
      <c r="AI202" s="149" t="str">
        <f t="shared" si="53"/>
        <v>Débil</v>
      </c>
      <c r="AJ202" s="21" t="str">
        <f>IFERROR(VLOOKUP((CONCATENATE(AG202,AI202)),Listados!$U$3:$V$11,2,FALSE),"")</f>
        <v/>
      </c>
      <c r="AK202" s="48">
        <f t="shared" si="54"/>
        <v>100</v>
      </c>
      <c r="AL202" s="431"/>
      <c r="AM202" s="433"/>
      <c r="AN202" s="169">
        <f>+IF(AND(Q202="Preventivo",AM199="Fuerte"),2,IF(AND(Q202="Preventivo",AM199="Moderado"),1,0))</f>
        <v>2</v>
      </c>
      <c r="AO202" s="169">
        <f t="shared" si="43"/>
        <v>1</v>
      </c>
      <c r="AP202" s="169">
        <f>+K199-AN202</f>
        <v>-1</v>
      </c>
      <c r="AQ202" s="169">
        <f>+M199-AO202</f>
        <v>0</v>
      </c>
      <c r="AR202" s="422"/>
      <c r="AS202" s="422"/>
      <c r="AT202" s="422"/>
      <c r="AU202" s="422"/>
      <c r="AV202" s="387"/>
      <c r="AW202" s="388"/>
      <c r="AX202" s="389"/>
      <c r="AY202" s="387"/>
      <c r="AZ202" s="388"/>
      <c r="BA202" s="389"/>
      <c r="BB202" s="387"/>
      <c r="BC202" s="388"/>
      <c r="BD202" s="389"/>
    </row>
    <row r="203" spans="1:56" ht="15.75" thickBot="1">
      <c r="A203" s="405"/>
      <c r="B203" s="407"/>
      <c r="C203" s="408"/>
      <c r="D203" s="409"/>
      <c r="E203" s="164"/>
      <c r="F203" s="164"/>
      <c r="G203" s="165"/>
      <c r="H203" s="165"/>
      <c r="I203" s="165"/>
      <c r="J203" s="407"/>
      <c r="K203" s="425"/>
      <c r="L203" s="428"/>
      <c r="M203" s="425"/>
      <c r="N203" s="435"/>
      <c r="O203" s="164"/>
      <c r="P203" s="166"/>
      <c r="Q203" s="166"/>
      <c r="R203" s="172"/>
      <c r="S203" s="27" t="str">
        <f t="shared" si="44"/>
        <v/>
      </c>
      <c r="T203" s="172"/>
      <c r="U203" s="27" t="str">
        <f t="shared" si="45"/>
        <v/>
      </c>
      <c r="V203" s="150"/>
      <c r="W203" s="27" t="str">
        <f t="shared" si="46"/>
        <v/>
      </c>
      <c r="X203" s="150"/>
      <c r="Y203" s="27" t="str">
        <f t="shared" si="47"/>
        <v/>
      </c>
      <c r="Z203" s="150"/>
      <c r="AA203" s="27" t="str">
        <f t="shared" si="48"/>
        <v/>
      </c>
      <c r="AB203" s="150"/>
      <c r="AC203" s="27" t="str">
        <f t="shared" si="49"/>
        <v/>
      </c>
      <c r="AD203" s="150"/>
      <c r="AE203" s="27" t="str">
        <f t="shared" si="50"/>
        <v/>
      </c>
      <c r="AF203" s="48" t="str">
        <f t="shared" si="51"/>
        <v/>
      </c>
      <c r="AG203" s="48" t="str">
        <f t="shared" si="52"/>
        <v/>
      </c>
      <c r="AH203" s="131"/>
      <c r="AI203" s="149" t="str">
        <f t="shared" si="53"/>
        <v>Débil</v>
      </c>
      <c r="AJ203" s="21" t="str">
        <f>IFERROR(VLOOKUP((CONCATENATE(AG203,AI203)),Listados!$U$3:$V$11,2,FALSE),"")</f>
        <v/>
      </c>
      <c r="AK203" s="48">
        <f t="shared" si="54"/>
        <v>100</v>
      </c>
      <c r="AL203" s="431"/>
      <c r="AM203" s="433"/>
      <c r="AN203" s="169">
        <f>+IF(AND(Q203="Preventivo",AM199="Fuerte"),2,IF(AND(Q203="Preventivo",AM199="Moderado"),1,0))</f>
        <v>0</v>
      </c>
      <c r="AO203" s="169">
        <f t="shared" si="43"/>
        <v>0</v>
      </c>
      <c r="AP203" s="169">
        <f>+K199-AN203</f>
        <v>1</v>
      </c>
      <c r="AQ203" s="169">
        <f>+M199-AO203</f>
        <v>1</v>
      </c>
      <c r="AR203" s="422"/>
      <c r="AS203" s="422"/>
      <c r="AT203" s="422"/>
      <c r="AU203" s="422"/>
      <c r="AV203" s="387"/>
      <c r="AW203" s="388"/>
      <c r="AX203" s="389"/>
      <c r="AY203" s="387"/>
      <c r="AZ203" s="388"/>
      <c r="BA203" s="389"/>
      <c r="BB203" s="387"/>
      <c r="BC203" s="388"/>
      <c r="BD203" s="389"/>
    </row>
    <row r="204" spans="1:56" ht="15.75" thickBot="1">
      <c r="A204" s="406"/>
      <c r="B204" s="407"/>
      <c r="C204" s="408"/>
      <c r="D204" s="409"/>
      <c r="E204" s="164"/>
      <c r="F204" s="164"/>
      <c r="G204" s="165"/>
      <c r="H204" s="165"/>
      <c r="I204" s="165"/>
      <c r="J204" s="407"/>
      <c r="K204" s="426"/>
      <c r="L204" s="428"/>
      <c r="M204" s="426"/>
      <c r="N204" s="435"/>
      <c r="O204" s="164"/>
      <c r="P204" s="166"/>
      <c r="Q204" s="166"/>
      <c r="R204" s="172"/>
      <c r="S204" s="27" t="str">
        <f t="shared" si="44"/>
        <v/>
      </c>
      <c r="T204" s="172"/>
      <c r="U204" s="27" t="str">
        <f t="shared" si="45"/>
        <v/>
      </c>
      <c r="V204" s="150"/>
      <c r="W204" s="27" t="str">
        <f t="shared" si="46"/>
        <v/>
      </c>
      <c r="X204" s="150"/>
      <c r="Y204" s="27" t="str">
        <f t="shared" si="47"/>
        <v/>
      </c>
      <c r="Z204" s="150"/>
      <c r="AA204" s="27" t="str">
        <f t="shared" si="48"/>
        <v/>
      </c>
      <c r="AB204" s="150"/>
      <c r="AC204" s="27" t="str">
        <f t="shared" si="49"/>
        <v/>
      </c>
      <c r="AD204" s="150"/>
      <c r="AE204" s="27" t="str">
        <f t="shared" si="50"/>
        <v/>
      </c>
      <c r="AF204" s="48" t="str">
        <f t="shared" si="51"/>
        <v/>
      </c>
      <c r="AG204" s="48" t="str">
        <f t="shared" si="52"/>
        <v/>
      </c>
      <c r="AH204" s="131"/>
      <c r="AI204" s="149" t="str">
        <f t="shared" si="53"/>
        <v>Débil</v>
      </c>
      <c r="AJ204" s="21" t="str">
        <f>IFERROR(VLOOKUP((CONCATENATE(AG204,AI204)),Listados!$U$3:$V$11,2,FALSE),"")</f>
        <v/>
      </c>
      <c r="AK204" s="48">
        <f t="shared" si="54"/>
        <v>100</v>
      </c>
      <c r="AL204" s="432"/>
      <c r="AM204" s="433"/>
      <c r="AN204" s="169">
        <f>+IF(AND(Q204="Preventivo",AM199="Fuerte"),2,IF(AND(Q204="Preventivo",AM199="Moderado"),1,0))</f>
        <v>0</v>
      </c>
      <c r="AO204" s="169">
        <f t="shared" si="43"/>
        <v>0</v>
      </c>
      <c r="AP204" s="169">
        <f>+K199-AN204</f>
        <v>1</v>
      </c>
      <c r="AQ204" s="169">
        <f>+M199-AO204</f>
        <v>1</v>
      </c>
      <c r="AR204" s="423"/>
      <c r="AS204" s="423"/>
      <c r="AT204" s="423"/>
      <c r="AU204" s="423"/>
      <c r="AV204" s="387"/>
      <c r="AW204" s="388"/>
      <c r="AX204" s="389"/>
      <c r="AY204" s="387"/>
      <c r="AZ204" s="388"/>
      <c r="BA204" s="389"/>
      <c r="BB204" s="387"/>
      <c r="BC204" s="388"/>
      <c r="BD204" s="389"/>
    </row>
    <row r="205" spans="1:56" ht="200.25" thickBot="1">
      <c r="A205" s="404">
        <v>34</v>
      </c>
      <c r="B205" s="407" t="s">
        <v>86</v>
      </c>
      <c r="C205" s="408" t="str">
        <f>IFERROR(VLOOKUP(B205,Listados!B$3:C$20,2,FALSE),"")</f>
        <v>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v>
      </c>
      <c r="D205" s="409" t="s">
        <v>198</v>
      </c>
      <c r="E205" s="164" t="s">
        <v>52</v>
      </c>
      <c r="F205" s="164"/>
      <c r="G205" s="165" t="s">
        <v>199</v>
      </c>
      <c r="H205" s="165" t="s">
        <v>30</v>
      </c>
      <c r="I205" s="165" t="s">
        <v>200</v>
      </c>
      <c r="J205" s="407" t="s">
        <v>53</v>
      </c>
      <c r="K205" s="424">
        <f>+VLOOKUP(J205,Listados!$K$8:$L$12,2,0)</f>
        <v>4</v>
      </c>
      <c r="L205" s="427" t="s">
        <v>36</v>
      </c>
      <c r="M205" s="424">
        <f>+VLOOKUP(L205,Listados!$K$13:$L$17,2,0)</f>
        <v>3</v>
      </c>
      <c r="N205" s="434" t="str">
        <f>IF(AND(J205&lt;&gt;"",L205&lt;&gt;""),VLOOKUP(J205&amp;L205,Listados!$M$3:$N$27,2,FALSE),"")</f>
        <v>Alto</v>
      </c>
      <c r="O205" s="165" t="s">
        <v>201</v>
      </c>
      <c r="P205" s="165" t="s">
        <v>199</v>
      </c>
      <c r="Q205" s="165" t="s">
        <v>20</v>
      </c>
      <c r="R205" s="172"/>
      <c r="S205" s="27" t="str">
        <f t="shared" si="44"/>
        <v/>
      </c>
      <c r="T205" s="172"/>
      <c r="U205" s="27" t="str">
        <f t="shared" si="45"/>
        <v/>
      </c>
      <c r="V205" s="150"/>
      <c r="W205" s="27" t="str">
        <f t="shared" si="46"/>
        <v/>
      </c>
      <c r="X205" s="150"/>
      <c r="Y205" s="27" t="str">
        <f t="shared" si="47"/>
        <v/>
      </c>
      <c r="Z205" s="150"/>
      <c r="AA205" s="27" t="str">
        <f t="shared" si="48"/>
        <v/>
      </c>
      <c r="AB205" s="150"/>
      <c r="AC205" s="27" t="str">
        <f t="shared" si="49"/>
        <v/>
      </c>
      <c r="AD205" s="150"/>
      <c r="AE205" s="27" t="str">
        <f t="shared" si="50"/>
        <v/>
      </c>
      <c r="AF205" s="48" t="str">
        <f t="shared" si="51"/>
        <v/>
      </c>
      <c r="AG205" s="48" t="str">
        <f t="shared" si="52"/>
        <v/>
      </c>
      <c r="AH205" s="131"/>
      <c r="AI205" s="149" t="str">
        <f t="shared" si="53"/>
        <v>Débil</v>
      </c>
      <c r="AJ205" s="21" t="str">
        <f>IFERROR(VLOOKUP((CONCATENATE(AG205,AI205)),Listados!$U$3:$V$11,2,FALSE),"")</f>
        <v/>
      </c>
      <c r="AK205" s="48">
        <f t="shared" si="54"/>
        <v>100</v>
      </c>
      <c r="AL205" s="430">
        <f>AVERAGE(AK205:AK210)</f>
        <v>100</v>
      </c>
      <c r="AM205" s="432" t="str">
        <f>IF(AL205&lt;=50, "Débil", IF(AL205&lt;=99,"Moderado","Fuerte"))</f>
        <v>Fuerte</v>
      </c>
      <c r="AN205" s="169">
        <f>+IF(AND(Q205="Preventivo",AM205="Fuerte"),2,IF(AND(Q205="Preventivo",AM205="Moderado"),1,0))</f>
        <v>2</v>
      </c>
      <c r="AO205" s="169">
        <f t="shared" si="43"/>
        <v>1</v>
      </c>
      <c r="AP205" s="169">
        <f>+K205-AN205</f>
        <v>2</v>
      </c>
      <c r="AQ205" s="169">
        <f>+M205-AO205</f>
        <v>2</v>
      </c>
      <c r="AR205" s="421" t="str">
        <f>+VLOOKUP(MIN(AP205,AP206,AP207,AP208,AP209,AP210),Listados!$J$18:$K$24,2,TRUE)</f>
        <v>Improbable</v>
      </c>
      <c r="AS205" s="421" t="str">
        <f>+VLOOKUP(MIN(AQ205,AQ206,AQ207,AQ208,AQ209,AQ210),Listados!$J$27:$K$32,2,TRUE)</f>
        <v>Insignificante</v>
      </c>
      <c r="AT205" s="421" t="str">
        <f>IF(AND(AR205&lt;&gt;"",AS205&lt;&gt;""),VLOOKUP(AR205&amp;AS205,Listados!$M$3:$N$27,2,FALSE),"")</f>
        <v>Bajo</v>
      </c>
      <c r="AU205" s="421" t="str">
        <f>+VLOOKUP(AT205,Listados!$P$3:$Q$6,2,FALSE)</f>
        <v>Asumir el riesgo</v>
      </c>
      <c r="AV205" s="387"/>
      <c r="AW205" s="388"/>
      <c r="AX205" s="389"/>
      <c r="AY205" s="387"/>
      <c r="AZ205" s="388"/>
      <c r="BA205" s="389"/>
      <c r="BB205" s="387"/>
      <c r="BC205" s="388"/>
      <c r="BD205" s="389"/>
    </row>
    <row r="206" spans="1:56" ht="157.5" thickBot="1">
      <c r="A206" s="405"/>
      <c r="B206" s="407"/>
      <c r="C206" s="408"/>
      <c r="D206" s="409"/>
      <c r="E206" s="164"/>
      <c r="F206" s="164"/>
      <c r="G206" s="165" t="s">
        <v>202</v>
      </c>
      <c r="H206" s="165" t="s">
        <v>30</v>
      </c>
      <c r="I206" s="165" t="s">
        <v>203</v>
      </c>
      <c r="J206" s="407"/>
      <c r="K206" s="425"/>
      <c r="L206" s="428"/>
      <c r="M206" s="425"/>
      <c r="N206" s="435"/>
      <c r="O206" s="165" t="s">
        <v>204</v>
      </c>
      <c r="P206" s="165" t="s">
        <v>202</v>
      </c>
      <c r="Q206" s="165" t="s">
        <v>123</v>
      </c>
      <c r="R206" s="172"/>
      <c r="S206" s="27" t="str">
        <f t="shared" si="44"/>
        <v/>
      </c>
      <c r="T206" s="172"/>
      <c r="U206" s="27" t="str">
        <f t="shared" si="45"/>
        <v/>
      </c>
      <c r="V206" s="150"/>
      <c r="W206" s="27" t="str">
        <f t="shared" si="46"/>
        <v/>
      </c>
      <c r="X206" s="150"/>
      <c r="Y206" s="27" t="str">
        <f t="shared" si="47"/>
        <v/>
      </c>
      <c r="Z206" s="150"/>
      <c r="AA206" s="27" t="str">
        <f t="shared" si="48"/>
        <v/>
      </c>
      <c r="AB206" s="150"/>
      <c r="AC206" s="27" t="str">
        <f t="shared" si="49"/>
        <v/>
      </c>
      <c r="AD206" s="150"/>
      <c r="AE206" s="27" t="str">
        <f t="shared" si="50"/>
        <v/>
      </c>
      <c r="AF206" s="48" t="str">
        <f t="shared" si="51"/>
        <v/>
      </c>
      <c r="AG206" s="48" t="str">
        <f t="shared" si="52"/>
        <v/>
      </c>
      <c r="AH206" s="131"/>
      <c r="AI206" s="149" t="str">
        <f t="shared" si="53"/>
        <v>Débil</v>
      </c>
      <c r="AJ206" s="21" t="str">
        <f>IFERROR(VLOOKUP((CONCATENATE(AG206,AI206)),Listados!$U$3:$V$11,2,FALSE),"")</f>
        <v/>
      </c>
      <c r="AK206" s="48">
        <f t="shared" si="54"/>
        <v>100</v>
      </c>
      <c r="AL206" s="431"/>
      <c r="AM206" s="433"/>
      <c r="AN206" s="169">
        <f>+IF(AND(Q206="Preventivo",AM205="Fuerte"),2,IF(AND(Q206="Preventivo",AM205="Moderado"),1,0))</f>
        <v>0</v>
      </c>
      <c r="AO206" s="169">
        <f t="shared" ref="AO206:AO269" si="55">+IF(AND(Q206="Detectivo",$AM$7="Fuerte"),2,IF(AND(Q206="Detectivo",$AM$7="Moderado"),1,IF(AND(Q206="Preventivo",$AM$7="Fuerte"),1,0)))</f>
        <v>2</v>
      </c>
      <c r="AP206" s="169">
        <f>+K205-AN206</f>
        <v>4</v>
      </c>
      <c r="AQ206" s="169">
        <f>+M205-AO206</f>
        <v>1</v>
      </c>
      <c r="AR206" s="422"/>
      <c r="AS206" s="422"/>
      <c r="AT206" s="422"/>
      <c r="AU206" s="422"/>
      <c r="AV206" s="387"/>
      <c r="AW206" s="388"/>
      <c r="AX206" s="389"/>
      <c r="AY206" s="387"/>
      <c r="AZ206" s="388"/>
      <c r="BA206" s="389"/>
      <c r="BB206" s="387"/>
      <c r="BC206" s="388"/>
      <c r="BD206" s="389"/>
    </row>
    <row r="207" spans="1:56" ht="15.75" thickBot="1">
      <c r="A207" s="405"/>
      <c r="B207" s="407"/>
      <c r="C207" s="408"/>
      <c r="D207" s="409"/>
      <c r="E207" s="164"/>
      <c r="F207" s="164"/>
      <c r="G207" s="165"/>
      <c r="H207" s="165"/>
      <c r="I207" s="165"/>
      <c r="J207" s="407"/>
      <c r="K207" s="425"/>
      <c r="L207" s="428"/>
      <c r="M207" s="425"/>
      <c r="N207" s="435"/>
      <c r="O207" s="164"/>
      <c r="P207" s="166"/>
      <c r="Q207" s="166"/>
      <c r="R207" s="172"/>
      <c r="S207" s="27" t="str">
        <f t="shared" si="44"/>
        <v/>
      </c>
      <c r="T207" s="172"/>
      <c r="U207" s="27" t="str">
        <f t="shared" si="45"/>
        <v/>
      </c>
      <c r="V207" s="150"/>
      <c r="W207" s="27" t="str">
        <f t="shared" si="46"/>
        <v/>
      </c>
      <c r="X207" s="150"/>
      <c r="Y207" s="27" t="str">
        <f t="shared" si="47"/>
        <v/>
      </c>
      <c r="Z207" s="150"/>
      <c r="AA207" s="27" t="str">
        <f t="shared" si="48"/>
        <v/>
      </c>
      <c r="AB207" s="150"/>
      <c r="AC207" s="27" t="str">
        <f t="shared" si="49"/>
        <v/>
      </c>
      <c r="AD207" s="150"/>
      <c r="AE207" s="27" t="str">
        <f t="shared" si="50"/>
        <v/>
      </c>
      <c r="AF207" s="48" t="str">
        <f t="shared" si="51"/>
        <v/>
      </c>
      <c r="AG207" s="48" t="str">
        <f t="shared" si="52"/>
        <v/>
      </c>
      <c r="AH207" s="131"/>
      <c r="AI207" s="149" t="str">
        <f t="shared" si="53"/>
        <v>Débil</v>
      </c>
      <c r="AJ207" s="21" t="str">
        <f>IFERROR(VLOOKUP((CONCATENATE(AG207,AI207)),Listados!$U$3:$V$11,2,FALSE),"")</f>
        <v/>
      </c>
      <c r="AK207" s="48">
        <f t="shared" si="54"/>
        <v>100</v>
      </c>
      <c r="AL207" s="431"/>
      <c r="AM207" s="433"/>
      <c r="AN207" s="169">
        <f>+IF(AND(Q207="Preventivo",AM205="Fuerte"),2,IF(AND(Q207="Preventivo",AM205="Moderado"),1,0))</f>
        <v>0</v>
      </c>
      <c r="AO207" s="169">
        <f t="shared" si="55"/>
        <v>0</v>
      </c>
      <c r="AP207" s="169">
        <f>+K205-AN207</f>
        <v>4</v>
      </c>
      <c r="AQ207" s="169">
        <f>+M205-AO207</f>
        <v>3</v>
      </c>
      <c r="AR207" s="422"/>
      <c r="AS207" s="422"/>
      <c r="AT207" s="422"/>
      <c r="AU207" s="422"/>
      <c r="AV207" s="387"/>
      <c r="AW207" s="388"/>
      <c r="AX207" s="389"/>
      <c r="AY207" s="387"/>
      <c r="AZ207" s="388"/>
      <c r="BA207" s="389"/>
      <c r="BB207" s="387"/>
      <c r="BC207" s="388"/>
      <c r="BD207" s="389"/>
    </row>
    <row r="208" spans="1:56" ht="15.75" thickBot="1">
      <c r="A208" s="405"/>
      <c r="B208" s="407"/>
      <c r="C208" s="408"/>
      <c r="D208" s="409"/>
      <c r="E208" s="164"/>
      <c r="F208" s="164"/>
      <c r="G208" s="165"/>
      <c r="H208" s="165"/>
      <c r="I208" s="165"/>
      <c r="J208" s="407"/>
      <c r="K208" s="425"/>
      <c r="L208" s="428"/>
      <c r="M208" s="425"/>
      <c r="N208" s="435"/>
      <c r="O208" s="164"/>
      <c r="P208" s="166"/>
      <c r="Q208" s="166"/>
      <c r="R208" s="172"/>
      <c r="S208" s="27" t="str">
        <f t="shared" si="44"/>
        <v/>
      </c>
      <c r="T208" s="172"/>
      <c r="U208" s="27" t="str">
        <f t="shared" si="45"/>
        <v/>
      </c>
      <c r="V208" s="150"/>
      <c r="W208" s="27" t="str">
        <f t="shared" si="46"/>
        <v/>
      </c>
      <c r="X208" s="150"/>
      <c r="Y208" s="27" t="str">
        <f t="shared" si="47"/>
        <v/>
      </c>
      <c r="Z208" s="150"/>
      <c r="AA208" s="27" t="str">
        <f t="shared" si="48"/>
        <v/>
      </c>
      <c r="AB208" s="150"/>
      <c r="AC208" s="27" t="str">
        <f t="shared" si="49"/>
        <v/>
      </c>
      <c r="AD208" s="150"/>
      <c r="AE208" s="27" t="str">
        <f t="shared" si="50"/>
        <v/>
      </c>
      <c r="AF208" s="48" t="str">
        <f t="shared" si="51"/>
        <v/>
      </c>
      <c r="AG208" s="48" t="str">
        <f t="shared" si="52"/>
        <v/>
      </c>
      <c r="AH208" s="131"/>
      <c r="AI208" s="149" t="str">
        <f t="shared" si="53"/>
        <v>Débil</v>
      </c>
      <c r="AJ208" s="21" t="str">
        <f>IFERROR(VLOOKUP((CONCATENATE(AG208,AI208)),Listados!$U$3:$V$11,2,FALSE),"")</f>
        <v/>
      </c>
      <c r="AK208" s="48">
        <f t="shared" si="54"/>
        <v>100</v>
      </c>
      <c r="AL208" s="431"/>
      <c r="AM208" s="433"/>
      <c r="AN208" s="169">
        <f>+IF(AND(Q208="Preventivo",AM205="Fuerte"),2,IF(AND(Q208="Preventivo",AM205="Moderado"),1,0))</f>
        <v>0</v>
      </c>
      <c r="AO208" s="169">
        <f t="shared" si="55"/>
        <v>0</v>
      </c>
      <c r="AP208" s="169">
        <f>+K205-AN208</f>
        <v>4</v>
      </c>
      <c r="AQ208" s="169">
        <f>+M205-AO208</f>
        <v>3</v>
      </c>
      <c r="AR208" s="422"/>
      <c r="AS208" s="422"/>
      <c r="AT208" s="422"/>
      <c r="AU208" s="422"/>
      <c r="AV208" s="387"/>
      <c r="AW208" s="388"/>
      <c r="AX208" s="389"/>
      <c r="AY208" s="387"/>
      <c r="AZ208" s="388"/>
      <c r="BA208" s="389"/>
      <c r="BB208" s="387"/>
      <c r="BC208" s="388"/>
      <c r="BD208" s="389"/>
    </row>
    <row r="209" spans="1:56" ht="15.75" thickBot="1">
      <c r="A209" s="405"/>
      <c r="B209" s="407"/>
      <c r="C209" s="408"/>
      <c r="D209" s="409"/>
      <c r="E209" s="164"/>
      <c r="F209" s="164"/>
      <c r="G209" s="165"/>
      <c r="H209" s="165"/>
      <c r="I209" s="165"/>
      <c r="J209" s="407"/>
      <c r="K209" s="425"/>
      <c r="L209" s="428"/>
      <c r="M209" s="425"/>
      <c r="N209" s="435"/>
      <c r="O209" s="164"/>
      <c r="P209" s="166"/>
      <c r="Q209" s="166"/>
      <c r="R209" s="172"/>
      <c r="S209" s="27" t="str">
        <f t="shared" si="44"/>
        <v/>
      </c>
      <c r="T209" s="172"/>
      <c r="U209" s="27" t="str">
        <f t="shared" si="45"/>
        <v/>
      </c>
      <c r="V209" s="150"/>
      <c r="W209" s="27" t="str">
        <f t="shared" si="46"/>
        <v/>
      </c>
      <c r="X209" s="150"/>
      <c r="Y209" s="27" t="str">
        <f t="shared" si="47"/>
        <v/>
      </c>
      <c r="Z209" s="150"/>
      <c r="AA209" s="27" t="str">
        <f t="shared" si="48"/>
        <v/>
      </c>
      <c r="AB209" s="150"/>
      <c r="AC209" s="27" t="str">
        <f t="shared" si="49"/>
        <v/>
      </c>
      <c r="AD209" s="150"/>
      <c r="AE209" s="27" t="str">
        <f t="shared" si="50"/>
        <v/>
      </c>
      <c r="AF209" s="48" t="str">
        <f t="shared" si="51"/>
        <v/>
      </c>
      <c r="AG209" s="48" t="str">
        <f t="shared" si="52"/>
        <v/>
      </c>
      <c r="AH209" s="131"/>
      <c r="AI209" s="149" t="str">
        <f t="shared" si="53"/>
        <v>Débil</v>
      </c>
      <c r="AJ209" s="21" t="str">
        <f>IFERROR(VLOOKUP((CONCATENATE(AG209,AI209)),Listados!$U$3:$V$11,2,FALSE),"")</f>
        <v/>
      </c>
      <c r="AK209" s="48">
        <f t="shared" si="54"/>
        <v>100</v>
      </c>
      <c r="AL209" s="431"/>
      <c r="AM209" s="433"/>
      <c r="AN209" s="169">
        <f>+IF(AND(Q209="Preventivo",AM205="Fuerte"),2,IF(AND(Q209="Preventivo",AM205="Moderado"),1,0))</f>
        <v>0</v>
      </c>
      <c r="AO209" s="169">
        <f t="shared" si="55"/>
        <v>0</v>
      </c>
      <c r="AP209" s="169">
        <f>+K205-AN209</f>
        <v>4</v>
      </c>
      <c r="AQ209" s="169">
        <f>+M205-AO209</f>
        <v>3</v>
      </c>
      <c r="AR209" s="422"/>
      <c r="AS209" s="422"/>
      <c r="AT209" s="422"/>
      <c r="AU209" s="422"/>
      <c r="AV209" s="387"/>
      <c r="AW209" s="388"/>
      <c r="AX209" s="389"/>
      <c r="AY209" s="387"/>
      <c r="AZ209" s="388"/>
      <c r="BA209" s="389"/>
      <c r="BB209" s="387"/>
      <c r="BC209" s="388"/>
      <c r="BD209" s="389"/>
    </row>
    <row r="210" spans="1:56" ht="15.75" thickBot="1">
      <c r="A210" s="406"/>
      <c r="B210" s="407"/>
      <c r="C210" s="408"/>
      <c r="D210" s="409"/>
      <c r="E210" s="164"/>
      <c r="F210" s="164"/>
      <c r="G210" s="165"/>
      <c r="H210" s="165"/>
      <c r="I210" s="165"/>
      <c r="J210" s="407"/>
      <c r="K210" s="426"/>
      <c r="L210" s="428"/>
      <c r="M210" s="426"/>
      <c r="N210" s="435"/>
      <c r="O210" s="164"/>
      <c r="P210" s="166"/>
      <c r="Q210" s="166"/>
      <c r="R210" s="172"/>
      <c r="S210" s="27" t="str">
        <f t="shared" si="44"/>
        <v/>
      </c>
      <c r="T210" s="172"/>
      <c r="U210" s="27" t="str">
        <f t="shared" si="45"/>
        <v/>
      </c>
      <c r="V210" s="150"/>
      <c r="W210" s="27" t="str">
        <f t="shared" si="46"/>
        <v/>
      </c>
      <c r="X210" s="150"/>
      <c r="Y210" s="27" t="str">
        <f t="shared" si="47"/>
        <v/>
      </c>
      <c r="Z210" s="150"/>
      <c r="AA210" s="27" t="str">
        <f t="shared" si="48"/>
        <v/>
      </c>
      <c r="AB210" s="150"/>
      <c r="AC210" s="27" t="str">
        <f t="shared" si="49"/>
        <v/>
      </c>
      <c r="AD210" s="150"/>
      <c r="AE210" s="27" t="str">
        <f t="shared" si="50"/>
        <v/>
      </c>
      <c r="AF210" s="48" t="str">
        <f t="shared" si="51"/>
        <v/>
      </c>
      <c r="AG210" s="48" t="str">
        <f t="shared" si="52"/>
        <v/>
      </c>
      <c r="AH210" s="131"/>
      <c r="AI210" s="149" t="str">
        <f t="shared" si="53"/>
        <v>Débil</v>
      </c>
      <c r="AJ210" s="21" t="str">
        <f>IFERROR(VLOOKUP((CONCATENATE(AG210,AI210)),Listados!$U$3:$V$11,2,FALSE),"")</f>
        <v/>
      </c>
      <c r="AK210" s="48">
        <f t="shared" si="54"/>
        <v>100</v>
      </c>
      <c r="AL210" s="432"/>
      <c r="AM210" s="433"/>
      <c r="AN210" s="169">
        <f>+IF(AND(Q210="Preventivo",AM205="Fuerte"),2,IF(AND(Q210="Preventivo",AM205="Moderado"),1,0))</f>
        <v>0</v>
      </c>
      <c r="AO210" s="169">
        <f t="shared" si="55"/>
        <v>0</v>
      </c>
      <c r="AP210" s="169">
        <f>+K205-AN210</f>
        <v>4</v>
      </c>
      <c r="AQ210" s="169">
        <f>+M205-AO210</f>
        <v>3</v>
      </c>
      <c r="AR210" s="423"/>
      <c r="AS210" s="423"/>
      <c r="AT210" s="423"/>
      <c r="AU210" s="423"/>
      <c r="AV210" s="387"/>
      <c r="AW210" s="388"/>
      <c r="AX210" s="389"/>
      <c r="AY210" s="387"/>
      <c r="AZ210" s="388"/>
      <c r="BA210" s="389"/>
      <c r="BB210" s="387"/>
      <c r="BC210" s="388"/>
      <c r="BD210" s="389"/>
    </row>
    <row r="211" spans="1:56" ht="144" thickBot="1">
      <c r="A211" s="404">
        <v>35</v>
      </c>
      <c r="B211" s="407" t="s">
        <v>101</v>
      </c>
      <c r="C211" s="408" t="str">
        <f>IFERROR(VLOOKUP(B211,Listados!B$3:C$20,2,FALSE),"")</f>
        <v>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v>
      </c>
      <c r="D211" s="409" t="s">
        <v>464</v>
      </c>
      <c r="E211" s="164" t="s">
        <v>41</v>
      </c>
      <c r="F211" s="164"/>
      <c r="G211" s="165" t="s">
        <v>465</v>
      </c>
      <c r="H211" s="165" t="s">
        <v>16</v>
      </c>
      <c r="I211" s="165" t="s">
        <v>402</v>
      </c>
      <c r="J211" s="407" t="s">
        <v>31</v>
      </c>
      <c r="K211" s="424">
        <f>+VLOOKUP(J211,Listados!$K$8:$L$12,2,0)</f>
        <v>2</v>
      </c>
      <c r="L211" s="427" t="s">
        <v>32</v>
      </c>
      <c r="M211" s="424">
        <f>+VLOOKUP(L211,Listados!$K$13:$L$17,2,0)</f>
        <v>2</v>
      </c>
      <c r="N211" s="434" t="str">
        <f>IF(AND(J211&lt;&gt;"",L211&lt;&gt;""),VLOOKUP(J211&amp;L211,Listados!$M$3:$N$27,2,FALSE),"")</f>
        <v>Bajo</v>
      </c>
      <c r="O211" s="166" t="s">
        <v>466</v>
      </c>
      <c r="P211" s="164" t="s">
        <v>465</v>
      </c>
      <c r="Q211" s="165" t="s">
        <v>20</v>
      </c>
      <c r="R211" s="172"/>
      <c r="S211" s="27" t="str">
        <f t="shared" si="44"/>
        <v/>
      </c>
      <c r="T211" s="172"/>
      <c r="U211" s="27" t="str">
        <f t="shared" si="45"/>
        <v/>
      </c>
      <c r="V211" s="150"/>
      <c r="W211" s="27" t="str">
        <f t="shared" si="46"/>
        <v/>
      </c>
      <c r="X211" s="150"/>
      <c r="Y211" s="27" t="str">
        <f t="shared" si="47"/>
        <v/>
      </c>
      <c r="Z211" s="150"/>
      <c r="AA211" s="27" t="str">
        <f t="shared" si="48"/>
        <v/>
      </c>
      <c r="AB211" s="150"/>
      <c r="AC211" s="27" t="str">
        <f t="shared" si="49"/>
        <v/>
      </c>
      <c r="AD211" s="150"/>
      <c r="AE211" s="27" t="str">
        <f t="shared" si="50"/>
        <v/>
      </c>
      <c r="AF211" s="48" t="str">
        <f t="shared" si="51"/>
        <v/>
      </c>
      <c r="AG211" s="48" t="str">
        <f t="shared" si="52"/>
        <v/>
      </c>
      <c r="AH211" s="131"/>
      <c r="AI211" s="149" t="str">
        <f t="shared" si="53"/>
        <v>Débil</v>
      </c>
      <c r="AJ211" s="21" t="str">
        <f>IFERROR(VLOOKUP((CONCATENATE(AG211,AI211)),Listados!$U$3:$V$11,2,FALSE),"")</f>
        <v/>
      </c>
      <c r="AK211" s="48">
        <f t="shared" si="54"/>
        <v>100</v>
      </c>
      <c r="AL211" s="430">
        <f>AVERAGE(AK211:AK216)</f>
        <v>100</v>
      </c>
      <c r="AM211" s="432" t="str">
        <f>IF(AL211&lt;=50, "Débil", IF(AL211&lt;=99,"Moderado","Fuerte"))</f>
        <v>Fuerte</v>
      </c>
      <c r="AN211" s="169">
        <f>+IF(AND(Q211="Preventivo",AM211="Fuerte"),2,IF(AND(Q211="Preventivo",AM211="Moderado"),1,0))</f>
        <v>2</v>
      </c>
      <c r="AO211" s="169">
        <f t="shared" si="55"/>
        <v>1</v>
      </c>
      <c r="AP211" s="169">
        <f>+K211-AN211</f>
        <v>0</v>
      </c>
      <c r="AQ211" s="169">
        <f>+M211-AO211</f>
        <v>1</v>
      </c>
      <c r="AR211" s="421" t="str">
        <f>+VLOOKUP(MIN(AP211,AP212,AP213,AP214,AP215,AP216),Listados!$J$18:$K$24,2,TRUE)</f>
        <v>Rara Vez</v>
      </c>
      <c r="AS211" s="421" t="str">
        <f>+VLOOKUP(MIN(AQ211,AQ212,AQ213,AQ214,AQ215,AQ216),Listados!$J$27:$K$32,2,TRUE)</f>
        <v>Insignificante</v>
      </c>
      <c r="AT211" s="421" t="str">
        <f>IF(AND(AR211&lt;&gt;"",AS211&lt;&gt;""),VLOOKUP(AR211&amp;AS211,Listados!$M$3:$N$27,2,FALSE),"")</f>
        <v>Bajo</v>
      </c>
      <c r="AU211" s="421" t="str">
        <f>+VLOOKUP(AT211,Listados!$P$3:$Q$6,2,FALSE)</f>
        <v>Asumir el riesgo</v>
      </c>
      <c r="AV211" s="387"/>
      <c r="AW211" s="388"/>
      <c r="AX211" s="389"/>
      <c r="AY211" s="387"/>
      <c r="AZ211" s="388"/>
      <c r="BA211" s="389"/>
      <c r="BB211" s="387"/>
      <c r="BC211" s="388"/>
      <c r="BD211" s="389"/>
    </row>
    <row r="212" spans="1:56" ht="129.75" thickBot="1">
      <c r="A212" s="405"/>
      <c r="B212" s="407"/>
      <c r="C212" s="408"/>
      <c r="D212" s="409"/>
      <c r="E212" s="164"/>
      <c r="F212" s="164"/>
      <c r="G212" s="165" t="s">
        <v>467</v>
      </c>
      <c r="H212" s="165" t="s">
        <v>30</v>
      </c>
      <c r="I212" s="165" t="s">
        <v>468</v>
      </c>
      <c r="J212" s="407"/>
      <c r="K212" s="425"/>
      <c r="L212" s="428"/>
      <c r="M212" s="425"/>
      <c r="N212" s="435"/>
      <c r="O212" s="166" t="s">
        <v>469</v>
      </c>
      <c r="P212" s="164" t="s">
        <v>467</v>
      </c>
      <c r="Q212" s="165" t="s">
        <v>20</v>
      </c>
      <c r="R212" s="172"/>
      <c r="S212" s="27" t="str">
        <f t="shared" si="44"/>
        <v/>
      </c>
      <c r="T212" s="172"/>
      <c r="U212" s="27" t="str">
        <f t="shared" si="45"/>
        <v/>
      </c>
      <c r="V212" s="150"/>
      <c r="W212" s="27" t="str">
        <f t="shared" si="46"/>
        <v/>
      </c>
      <c r="X212" s="150"/>
      <c r="Y212" s="27" t="str">
        <f t="shared" si="47"/>
        <v/>
      </c>
      <c r="Z212" s="150"/>
      <c r="AA212" s="27" t="str">
        <f t="shared" si="48"/>
        <v/>
      </c>
      <c r="AB212" s="150"/>
      <c r="AC212" s="27" t="str">
        <f t="shared" si="49"/>
        <v/>
      </c>
      <c r="AD212" s="150"/>
      <c r="AE212" s="27" t="str">
        <f t="shared" si="50"/>
        <v/>
      </c>
      <c r="AF212" s="48" t="str">
        <f t="shared" si="51"/>
        <v/>
      </c>
      <c r="AG212" s="48" t="str">
        <f t="shared" si="52"/>
        <v/>
      </c>
      <c r="AH212" s="131"/>
      <c r="AI212" s="149" t="str">
        <f t="shared" si="53"/>
        <v>Débil</v>
      </c>
      <c r="AJ212" s="21" t="str">
        <f>IFERROR(VLOOKUP((CONCATENATE(AG212,AI212)),Listados!$U$3:$V$11,2,FALSE),"")</f>
        <v/>
      </c>
      <c r="AK212" s="48">
        <f t="shared" si="54"/>
        <v>100</v>
      </c>
      <c r="AL212" s="431"/>
      <c r="AM212" s="433"/>
      <c r="AN212" s="169">
        <f>+IF(AND(Q212="Preventivo",AM211="Fuerte"),2,IF(AND(Q212="Preventivo",AM211="Moderado"),1,0))</f>
        <v>2</v>
      </c>
      <c r="AO212" s="169">
        <f t="shared" si="55"/>
        <v>1</v>
      </c>
      <c r="AP212" s="169">
        <f>+K211-AN212</f>
        <v>0</v>
      </c>
      <c r="AQ212" s="169">
        <f>+M211-AO212</f>
        <v>1</v>
      </c>
      <c r="AR212" s="422"/>
      <c r="AS212" s="422"/>
      <c r="AT212" s="422"/>
      <c r="AU212" s="422"/>
      <c r="AV212" s="387"/>
      <c r="AW212" s="388"/>
      <c r="AX212" s="389"/>
      <c r="AY212" s="387"/>
      <c r="AZ212" s="388"/>
      <c r="BA212" s="389"/>
      <c r="BB212" s="387"/>
      <c r="BC212" s="388"/>
      <c r="BD212" s="389"/>
    </row>
    <row r="213" spans="1:56" ht="144" thickBot="1">
      <c r="A213" s="405"/>
      <c r="B213" s="407"/>
      <c r="C213" s="408"/>
      <c r="D213" s="409"/>
      <c r="E213" s="164"/>
      <c r="F213" s="164"/>
      <c r="G213" s="165" t="s">
        <v>470</v>
      </c>
      <c r="H213" s="165" t="s">
        <v>16</v>
      </c>
      <c r="I213" s="165" t="s">
        <v>471</v>
      </c>
      <c r="J213" s="407"/>
      <c r="K213" s="425"/>
      <c r="L213" s="428"/>
      <c r="M213" s="425"/>
      <c r="N213" s="435"/>
      <c r="O213" s="166" t="s">
        <v>472</v>
      </c>
      <c r="P213" s="164" t="s">
        <v>470</v>
      </c>
      <c r="Q213" s="165" t="s">
        <v>20</v>
      </c>
      <c r="R213" s="172"/>
      <c r="S213" s="27" t="str">
        <f t="shared" si="44"/>
        <v/>
      </c>
      <c r="T213" s="172"/>
      <c r="U213" s="27" t="str">
        <f t="shared" si="45"/>
        <v/>
      </c>
      <c r="V213" s="150"/>
      <c r="W213" s="27" t="str">
        <f t="shared" si="46"/>
        <v/>
      </c>
      <c r="X213" s="150"/>
      <c r="Y213" s="27" t="str">
        <f t="shared" si="47"/>
        <v/>
      </c>
      <c r="Z213" s="150"/>
      <c r="AA213" s="27" t="str">
        <f t="shared" si="48"/>
        <v/>
      </c>
      <c r="AB213" s="150"/>
      <c r="AC213" s="27" t="str">
        <f t="shared" si="49"/>
        <v/>
      </c>
      <c r="AD213" s="150"/>
      <c r="AE213" s="27" t="str">
        <f t="shared" si="50"/>
        <v/>
      </c>
      <c r="AF213" s="48" t="str">
        <f t="shared" si="51"/>
        <v/>
      </c>
      <c r="AG213" s="48" t="str">
        <f t="shared" si="52"/>
        <v/>
      </c>
      <c r="AH213" s="131"/>
      <c r="AI213" s="149" t="str">
        <f t="shared" si="53"/>
        <v>Débil</v>
      </c>
      <c r="AJ213" s="21" t="str">
        <f>IFERROR(VLOOKUP((CONCATENATE(AG213,AI213)),Listados!$U$3:$V$11,2,FALSE),"")</f>
        <v/>
      </c>
      <c r="AK213" s="48">
        <f t="shared" si="54"/>
        <v>100</v>
      </c>
      <c r="AL213" s="431"/>
      <c r="AM213" s="433"/>
      <c r="AN213" s="169">
        <f>+IF(AND(Q213="Preventivo",AM211="Fuerte"),2,IF(AND(Q213="Preventivo",AM211="Moderado"),1,0))</f>
        <v>2</v>
      </c>
      <c r="AO213" s="169">
        <f t="shared" si="55"/>
        <v>1</v>
      </c>
      <c r="AP213" s="169">
        <f>+K211-AN213</f>
        <v>0</v>
      </c>
      <c r="AQ213" s="169">
        <f>+M211-AO213</f>
        <v>1</v>
      </c>
      <c r="AR213" s="422"/>
      <c r="AS213" s="422"/>
      <c r="AT213" s="422"/>
      <c r="AU213" s="422"/>
      <c r="AV213" s="387"/>
      <c r="AW213" s="388"/>
      <c r="AX213" s="389"/>
      <c r="AY213" s="387"/>
      <c r="AZ213" s="388"/>
      <c r="BA213" s="389"/>
      <c r="BB213" s="387"/>
      <c r="BC213" s="388"/>
      <c r="BD213" s="389"/>
    </row>
    <row r="214" spans="1:56" ht="144" thickBot="1">
      <c r="A214" s="405"/>
      <c r="B214" s="407"/>
      <c r="C214" s="408"/>
      <c r="D214" s="409"/>
      <c r="E214" s="164"/>
      <c r="F214" s="164"/>
      <c r="G214" s="165" t="s">
        <v>473</v>
      </c>
      <c r="H214" s="165" t="s">
        <v>16</v>
      </c>
      <c r="I214" s="165"/>
      <c r="J214" s="407"/>
      <c r="K214" s="425"/>
      <c r="L214" s="428"/>
      <c r="M214" s="425"/>
      <c r="N214" s="435"/>
      <c r="O214" s="166" t="s">
        <v>466</v>
      </c>
      <c r="P214" s="164" t="s">
        <v>473</v>
      </c>
      <c r="Q214" s="165" t="s">
        <v>20</v>
      </c>
      <c r="R214" s="172"/>
      <c r="S214" s="27" t="str">
        <f t="shared" si="44"/>
        <v/>
      </c>
      <c r="T214" s="172"/>
      <c r="U214" s="27" t="str">
        <f t="shared" si="45"/>
        <v/>
      </c>
      <c r="V214" s="150"/>
      <c r="W214" s="27" t="str">
        <f t="shared" si="46"/>
        <v/>
      </c>
      <c r="X214" s="150"/>
      <c r="Y214" s="27" t="str">
        <f t="shared" si="47"/>
        <v/>
      </c>
      <c r="Z214" s="150"/>
      <c r="AA214" s="27" t="str">
        <f t="shared" si="48"/>
        <v/>
      </c>
      <c r="AB214" s="150"/>
      <c r="AC214" s="27" t="str">
        <f t="shared" si="49"/>
        <v/>
      </c>
      <c r="AD214" s="150"/>
      <c r="AE214" s="27" t="str">
        <f t="shared" si="50"/>
        <v/>
      </c>
      <c r="AF214" s="48" t="str">
        <f t="shared" si="51"/>
        <v/>
      </c>
      <c r="AG214" s="48" t="str">
        <f t="shared" si="52"/>
        <v/>
      </c>
      <c r="AH214" s="131"/>
      <c r="AI214" s="149" t="str">
        <f t="shared" si="53"/>
        <v>Débil</v>
      </c>
      <c r="AJ214" s="21" t="str">
        <f>IFERROR(VLOOKUP((CONCATENATE(AG214,AI214)),Listados!$U$3:$V$11,2,FALSE),"")</f>
        <v/>
      </c>
      <c r="AK214" s="48">
        <f t="shared" si="54"/>
        <v>100</v>
      </c>
      <c r="AL214" s="431"/>
      <c r="AM214" s="433"/>
      <c r="AN214" s="169">
        <f>+IF(AND(Q214="Preventivo",AM211="Fuerte"),2,IF(AND(Q214="Preventivo",AM211="Moderado"),1,0))</f>
        <v>2</v>
      </c>
      <c r="AO214" s="169">
        <f t="shared" si="55"/>
        <v>1</v>
      </c>
      <c r="AP214" s="169">
        <f>+K211-AN214</f>
        <v>0</v>
      </c>
      <c r="AQ214" s="169">
        <f>+M211-AO214</f>
        <v>1</v>
      </c>
      <c r="AR214" s="422"/>
      <c r="AS214" s="422"/>
      <c r="AT214" s="422"/>
      <c r="AU214" s="422"/>
      <c r="AV214" s="387"/>
      <c r="AW214" s="388"/>
      <c r="AX214" s="389"/>
      <c r="AY214" s="387"/>
      <c r="AZ214" s="388"/>
      <c r="BA214" s="389"/>
      <c r="BB214" s="387"/>
      <c r="BC214" s="388"/>
      <c r="BD214" s="389"/>
    </row>
    <row r="215" spans="1:56" ht="15.75" thickBot="1">
      <c r="A215" s="405"/>
      <c r="B215" s="407"/>
      <c r="C215" s="408"/>
      <c r="D215" s="409"/>
      <c r="E215" s="164"/>
      <c r="F215" s="164"/>
      <c r="G215" s="165"/>
      <c r="H215" s="165"/>
      <c r="I215" s="165"/>
      <c r="J215" s="407"/>
      <c r="K215" s="425"/>
      <c r="L215" s="428"/>
      <c r="M215" s="425"/>
      <c r="N215" s="435"/>
      <c r="O215" s="164"/>
      <c r="P215" s="166"/>
      <c r="Q215" s="166"/>
      <c r="R215" s="172"/>
      <c r="S215" s="27" t="str">
        <f t="shared" si="44"/>
        <v/>
      </c>
      <c r="T215" s="172"/>
      <c r="U215" s="27" t="str">
        <f t="shared" si="45"/>
        <v/>
      </c>
      <c r="V215" s="150"/>
      <c r="W215" s="27" t="str">
        <f t="shared" si="46"/>
        <v/>
      </c>
      <c r="X215" s="150"/>
      <c r="Y215" s="27" t="str">
        <f t="shared" si="47"/>
        <v/>
      </c>
      <c r="Z215" s="150"/>
      <c r="AA215" s="27" t="str">
        <f t="shared" si="48"/>
        <v/>
      </c>
      <c r="AB215" s="150"/>
      <c r="AC215" s="27" t="str">
        <f t="shared" si="49"/>
        <v/>
      </c>
      <c r="AD215" s="150"/>
      <c r="AE215" s="27" t="str">
        <f t="shared" si="50"/>
        <v/>
      </c>
      <c r="AF215" s="48" t="str">
        <f t="shared" si="51"/>
        <v/>
      </c>
      <c r="AG215" s="48" t="str">
        <f t="shared" si="52"/>
        <v/>
      </c>
      <c r="AH215" s="131"/>
      <c r="AI215" s="149" t="str">
        <f t="shared" si="53"/>
        <v>Débil</v>
      </c>
      <c r="AJ215" s="21" t="str">
        <f>IFERROR(VLOOKUP((CONCATENATE(AG215,AI215)),Listados!$U$3:$V$11,2,FALSE),"")</f>
        <v/>
      </c>
      <c r="AK215" s="48">
        <f t="shared" si="54"/>
        <v>100</v>
      </c>
      <c r="AL215" s="431"/>
      <c r="AM215" s="433"/>
      <c r="AN215" s="169">
        <f>+IF(AND(Q215="Preventivo",AM211="Fuerte"),2,IF(AND(Q215="Preventivo",AM211="Moderado"),1,0))</f>
        <v>0</v>
      </c>
      <c r="AO215" s="169">
        <f t="shared" si="55"/>
        <v>0</v>
      </c>
      <c r="AP215" s="169">
        <f>+K211-AN215</f>
        <v>2</v>
      </c>
      <c r="AQ215" s="169">
        <f>+M211-AO215</f>
        <v>2</v>
      </c>
      <c r="AR215" s="422"/>
      <c r="AS215" s="422"/>
      <c r="AT215" s="422"/>
      <c r="AU215" s="422"/>
      <c r="AV215" s="387"/>
      <c r="AW215" s="388"/>
      <c r="AX215" s="389"/>
      <c r="AY215" s="387"/>
      <c r="AZ215" s="388"/>
      <c r="BA215" s="389"/>
      <c r="BB215" s="387"/>
      <c r="BC215" s="388"/>
      <c r="BD215" s="389"/>
    </row>
    <row r="216" spans="1:56" ht="15.75" thickBot="1">
      <c r="A216" s="406"/>
      <c r="B216" s="407"/>
      <c r="C216" s="408"/>
      <c r="D216" s="409"/>
      <c r="E216" s="164"/>
      <c r="F216" s="164"/>
      <c r="G216" s="165"/>
      <c r="H216" s="165"/>
      <c r="I216" s="165"/>
      <c r="J216" s="407"/>
      <c r="K216" s="426"/>
      <c r="L216" s="428"/>
      <c r="M216" s="426"/>
      <c r="N216" s="435"/>
      <c r="O216" s="164"/>
      <c r="P216" s="166"/>
      <c r="Q216" s="166"/>
      <c r="R216" s="172"/>
      <c r="S216" s="27" t="str">
        <f t="shared" si="44"/>
        <v/>
      </c>
      <c r="T216" s="172"/>
      <c r="U216" s="27" t="str">
        <f t="shared" si="45"/>
        <v/>
      </c>
      <c r="V216" s="150"/>
      <c r="W216" s="27" t="str">
        <f t="shared" si="46"/>
        <v/>
      </c>
      <c r="X216" s="150"/>
      <c r="Y216" s="27" t="str">
        <f t="shared" si="47"/>
        <v/>
      </c>
      <c r="Z216" s="150"/>
      <c r="AA216" s="27" t="str">
        <f t="shared" si="48"/>
        <v/>
      </c>
      <c r="AB216" s="150"/>
      <c r="AC216" s="27" t="str">
        <f t="shared" si="49"/>
        <v/>
      </c>
      <c r="AD216" s="150"/>
      <c r="AE216" s="27" t="str">
        <f t="shared" si="50"/>
        <v/>
      </c>
      <c r="AF216" s="48" t="str">
        <f t="shared" si="51"/>
        <v/>
      </c>
      <c r="AG216" s="48" t="str">
        <f t="shared" si="52"/>
        <v/>
      </c>
      <c r="AH216" s="131"/>
      <c r="AI216" s="149" t="str">
        <f t="shared" si="53"/>
        <v>Débil</v>
      </c>
      <c r="AJ216" s="21" t="str">
        <f>IFERROR(VLOOKUP((CONCATENATE(AG216,AI216)),Listados!$U$3:$V$11,2,FALSE),"")</f>
        <v/>
      </c>
      <c r="AK216" s="48">
        <f t="shared" si="54"/>
        <v>100</v>
      </c>
      <c r="AL216" s="432"/>
      <c r="AM216" s="433"/>
      <c r="AN216" s="169">
        <f>+IF(AND(Q216="Preventivo",AM211="Fuerte"),2,IF(AND(Q216="Preventivo",AM211="Moderado"),1,0))</f>
        <v>0</v>
      </c>
      <c r="AO216" s="169">
        <f t="shared" si="55"/>
        <v>0</v>
      </c>
      <c r="AP216" s="169">
        <f>+K211-AN216</f>
        <v>2</v>
      </c>
      <c r="AQ216" s="169">
        <f>+M211-AO216</f>
        <v>2</v>
      </c>
      <c r="AR216" s="423"/>
      <c r="AS216" s="423"/>
      <c r="AT216" s="423"/>
      <c r="AU216" s="423"/>
      <c r="AV216" s="387"/>
      <c r="AW216" s="388"/>
      <c r="AX216" s="389"/>
      <c r="AY216" s="387"/>
      <c r="AZ216" s="388"/>
      <c r="BA216" s="389"/>
      <c r="BB216" s="387"/>
      <c r="BC216" s="388"/>
      <c r="BD216" s="389"/>
    </row>
    <row r="217" spans="1:56" ht="171.75" thickBot="1">
      <c r="A217" s="404">
        <v>36</v>
      </c>
      <c r="B217" s="407" t="s">
        <v>101</v>
      </c>
      <c r="C217" s="408" t="str">
        <f>IFERROR(VLOOKUP(B217,Listados!B$3:C$20,2,FALSE),"")</f>
        <v>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v>
      </c>
      <c r="D217" s="409" t="s">
        <v>474</v>
      </c>
      <c r="E217" s="164" t="s">
        <v>15</v>
      </c>
      <c r="F217" s="164" t="s">
        <v>209</v>
      </c>
      <c r="G217" s="165" t="s">
        <v>475</v>
      </c>
      <c r="H217" s="165" t="s">
        <v>30</v>
      </c>
      <c r="I217" s="165" t="s">
        <v>476</v>
      </c>
      <c r="J217" s="407" t="s">
        <v>53</v>
      </c>
      <c r="K217" s="424">
        <f>+VLOOKUP(J217,Listados!$K$8:$L$12,2,0)</f>
        <v>4</v>
      </c>
      <c r="L217" s="427" t="s">
        <v>54</v>
      </c>
      <c r="M217" s="424">
        <f>+VLOOKUP(L217,Listados!$K$13:$L$17,2,0)</f>
        <v>4</v>
      </c>
      <c r="N217" s="434" t="str">
        <f>IF(AND(J217&lt;&gt;"",L217&lt;&gt;""),VLOOKUP(J217&amp;L217,Listados!$M$3:$N$27,2,FALSE),"")</f>
        <v>Extremo</v>
      </c>
      <c r="O217" s="165" t="s">
        <v>477</v>
      </c>
      <c r="P217" s="165" t="s">
        <v>475</v>
      </c>
      <c r="Q217" s="165" t="s">
        <v>20</v>
      </c>
      <c r="R217" s="172"/>
      <c r="S217" s="27" t="str">
        <f t="shared" si="44"/>
        <v/>
      </c>
      <c r="T217" s="172"/>
      <c r="U217" s="27" t="str">
        <f t="shared" si="45"/>
        <v/>
      </c>
      <c r="V217" s="150"/>
      <c r="W217" s="27" t="str">
        <f t="shared" si="46"/>
        <v/>
      </c>
      <c r="X217" s="150"/>
      <c r="Y217" s="27" t="str">
        <f t="shared" si="47"/>
        <v/>
      </c>
      <c r="Z217" s="150"/>
      <c r="AA217" s="27" t="str">
        <f t="shared" si="48"/>
        <v/>
      </c>
      <c r="AB217" s="150"/>
      <c r="AC217" s="27" t="str">
        <f t="shared" si="49"/>
        <v/>
      </c>
      <c r="AD217" s="150"/>
      <c r="AE217" s="27" t="str">
        <f t="shared" si="50"/>
        <v/>
      </c>
      <c r="AF217" s="48" t="str">
        <f t="shared" si="51"/>
        <v/>
      </c>
      <c r="AG217" s="48" t="str">
        <f t="shared" si="52"/>
        <v/>
      </c>
      <c r="AH217" s="131"/>
      <c r="AI217" s="149" t="str">
        <f t="shared" si="53"/>
        <v>Débil</v>
      </c>
      <c r="AJ217" s="21" t="str">
        <f>IFERROR(VLOOKUP((CONCATENATE(AG217,AI217)),Listados!$U$3:$V$11,2,FALSE),"")</f>
        <v/>
      </c>
      <c r="AK217" s="48">
        <f t="shared" si="54"/>
        <v>100</v>
      </c>
      <c r="AL217" s="430">
        <f>AVERAGE(AK217:AK222)</f>
        <v>100</v>
      </c>
      <c r="AM217" s="432" t="str">
        <f>IF(AL217&lt;=50, "Débil", IF(AL217&lt;=99,"Moderado","Fuerte"))</f>
        <v>Fuerte</v>
      </c>
      <c r="AN217" s="169">
        <f>+IF(AND(Q217="Preventivo",AM217="Fuerte"),2,IF(AND(Q217="Preventivo",AM217="Moderado"),1,0))</f>
        <v>2</v>
      </c>
      <c r="AO217" s="169">
        <f t="shared" si="55"/>
        <v>1</v>
      </c>
      <c r="AP217" s="169">
        <f>+K217-AN217</f>
        <v>2</v>
      </c>
      <c r="AQ217" s="169">
        <f>+M217-AO217</f>
        <v>3</v>
      </c>
      <c r="AR217" s="421" t="str">
        <f>+VLOOKUP(MIN(AP217,AP218,AP219,AP220,AP221,AP222),Listados!$J$18:$K$24,2,TRUE)</f>
        <v>Improbable</v>
      </c>
      <c r="AS217" s="421" t="str">
        <f>+VLOOKUP(MIN(AQ217,AQ218,AQ219,AQ220,AQ221,AQ222),Listados!$J$27:$K$32,2,TRUE)</f>
        <v>Menor</v>
      </c>
      <c r="AT217" s="421" t="str">
        <f>IF(AND(AR217&lt;&gt;"",AS217&lt;&gt;""),VLOOKUP(AR217&amp;AS217,Listados!$M$3:$N$27,2,FALSE),"")</f>
        <v>Bajo</v>
      </c>
      <c r="AU217" s="421" t="str">
        <f>+VLOOKUP(AT217,Listados!$P$3:$Q$6,2,FALSE)</f>
        <v>Asumir el riesgo</v>
      </c>
      <c r="AV217" s="387"/>
      <c r="AW217" s="388"/>
      <c r="AX217" s="389"/>
      <c r="AY217" s="387"/>
      <c r="AZ217" s="388"/>
      <c r="BA217" s="389"/>
      <c r="BB217" s="387"/>
      <c r="BC217" s="388"/>
      <c r="BD217" s="389"/>
    </row>
    <row r="218" spans="1:56" ht="171.75" thickBot="1">
      <c r="A218" s="405"/>
      <c r="B218" s="407"/>
      <c r="C218" s="408"/>
      <c r="D218" s="409"/>
      <c r="E218" s="164"/>
      <c r="F218" s="164"/>
      <c r="G218" s="165" t="s">
        <v>478</v>
      </c>
      <c r="H218" s="165" t="s">
        <v>16</v>
      </c>
      <c r="I218" s="165" t="s">
        <v>479</v>
      </c>
      <c r="J218" s="407"/>
      <c r="K218" s="425"/>
      <c r="L218" s="428"/>
      <c r="M218" s="425"/>
      <c r="N218" s="435"/>
      <c r="O218" s="165" t="s">
        <v>480</v>
      </c>
      <c r="P218" s="165" t="s">
        <v>478</v>
      </c>
      <c r="Q218" s="165" t="s">
        <v>20</v>
      </c>
      <c r="R218" s="172"/>
      <c r="S218" s="27" t="str">
        <f t="shared" si="44"/>
        <v/>
      </c>
      <c r="T218" s="172"/>
      <c r="U218" s="27" t="str">
        <f t="shared" si="45"/>
        <v/>
      </c>
      <c r="V218" s="150"/>
      <c r="W218" s="27" t="str">
        <f t="shared" si="46"/>
        <v/>
      </c>
      <c r="X218" s="150"/>
      <c r="Y218" s="27" t="str">
        <f t="shared" si="47"/>
        <v/>
      </c>
      <c r="Z218" s="150"/>
      <c r="AA218" s="27" t="str">
        <f t="shared" si="48"/>
        <v/>
      </c>
      <c r="AB218" s="150"/>
      <c r="AC218" s="27" t="str">
        <f t="shared" si="49"/>
        <v/>
      </c>
      <c r="AD218" s="150"/>
      <c r="AE218" s="27" t="str">
        <f t="shared" si="50"/>
        <v/>
      </c>
      <c r="AF218" s="48" t="str">
        <f t="shared" si="51"/>
        <v/>
      </c>
      <c r="AG218" s="48" t="str">
        <f t="shared" si="52"/>
        <v/>
      </c>
      <c r="AH218" s="131"/>
      <c r="AI218" s="149" t="str">
        <f t="shared" si="53"/>
        <v>Débil</v>
      </c>
      <c r="AJ218" s="21" t="str">
        <f>IFERROR(VLOOKUP((CONCATENATE(AG218,AI218)),Listados!$U$3:$V$11,2,FALSE),"")</f>
        <v/>
      </c>
      <c r="AK218" s="48">
        <f t="shared" si="54"/>
        <v>100</v>
      </c>
      <c r="AL218" s="431"/>
      <c r="AM218" s="433"/>
      <c r="AN218" s="169">
        <f>+IF(AND(Q218="Preventivo",AM217="Fuerte"),2,IF(AND(Q218="Preventivo",AM217="Moderado"),1,0))</f>
        <v>2</v>
      </c>
      <c r="AO218" s="169">
        <f t="shared" si="55"/>
        <v>1</v>
      </c>
      <c r="AP218" s="169">
        <f>+K217-AN218</f>
        <v>2</v>
      </c>
      <c r="AQ218" s="169">
        <f>+M217-AO218</f>
        <v>3</v>
      </c>
      <c r="AR218" s="422"/>
      <c r="AS218" s="422"/>
      <c r="AT218" s="422"/>
      <c r="AU218" s="422"/>
      <c r="AV218" s="387"/>
      <c r="AW218" s="388"/>
      <c r="AX218" s="389"/>
      <c r="AY218" s="387"/>
      <c r="AZ218" s="388"/>
      <c r="BA218" s="389"/>
      <c r="BB218" s="387"/>
      <c r="BC218" s="388"/>
      <c r="BD218" s="389"/>
    </row>
    <row r="219" spans="1:56" ht="143.25" thickBot="1">
      <c r="A219" s="405"/>
      <c r="B219" s="407"/>
      <c r="C219" s="408"/>
      <c r="D219" s="409"/>
      <c r="E219" s="164"/>
      <c r="F219" s="164"/>
      <c r="G219" s="165" t="s">
        <v>481</v>
      </c>
      <c r="H219" s="165" t="s">
        <v>16</v>
      </c>
      <c r="I219" s="165" t="s">
        <v>482</v>
      </c>
      <c r="J219" s="407"/>
      <c r="K219" s="425"/>
      <c r="L219" s="428"/>
      <c r="M219" s="425"/>
      <c r="N219" s="435"/>
      <c r="O219" s="165" t="s">
        <v>483</v>
      </c>
      <c r="P219" s="165" t="s">
        <v>481</v>
      </c>
      <c r="Q219" s="165" t="s">
        <v>123</v>
      </c>
      <c r="R219" s="172"/>
      <c r="S219" s="27" t="str">
        <f t="shared" si="44"/>
        <v/>
      </c>
      <c r="T219" s="172"/>
      <c r="U219" s="27" t="str">
        <f t="shared" si="45"/>
        <v/>
      </c>
      <c r="V219" s="150"/>
      <c r="W219" s="27" t="str">
        <f t="shared" si="46"/>
        <v/>
      </c>
      <c r="X219" s="150"/>
      <c r="Y219" s="27" t="str">
        <f t="shared" si="47"/>
        <v/>
      </c>
      <c r="Z219" s="150"/>
      <c r="AA219" s="27" t="str">
        <f t="shared" si="48"/>
        <v/>
      </c>
      <c r="AB219" s="150"/>
      <c r="AC219" s="27" t="str">
        <f t="shared" si="49"/>
        <v/>
      </c>
      <c r="AD219" s="150"/>
      <c r="AE219" s="27" t="str">
        <f t="shared" si="50"/>
        <v/>
      </c>
      <c r="AF219" s="48" t="str">
        <f t="shared" si="51"/>
        <v/>
      </c>
      <c r="AG219" s="48" t="str">
        <f t="shared" si="52"/>
        <v/>
      </c>
      <c r="AH219" s="131"/>
      <c r="AI219" s="149" t="str">
        <f t="shared" si="53"/>
        <v>Débil</v>
      </c>
      <c r="AJ219" s="21" t="str">
        <f>IFERROR(VLOOKUP((CONCATENATE(AG219,AI219)),Listados!$U$3:$V$11,2,FALSE),"")</f>
        <v/>
      </c>
      <c r="AK219" s="48">
        <f t="shared" si="54"/>
        <v>100</v>
      </c>
      <c r="AL219" s="431"/>
      <c r="AM219" s="433"/>
      <c r="AN219" s="169">
        <f>+IF(AND(Q219="Preventivo",AM217="Fuerte"),2,IF(AND(Q219="Preventivo",AM217="Moderado"),1,0))</f>
        <v>0</v>
      </c>
      <c r="AO219" s="169">
        <f t="shared" si="55"/>
        <v>2</v>
      </c>
      <c r="AP219" s="169">
        <f>+K217-AN219</f>
        <v>4</v>
      </c>
      <c r="AQ219" s="169">
        <f>+M217-AO219</f>
        <v>2</v>
      </c>
      <c r="AR219" s="422"/>
      <c r="AS219" s="422"/>
      <c r="AT219" s="422"/>
      <c r="AU219" s="422"/>
      <c r="AV219" s="387"/>
      <c r="AW219" s="388"/>
      <c r="AX219" s="389"/>
      <c r="AY219" s="387"/>
      <c r="AZ219" s="388"/>
      <c r="BA219" s="389"/>
      <c r="BB219" s="387"/>
      <c r="BC219" s="388"/>
      <c r="BD219" s="389"/>
    </row>
    <row r="220" spans="1:56" ht="129" thickBot="1">
      <c r="A220" s="405"/>
      <c r="B220" s="407"/>
      <c r="C220" s="408"/>
      <c r="D220" s="409"/>
      <c r="E220" s="164"/>
      <c r="F220" s="164"/>
      <c r="G220" s="165"/>
      <c r="H220" s="165"/>
      <c r="I220" s="165" t="s">
        <v>471</v>
      </c>
      <c r="J220" s="407"/>
      <c r="K220" s="425"/>
      <c r="L220" s="428"/>
      <c r="M220" s="425"/>
      <c r="N220" s="435"/>
      <c r="O220" s="165" t="s">
        <v>484</v>
      </c>
      <c r="P220" s="165" t="s">
        <v>481</v>
      </c>
      <c r="Q220" s="165" t="s">
        <v>20</v>
      </c>
      <c r="R220" s="172"/>
      <c r="S220" s="27" t="str">
        <f t="shared" si="44"/>
        <v/>
      </c>
      <c r="T220" s="172"/>
      <c r="U220" s="27" t="str">
        <f t="shared" si="45"/>
        <v/>
      </c>
      <c r="V220" s="150"/>
      <c r="W220" s="27" t="str">
        <f t="shared" si="46"/>
        <v/>
      </c>
      <c r="X220" s="150"/>
      <c r="Y220" s="27" t="str">
        <f t="shared" si="47"/>
        <v/>
      </c>
      <c r="Z220" s="150"/>
      <c r="AA220" s="27" t="str">
        <f t="shared" si="48"/>
        <v/>
      </c>
      <c r="AB220" s="150"/>
      <c r="AC220" s="27" t="str">
        <f t="shared" si="49"/>
        <v/>
      </c>
      <c r="AD220" s="150"/>
      <c r="AE220" s="27" t="str">
        <f t="shared" si="50"/>
        <v/>
      </c>
      <c r="AF220" s="48" t="str">
        <f t="shared" si="51"/>
        <v/>
      </c>
      <c r="AG220" s="48" t="str">
        <f t="shared" si="52"/>
        <v/>
      </c>
      <c r="AH220" s="131"/>
      <c r="AI220" s="149" t="str">
        <f t="shared" si="53"/>
        <v>Débil</v>
      </c>
      <c r="AJ220" s="21" t="str">
        <f>IFERROR(VLOOKUP((CONCATENATE(AG220,AI220)),Listados!$U$3:$V$11,2,FALSE),"")</f>
        <v/>
      </c>
      <c r="AK220" s="48">
        <f t="shared" si="54"/>
        <v>100</v>
      </c>
      <c r="AL220" s="431"/>
      <c r="AM220" s="433"/>
      <c r="AN220" s="169">
        <f>+IF(AND(Q220="Preventivo",AM217="Fuerte"),2,IF(AND(Q220="Preventivo",AM217="Moderado"),1,0))</f>
        <v>2</v>
      </c>
      <c r="AO220" s="169">
        <f t="shared" si="55"/>
        <v>1</v>
      </c>
      <c r="AP220" s="169">
        <f>+K217-AN220</f>
        <v>2</v>
      </c>
      <c r="AQ220" s="169">
        <f>+M217-AO220</f>
        <v>3</v>
      </c>
      <c r="AR220" s="422"/>
      <c r="AS220" s="422"/>
      <c r="AT220" s="422"/>
      <c r="AU220" s="422"/>
      <c r="AV220" s="387"/>
      <c r="AW220" s="388"/>
      <c r="AX220" s="389"/>
      <c r="AY220" s="387"/>
      <c r="AZ220" s="388"/>
      <c r="BA220" s="389"/>
      <c r="BB220" s="387"/>
      <c r="BC220" s="388"/>
      <c r="BD220" s="389"/>
    </row>
    <row r="221" spans="1:56" ht="15.75" thickBot="1">
      <c r="A221" s="405"/>
      <c r="B221" s="407"/>
      <c r="C221" s="408"/>
      <c r="D221" s="409"/>
      <c r="E221" s="164"/>
      <c r="F221" s="164"/>
      <c r="G221" s="165"/>
      <c r="H221" s="165"/>
      <c r="I221" s="165"/>
      <c r="J221" s="407"/>
      <c r="K221" s="425"/>
      <c r="L221" s="428"/>
      <c r="M221" s="425"/>
      <c r="N221" s="435"/>
      <c r="O221" s="164"/>
      <c r="P221" s="166"/>
      <c r="Q221" s="166"/>
      <c r="R221" s="172"/>
      <c r="S221" s="27" t="str">
        <f t="shared" si="44"/>
        <v/>
      </c>
      <c r="T221" s="172"/>
      <c r="U221" s="27" t="str">
        <f t="shared" si="45"/>
        <v/>
      </c>
      <c r="V221" s="150"/>
      <c r="W221" s="27" t="str">
        <f t="shared" si="46"/>
        <v/>
      </c>
      <c r="X221" s="150"/>
      <c r="Y221" s="27" t="str">
        <f t="shared" si="47"/>
        <v/>
      </c>
      <c r="Z221" s="150"/>
      <c r="AA221" s="27" t="str">
        <f t="shared" si="48"/>
        <v/>
      </c>
      <c r="AB221" s="150"/>
      <c r="AC221" s="27" t="str">
        <f t="shared" si="49"/>
        <v/>
      </c>
      <c r="AD221" s="150"/>
      <c r="AE221" s="27" t="str">
        <f t="shared" si="50"/>
        <v/>
      </c>
      <c r="AF221" s="48" t="str">
        <f t="shared" si="51"/>
        <v/>
      </c>
      <c r="AG221" s="48" t="str">
        <f t="shared" si="52"/>
        <v/>
      </c>
      <c r="AH221" s="131"/>
      <c r="AI221" s="149" t="str">
        <f t="shared" si="53"/>
        <v>Débil</v>
      </c>
      <c r="AJ221" s="21" t="str">
        <f>IFERROR(VLOOKUP((CONCATENATE(AG221,AI221)),Listados!$U$3:$V$11,2,FALSE),"")</f>
        <v/>
      </c>
      <c r="AK221" s="48">
        <f t="shared" si="54"/>
        <v>100</v>
      </c>
      <c r="AL221" s="431"/>
      <c r="AM221" s="433"/>
      <c r="AN221" s="169">
        <f>+IF(AND(Q221="Preventivo",AM217="Fuerte"),2,IF(AND(Q221="Preventivo",AM217="Moderado"),1,0))</f>
        <v>0</v>
      </c>
      <c r="AO221" s="169">
        <f t="shared" si="55"/>
        <v>0</v>
      </c>
      <c r="AP221" s="169">
        <f>+K217-AN221</f>
        <v>4</v>
      </c>
      <c r="AQ221" s="169">
        <f>+M217-AO221</f>
        <v>4</v>
      </c>
      <c r="AR221" s="422"/>
      <c r="AS221" s="422"/>
      <c r="AT221" s="422"/>
      <c r="AU221" s="422"/>
      <c r="AV221" s="387"/>
      <c r="AW221" s="388"/>
      <c r="AX221" s="389"/>
      <c r="AY221" s="387"/>
      <c r="AZ221" s="388"/>
      <c r="BA221" s="389"/>
      <c r="BB221" s="387"/>
      <c r="BC221" s="388"/>
      <c r="BD221" s="389"/>
    </row>
    <row r="222" spans="1:56" ht="15.75" thickBot="1">
      <c r="A222" s="406"/>
      <c r="B222" s="407"/>
      <c r="C222" s="408"/>
      <c r="D222" s="409"/>
      <c r="E222" s="164"/>
      <c r="F222" s="164"/>
      <c r="G222" s="165"/>
      <c r="H222" s="165"/>
      <c r="I222" s="165"/>
      <c r="J222" s="407"/>
      <c r="K222" s="426"/>
      <c r="L222" s="428"/>
      <c r="M222" s="426"/>
      <c r="N222" s="435"/>
      <c r="O222" s="164"/>
      <c r="P222" s="166"/>
      <c r="Q222" s="166"/>
      <c r="R222" s="172"/>
      <c r="S222" s="27" t="str">
        <f t="shared" si="44"/>
        <v/>
      </c>
      <c r="T222" s="172"/>
      <c r="U222" s="27" t="str">
        <f t="shared" si="45"/>
        <v/>
      </c>
      <c r="V222" s="150"/>
      <c r="W222" s="27" t="str">
        <f t="shared" si="46"/>
        <v/>
      </c>
      <c r="X222" s="150"/>
      <c r="Y222" s="27" t="str">
        <f t="shared" si="47"/>
        <v/>
      </c>
      <c r="Z222" s="150"/>
      <c r="AA222" s="27" t="str">
        <f t="shared" si="48"/>
        <v/>
      </c>
      <c r="AB222" s="150"/>
      <c r="AC222" s="27" t="str">
        <f t="shared" si="49"/>
        <v/>
      </c>
      <c r="AD222" s="150"/>
      <c r="AE222" s="27" t="str">
        <f t="shared" si="50"/>
        <v/>
      </c>
      <c r="AF222" s="48" t="str">
        <f t="shared" si="51"/>
        <v/>
      </c>
      <c r="AG222" s="48" t="str">
        <f t="shared" si="52"/>
        <v/>
      </c>
      <c r="AH222" s="131"/>
      <c r="AI222" s="149" t="str">
        <f t="shared" si="53"/>
        <v>Débil</v>
      </c>
      <c r="AJ222" s="21" t="str">
        <f>IFERROR(VLOOKUP((CONCATENATE(AG222,AI222)),Listados!$U$3:$V$11,2,FALSE),"")</f>
        <v/>
      </c>
      <c r="AK222" s="48">
        <f t="shared" si="54"/>
        <v>100</v>
      </c>
      <c r="AL222" s="432"/>
      <c r="AM222" s="433"/>
      <c r="AN222" s="169">
        <f>+IF(AND(Q222="Preventivo",AM217="Fuerte"),2,IF(AND(Q222="Preventivo",AM217="Moderado"),1,0))</f>
        <v>0</v>
      </c>
      <c r="AO222" s="169">
        <f t="shared" si="55"/>
        <v>0</v>
      </c>
      <c r="AP222" s="169">
        <f>+K217-AN222</f>
        <v>4</v>
      </c>
      <c r="AQ222" s="169">
        <f>+M217-AO222</f>
        <v>4</v>
      </c>
      <c r="AR222" s="423"/>
      <c r="AS222" s="423"/>
      <c r="AT222" s="423"/>
      <c r="AU222" s="423"/>
      <c r="AV222" s="387"/>
      <c r="AW222" s="388"/>
      <c r="AX222" s="389"/>
      <c r="AY222" s="387"/>
      <c r="AZ222" s="388"/>
      <c r="BA222" s="389"/>
      <c r="BB222" s="387"/>
      <c r="BC222" s="388"/>
      <c r="BD222" s="389"/>
    </row>
    <row r="223" spans="1:56" ht="285.75" thickBot="1">
      <c r="A223" s="404">
        <v>37</v>
      </c>
      <c r="B223" s="407" t="s">
        <v>101</v>
      </c>
      <c r="C223" s="408"/>
      <c r="D223" s="409" t="s">
        <v>485</v>
      </c>
      <c r="E223" s="164" t="s">
        <v>29</v>
      </c>
      <c r="F223" s="164"/>
      <c r="G223" s="165" t="s">
        <v>486</v>
      </c>
      <c r="H223" s="165" t="s">
        <v>16</v>
      </c>
      <c r="I223" s="165" t="s">
        <v>487</v>
      </c>
      <c r="J223" s="407" t="s">
        <v>31</v>
      </c>
      <c r="K223" s="424">
        <f>+VLOOKUP(J223,Listados!$K$8:$L$12,2,0)</f>
        <v>2</v>
      </c>
      <c r="L223" s="427" t="s">
        <v>32</v>
      </c>
      <c r="M223" s="424">
        <f>+VLOOKUP(L223,Listados!$K$13:$L$17,2,0)</f>
        <v>2</v>
      </c>
      <c r="N223" s="434" t="str">
        <f>IF(AND(J223&lt;&gt;"",L223&lt;&gt;""),VLOOKUP(J223&amp;L223,Listados!$M$3:$N$27,2,FALSE),"")</f>
        <v>Bajo</v>
      </c>
      <c r="O223" s="165" t="s">
        <v>488</v>
      </c>
      <c r="P223" s="165" t="s">
        <v>486</v>
      </c>
      <c r="Q223" s="165" t="s">
        <v>20</v>
      </c>
      <c r="R223" s="172"/>
      <c r="S223" s="27" t="str">
        <f t="shared" si="44"/>
        <v/>
      </c>
      <c r="T223" s="172"/>
      <c r="U223" s="27" t="str">
        <f t="shared" si="45"/>
        <v/>
      </c>
      <c r="V223" s="150"/>
      <c r="W223" s="27" t="str">
        <f t="shared" si="46"/>
        <v/>
      </c>
      <c r="X223" s="150"/>
      <c r="Y223" s="27" t="str">
        <f t="shared" si="47"/>
        <v/>
      </c>
      <c r="Z223" s="150"/>
      <c r="AA223" s="27" t="str">
        <f t="shared" si="48"/>
        <v/>
      </c>
      <c r="AB223" s="150"/>
      <c r="AC223" s="27" t="str">
        <f t="shared" si="49"/>
        <v/>
      </c>
      <c r="AD223" s="150"/>
      <c r="AE223" s="27" t="str">
        <f t="shared" si="50"/>
        <v/>
      </c>
      <c r="AF223" s="48" t="str">
        <f t="shared" si="51"/>
        <v/>
      </c>
      <c r="AG223" s="48" t="str">
        <f t="shared" si="52"/>
        <v/>
      </c>
      <c r="AH223" s="131"/>
      <c r="AI223" s="149" t="str">
        <f t="shared" si="53"/>
        <v>Débil</v>
      </c>
      <c r="AJ223" s="21" t="str">
        <f>IFERROR(VLOOKUP((CONCATENATE(AG223,AI223)),Listados!$U$3:$V$11,2,FALSE),"")</f>
        <v/>
      </c>
      <c r="AK223" s="48">
        <f t="shared" si="54"/>
        <v>100</v>
      </c>
      <c r="AL223" s="430">
        <f>AVERAGE(AK223:AK228)</f>
        <v>100</v>
      </c>
      <c r="AM223" s="432" t="str">
        <f>IF(AL223&lt;=50, "Débil", IF(AL223&lt;=99,"Moderado","Fuerte"))</f>
        <v>Fuerte</v>
      </c>
      <c r="AN223" s="169">
        <f>+IF(AND(Q223="Preventivo",AM223="Fuerte"),2,IF(AND(Q223="Preventivo",AM223="Moderado"),1,0))</f>
        <v>2</v>
      </c>
      <c r="AO223" s="169">
        <f t="shared" si="55"/>
        <v>1</v>
      </c>
      <c r="AP223" s="169">
        <f>+K223-AN223</f>
        <v>0</v>
      </c>
      <c r="AQ223" s="169">
        <f>+M223-AO223</f>
        <v>1</v>
      </c>
      <c r="AR223" s="421" t="str">
        <f>+VLOOKUP(MIN(AP223,AP224,AP225,AP226,AP227,AP228),Listados!$J$18:$K$24,2,TRUE)</f>
        <v>Rara Vez</v>
      </c>
      <c r="AS223" s="421" t="str">
        <f>+VLOOKUP(MIN(AQ223,AQ224,AQ225,AQ226,AQ227,AQ228),Listados!$J$27:$K$32,2,TRUE)</f>
        <v>Insignificante</v>
      </c>
      <c r="AT223" s="421" t="str">
        <f>IF(AND(AR223&lt;&gt;"",AS223&lt;&gt;""),VLOOKUP(AR223&amp;AS223,Listados!$M$3:$N$27,2,FALSE),"")</f>
        <v>Bajo</v>
      </c>
      <c r="AU223" s="421" t="str">
        <f>+VLOOKUP(AT223,Listados!$P$3:$Q$6,2,FALSE)</f>
        <v>Asumir el riesgo</v>
      </c>
      <c r="AV223" s="387"/>
      <c r="AW223" s="388"/>
      <c r="AX223" s="389"/>
      <c r="AY223" s="387"/>
      <c r="AZ223" s="388"/>
      <c r="BA223" s="389"/>
      <c r="BB223" s="387"/>
      <c r="BC223" s="388"/>
      <c r="BD223" s="389"/>
    </row>
    <row r="224" spans="1:56" ht="15.75" thickBot="1">
      <c r="A224" s="405"/>
      <c r="B224" s="407"/>
      <c r="C224" s="408"/>
      <c r="D224" s="409"/>
      <c r="E224" s="164"/>
      <c r="F224" s="164"/>
      <c r="G224" s="165"/>
      <c r="H224" s="165"/>
      <c r="I224" s="165"/>
      <c r="J224" s="407"/>
      <c r="K224" s="425"/>
      <c r="L224" s="428"/>
      <c r="M224" s="425"/>
      <c r="N224" s="435"/>
      <c r="O224" s="164"/>
      <c r="P224" s="164"/>
      <c r="Q224" s="165"/>
      <c r="R224" s="172"/>
      <c r="S224" s="27" t="str">
        <f t="shared" si="44"/>
        <v/>
      </c>
      <c r="T224" s="172"/>
      <c r="U224" s="27" t="str">
        <f t="shared" si="45"/>
        <v/>
      </c>
      <c r="V224" s="150"/>
      <c r="W224" s="27" t="str">
        <f t="shared" si="46"/>
        <v/>
      </c>
      <c r="X224" s="150"/>
      <c r="Y224" s="27" t="str">
        <f t="shared" si="47"/>
        <v/>
      </c>
      <c r="Z224" s="150"/>
      <c r="AA224" s="27" t="str">
        <f t="shared" si="48"/>
        <v/>
      </c>
      <c r="AB224" s="150"/>
      <c r="AC224" s="27" t="str">
        <f t="shared" si="49"/>
        <v/>
      </c>
      <c r="AD224" s="150"/>
      <c r="AE224" s="27" t="str">
        <f t="shared" si="50"/>
        <v/>
      </c>
      <c r="AF224" s="48" t="str">
        <f t="shared" si="51"/>
        <v/>
      </c>
      <c r="AG224" s="48" t="str">
        <f t="shared" si="52"/>
        <v/>
      </c>
      <c r="AH224" s="131"/>
      <c r="AI224" s="149" t="str">
        <f t="shared" si="53"/>
        <v>Débil</v>
      </c>
      <c r="AJ224" s="21" t="str">
        <f>IFERROR(VLOOKUP((CONCATENATE(AG224,AI224)),Listados!$U$3:$V$11,2,FALSE),"")</f>
        <v/>
      </c>
      <c r="AK224" s="48">
        <f t="shared" si="54"/>
        <v>100</v>
      </c>
      <c r="AL224" s="431"/>
      <c r="AM224" s="433"/>
      <c r="AN224" s="169">
        <f>+IF(AND(Q224="Preventivo",AM223="Fuerte"),2,IF(AND(Q224="Preventivo",AM223="Moderado"),1,0))</f>
        <v>0</v>
      </c>
      <c r="AO224" s="169">
        <f t="shared" si="55"/>
        <v>0</v>
      </c>
      <c r="AP224" s="169">
        <f>+K223-AN224</f>
        <v>2</v>
      </c>
      <c r="AQ224" s="169">
        <f>+M223-AO224</f>
        <v>2</v>
      </c>
      <c r="AR224" s="422"/>
      <c r="AS224" s="422"/>
      <c r="AT224" s="422"/>
      <c r="AU224" s="422"/>
      <c r="AV224" s="387"/>
      <c r="AW224" s="388"/>
      <c r="AX224" s="389"/>
      <c r="AY224" s="387"/>
      <c r="AZ224" s="388"/>
      <c r="BA224" s="389"/>
      <c r="BB224" s="387"/>
      <c r="BC224" s="388"/>
      <c r="BD224" s="389"/>
    </row>
    <row r="225" spans="1:56" ht="15.75" thickBot="1">
      <c r="A225" s="405"/>
      <c r="B225" s="407"/>
      <c r="C225" s="408"/>
      <c r="D225" s="409"/>
      <c r="E225" s="164"/>
      <c r="F225" s="164"/>
      <c r="G225" s="165"/>
      <c r="H225" s="165"/>
      <c r="I225" s="165"/>
      <c r="J225" s="407"/>
      <c r="K225" s="425"/>
      <c r="L225" s="428"/>
      <c r="M225" s="425"/>
      <c r="N225" s="435"/>
      <c r="O225" s="164"/>
      <c r="P225" s="164"/>
      <c r="Q225" s="165"/>
      <c r="R225" s="172"/>
      <c r="S225" s="27" t="str">
        <f t="shared" si="44"/>
        <v/>
      </c>
      <c r="T225" s="172"/>
      <c r="U225" s="27" t="str">
        <f t="shared" si="45"/>
        <v/>
      </c>
      <c r="V225" s="150"/>
      <c r="W225" s="27" t="str">
        <f t="shared" si="46"/>
        <v/>
      </c>
      <c r="X225" s="150"/>
      <c r="Y225" s="27" t="str">
        <f t="shared" si="47"/>
        <v/>
      </c>
      <c r="Z225" s="150"/>
      <c r="AA225" s="27" t="str">
        <f t="shared" si="48"/>
        <v/>
      </c>
      <c r="AB225" s="150"/>
      <c r="AC225" s="27" t="str">
        <f t="shared" si="49"/>
        <v/>
      </c>
      <c r="AD225" s="150"/>
      <c r="AE225" s="27" t="str">
        <f t="shared" si="50"/>
        <v/>
      </c>
      <c r="AF225" s="48" t="str">
        <f t="shared" si="51"/>
        <v/>
      </c>
      <c r="AG225" s="48" t="str">
        <f t="shared" si="52"/>
        <v/>
      </c>
      <c r="AH225" s="131"/>
      <c r="AI225" s="149" t="str">
        <f t="shared" si="53"/>
        <v>Débil</v>
      </c>
      <c r="AJ225" s="21" t="str">
        <f>IFERROR(VLOOKUP((CONCATENATE(AG225,AI225)),Listados!$U$3:$V$11,2,FALSE),"")</f>
        <v/>
      </c>
      <c r="AK225" s="48">
        <f t="shared" si="54"/>
        <v>100</v>
      </c>
      <c r="AL225" s="431"/>
      <c r="AM225" s="433"/>
      <c r="AN225" s="169">
        <f>+IF(AND(Q225="Preventivo",AM223="Fuerte"),2,IF(AND(Q225="Preventivo",AM223="Moderado"),1,0))</f>
        <v>0</v>
      </c>
      <c r="AO225" s="169">
        <f t="shared" si="55"/>
        <v>0</v>
      </c>
      <c r="AP225" s="169">
        <f>+K223-AN225</f>
        <v>2</v>
      </c>
      <c r="AQ225" s="169">
        <f>+M223-AO225</f>
        <v>2</v>
      </c>
      <c r="AR225" s="422"/>
      <c r="AS225" s="422"/>
      <c r="AT225" s="422"/>
      <c r="AU225" s="422"/>
      <c r="AV225" s="387"/>
      <c r="AW225" s="388"/>
      <c r="AX225" s="389"/>
      <c r="AY225" s="387"/>
      <c r="AZ225" s="388"/>
      <c r="BA225" s="389"/>
      <c r="BB225" s="387"/>
      <c r="BC225" s="388"/>
      <c r="BD225" s="389"/>
    </row>
    <row r="226" spans="1:56" ht="15.75" thickBot="1">
      <c r="A226" s="405"/>
      <c r="B226" s="407"/>
      <c r="C226" s="408"/>
      <c r="D226" s="409"/>
      <c r="E226" s="164"/>
      <c r="F226" s="164"/>
      <c r="G226" s="165"/>
      <c r="H226" s="165"/>
      <c r="I226" s="165"/>
      <c r="J226" s="407"/>
      <c r="K226" s="425"/>
      <c r="L226" s="428"/>
      <c r="M226" s="425"/>
      <c r="N226" s="435"/>
      <c r="O226" s="164"/>
      <c r="P226" s="166"/>
      <c r="Q226" s="166"/>
      <c r="R226" s="172"/>
      <c r="S226" s="27" t="str">
        <f t="shared" si="44"/>
        <v/>
      </c>
      <c r="T226" s="172"/>
      <c r="U226" s="27" t="str">
        <f t="shared" si="45"/>
        <v/>
      </c>
      <c r="V226" s="150"/>
      <c r="W226" s="27" t="str">
        <f t="shared" si="46"/>
        <v/>
      </c>
      <c r="X226" s="150"/>
      <c r="Y226" s="27" t="str">
        <f t="shared" si="47"/>
        <v/>
      </c>
      <c r="Z226" s="150"/>
      <c r="AA226" s="27" t="str">
        <f t="shared" si="48"/>
        <v/>
      </c>
      <c r="AB226" s="150"/>
      <c r="AC226" s="27" t="str">
        <f t="shared" si="49"/>
        <v/>
      </c>
      <c r="AD226" s="150"/>
      <c r="AE226" s="27" t="str">
        <f t="shared" si="50"/>
        <v/>
      </c>
      <c r="AF226" s="48" t="str">
        <f t="shared" si="51"/>
        <v/>
      </c>
      <c r="AG226" s="48" t="str">
        <f t="shared" si="52"/>
        <v/>
      </c>
      <c r="AH226" s="131"/>
      <c r="AI226" s="149" t="str">
        <f t="shared" si="53"/>
        <v>Débil</v>
      </c>
      <c r="AJ226" s="21" t="str">
        <f>IFERROR(VLOOKUP((CONCATENATE(AG226,AI226)),Listados!$U$3:$V$11,2,FALSE),"")</f>
        <v/>
      </c>
      <c r="AK226" s="48">
        <f t="shared" si="54"/>
        <v>100</v>
      </c>
      <c r="AL226" s="431"/>
      <c r="AM226" s="433"/>
      <c r="AN226" s="169">
        <f>+IF(AND(Q226="Preventivo",AM223="Fuerte"),2,IF(AND(Q226="Preventivo",AM223="Moderado"),1,0))</f>
        <v>0</v>
      </c>
      <c r="AO226" s="169">
        <f t="shared" si="55"/>
        <v>0</v>
      </c>
      <c r="AP226" s="169">
        <f>+K223-AN226</f>
        <v>2</v>
      </c>
      <c r="AQ226" s="169">
        <f>+M223-AO226</f>
        <v>2</v>
      </c>
      <c r="AR226" s="422"/>
      <c r="AS226" s="422"/>
      <c r="AT226" s="422"/>
      <c r="AU226" s="422"/>
      <c r="AV226" s="387"/>
      <c r="AW226" s="388"/>
      <c r="AX226" s="389"/>
      <c r="AY226" s="387"/>
      <c r="AZ226" s="388"/>
      <c r="BA226" s="389"/>
      <c r="BB226" s="387"/>
      <c r="BC226" s="388"/>
      <c r="BD226" s="389"/>
    </row>
    <row r="227" spans="1:56" ht="15.75" thickBot="1">
      <c r="A227" s="405"/>
      <c r="B227" s="407"/>
      <c r="C227" s="408"/>
      <c r="D227" s="409"/>
      <c r="E227" s="164"/>
      <c r="F227" s="164"/>
      <c r="G227" s="165"/>
      <c r="H227" s="165"/>
      <c r="I227" s="165"/>
      <c r="J227" s="407"/>
      <c r="K227" s="425"/>
      <c r="L227" s="428"/>
      <c r="M227" s="425"/>
      <c r="N227" s="435"/>
      <c r="O227" s="164"/>
      <c r="P227" s="166"/>
      <c r="Q227" s="166"/>
      <c r="R227" s="172"/>
      <c r="S227" s="27" t="str">
        <f t="shared" si="44"/>
        <v/>
      </c>
      <c r="T227" s="172"/>
      <c r="U227" s="27" t="str">
        <f t="shared" si="45"/>
        <v/>
      </c>
      <c r="V227" s="150"/>
      <c r="W227" s="27" t="str">
        <f t="shared" si="46"/>
        <v/>
      </c>
      <c r="X227" s="150"/>
      <c r="Y227" s="27" t="str">
        <f t="shared" si="47"/>
        <v/>
      </c>
      <c r="Z227" s="150"/>
      <c r="AA227" s="27" t="str">
        <f t="shared" si="48"/>
        <v/>
      </c>
      <c r="AB227" s="150"/>
      <c r="AC227" s="27" t="str">
        <f t="shared" si="49"/>
        <v/>
      </c>
      <c r="AD227" s="150"/>
      <c r="AE227" s="27" t="str">
        <f t="shared" si="50"/>
        <v/>
      </c>
      <c r="AF227" s="48" t="str">
        <f t="shared" si="51"/>
        <v/>
      </c>
      <c r="AG227" s="48" t="str">
        <f t="shared" si="52"/>
        <v/>
      </c>
      <c r="AH227" s="131"/>
      <c r="AI227" s="149" t="str">
        <f t="shared" si="53"/>
        <v>Débil</v>
      </c>
      <c r="AJ227" s="21" t="str">
        <f>IFERROR(VLOOKUP((CONCATENATE(AG227,AI227)),Listados!$U$3:$V$11,2,FALSE),"")</f>
        <v/>
      </c>
      <c r="AK227" s="48">
        <f t="shared" si="54"/>
        <v>100</v>
      </c>
      <c r="AL227" s="431"/>
      <c r="AM227" s="433"/>
      <c r="AN227" s="169">
        <f>+IF(AND(Q227="Preventivo",AM223="Fuerte"),2,IF(AND(Q227="Preventivo",AM223="Moderado"),1,0))</f>
        <v>0</v>
      </c>
      <c r="AO227" s="169">
        <f t="shared" si="55"/>
        <v>0</v>
      </c>
      <c r="AP227" s="169">
        <f>+K223-AN227</f>
        <v>2</v>
      </c>
      <c r="AQ227" s="169">
        <f>+M223-AO227</f>
        <v>2</v>
      </c>
      <c r="AR227" s="422"/>
      <c r="AS227" s="422"/>
      <c r="AT227" s="422"/>
      <c r="AU227" s="422"/>
      <c r="AV227" s="387"/>
      <c r="AW227" s="388"/>
      <c r="AX227" s="389"/>
      <c r="AY227" s="387"/>
      <c r="AZ227" s="388"/>
      <c r="BA227" s="389"/>
      <c r="BB227" s="387"/>
      <c r="BC227" s="388"/>
      <c r="BD227" s="389"/>
    </row>
    <row r="228" spans="1:56" ht="15.75" thickBot="1">
      <c r="A228" s="406"/>
      <c r="B228" s="407"/>
      <c r="C228" s="408"/>
      <c r="D228" s="409"/>
      <c r="E228" s="164"/>
      <c r="F228" s="164"/>
      <c r="G228" s="165"/>
      <c r="H228" s="165"/>
      <c r="I228" s="165"/>
      <c r="J228" s="407"/>
      <c r="K228" s="426"/>
      <c r="L228" s="428"/>
      <c r="M228" s="426"/>
      <c r="N228" s="435"/>
      <c r="O228" s="164"/>
      <c r="P228" s="166"/>
      <c r="Q228" s="166"/>
      <c r="R228" s="172"/>
      <c r="S228" s="27" t="str">
        <f t="shared" si="44"/>
        <v/>
      </c>
      <c r="T228" s="172"/>
      <c r="U228" s="27" t="str">
        <f t="shared" si="45"/>
        <v/>
      </c>
      <c r="V228" s="150"/>
      <c r="W228" s="27" t="str">
        <f t="shared" si="46"/>
        <v/>
      </c>
      <c r="X228" s="150"/>
      <c r="Y228" s="27" t="str">
        <f t="shared" si="47"/>
        <v/>
      </c>
      <c r="Z228" s="150"/>
      <c r="AA228" s="27" t="str">
        <f t="shared" si="48"/>
        <v/>
      </c>
      <c r="AB228" s="150"/>
      <c r="AC228" s="27" t="str">
        <f t="shared" si="49"/>
        <v/>
      </c>
      <c r="AD228" s="150"/>
      <c r="AE228" s="27" t="str">
        <f t="shared" si="50"/>
        <v/>
      </c>
      <c r="AF228" s="48" t="str">
        <f t="shared" si="51"/>
        <v/>
      </c>
      <c r="AG228" s="48" t="str">
        <f t="shared" si="52"/>
        <v/>
      </c>
      <c r="AH228" s="131"/>
      <c r="AI228" s="149" t="str">
        <f t="shared" si="53"/>
        <v>Débil</v>
      </c>
      <c r="AJ228" s="21" t="str">
        <f>IFERROR(VLOOKUP((CONCATENATE(AG228,AI228)),Listados!$U$3:$V$11,2,FALSE),"")</f>
        <v/>
      </c>
      <c r="AK228" s="48">
        <f t="shared" si="54"/>
        <v>100</v>
      </c>
      <c r="AL228" s="432"/>
      <c r="AM228" s="433"/>
      <c r="AN228" s="169">
        <f>+IF(AND(Q228="Preventivo",AM223="Fuerte"),2,IF(AND(Q228="Preventivo",AM223="Moderado"),1,0))</f>
        <v>0</v>
      </c>
      <c r="AO228" s="169">
        <f t="shared" si="55"/>
        <v>0</v>
      </c>
      <c r="AP228" s="169">
        <f>+K223-AN228</f>
        <v>2</v>
      </c>
      <c r="AQ228" s="169">
        <f>+M223-AO228</f>
        <v>2</v>
      </c>
      <c r="AR228" s="423"/>
      <c r="AS228" s="423"/>
      <c r="AT228" s="423"/>
      <c r="AU228" s="423"/>
      <c r="AV228" s="387"/>
      <c r="AW228" s="388"/>
      <c r="AX228" s="389"/>
      <c r="AY228" s="387"/>
      <c r="AZ228" s="388"/>
      <c r="BA228" s="389"/>
      <c r="BB228" s="387"/>
      <c r="BC228" s="388"/>
      <c r="BD228" s="389"/>
    </row>
    <row r="229" spans="1:56" ht="110.25" customHeight="1" thickBot="1">
      <c r="A229" s="404">
        <v>38</v>
      </c>
      <c r="B229" s="407" t="s">
        <v>101</v>
      </c>
      <c r="C229" s="408"/>
      <c r="D229" s="409" t="s">
        <v>489</v>
      </c>
      <c r="E229" s="164" t="s">
        <v>15</v>
      </c>
      <c r="F229" s="164" t="s">
        <v>209</v>
      </c>
      <c r="G229" s="165" t="s">
        <v>475</v>
      </c>
      <c r="H229" s="165" t="s">
        <v>30</v>
      </c>
      <c r="I229" s="165" t="s">
        <v>476</v>
      </c>
      <c r="J229" s="407" t="s">
        <v>44</v>
      </c>
      <c r="K229" s="424">
        <f>+VLOOKUP(J229,Listados!$K$8:$L$12,2,0)</f>
        <v>3</v>
      </c>
      <c r="L229" s="427" t="s">
        <v>54</v>
      </c>
      <c r="M229" s="424">
        <f>+VLOOKUP(L229,Listados!$K$13:$L$17,2,0)</f>
        <v>4</v>
      </c>
      <c r="N229" s="434" t="str">
        <f>IF(AND(J229&lt;&gt;"",L229&lt;&gt;""),VLOOKUP(J229&amp;L229,Listados!$M$3:$N$27,2,FALSE),"")</f>
        <v>Extremo</v>
      </c>
      <c r="O229" s="164" t="s">
        <v>490</v>
      </c>
      <c r="P229" s="165" t="s">
        <v>475</v>
      </c>
      <c r="Q229" s="165" t="s">
        <v>20</v>
      </c>
      <c r="R229" s="172"/>
      <c r="S229" s="27" t="str">
        <f t="shared" si="44"/>
        <v/>
      </c>
      <c r="T229" s="172"/>
      <c r="U229" s="27" t="str">
        <f t="shared" si="45"/>
        <v/>
      </c>
      <c r="V229" s="150"/>
      <c r="W229" s="27" t="str">
        <f t="shared" si="46"/>
        <v/>
      </c>
      <c r="X229" s="150"/>
      <c r="Y229" s="27" t="str">
        <f t="shared" si="47"/>
        <v/>
      </c>
      <c r="Z229" s="150"/>
      <c r="AA229" s="27" t="str">
        <f t="shared" si="48"/>
        <v/>
      </c>
      <c r="AB229" s="150"/>
      <c r="AC229" s="27" t="str">
        <f t="shared" si="49"/>
        <v/>
      </c>
      <c r="AD229" s="150"/>
      <c r="AE229" s="27" t="str">
        <f t="shared" si="50"/>
        <v/>
      </c>
      <c r="AF229" s="48" t="str">
        <f t="shared" si="51"/>
        <v/>
      </c>
      <c r="AG229" s="48" t="str">
        <f t="shared" si="52"/>
        <v/>
      </c>
      <c r="AH229" s="131"/>
      <c r="AI229" s="149" t="str">
        <f t="shared" si="53"/>
        <v>Débil</v>
      </c>
      <c r="AJ229" s="21" t="str">
        <f>IFERROR(VLOOKUP((CONCATENATE(AG229,AI229)),Listados!$U$3:$V$11,2,FALSE),"")</f>
        <v/>
      </c>
      <c r="AK229" s="48">
        <f t="shared" si="54"/>
        <v>100</v>
      </c>
      <c r="AL229" s="430">
        <f>AVERAGE(AK229:AK234)</f>
        <v>100</v>
      </c>
      <c r="AM229" s="432" t="str">
        <f>IF(AL229&lt;=50, "Débil", IF(AL229&lt;=99,"Moderado","Fuerte"))</f>
        <v>Fuerte</v>
      </c>
      <c r="AN229" s="169">
        <f>+IF(AND(Q229="Preventivo",AM229="Fuerte"),2,IF(AND(Q229="Preventivo",AM229="Moderado"),1,0))</f>
        <v>2</v>
      </c>
      <c r="AO229" s="169">
        <f t="shared" si="55"/>
        <v>1</v>
      </c>
      <c r="AP229" s="169">
        <f>+K229-AN229</f>
        <v>1</v>
      </c>
      <c r="AQ229" s="169">
        <f>+M229-AO229</f>
        <v>3</v>
      </c>
      <c r="AR229" s="421" t="str">
        <f>+VLOOKUP(MIN(AP229,AP230,AP231,AP232,AP233,AP234),Listados!$J$18:$K$24,2,TRUE)</f>
        <v>Rara Vez</v>
      </c>
      <c r="AS229" s="421" t="str">
        <f>+VLOOKUP(MIN(AQ229,AQ230,AQ231,AQ232,AQ233,AQ234),Listados!$J$27:$K$32,2,TRUE)</f>
        <v>Menor</v>
      </c>
      <c r="AT229" s="421" t="str">
        <f>IF(AND(AR229&lt;&gt;"",AS229&lt;&gt;""),VLOOKUP(AR229&amp;AS229,Listados!$M$3:$N$27,2,FALSE),"")</f>
        <v>Bajo</v>
      </c>
      <c r="AU229" s="421" t="str">
        <f>+VLOOKUP(AT229,Listados!$P$3:$Q$6,2,FALSE)</f>
        <v>Asumir el riesgo</v>
      </c>
      <c r="AV229" s="387"/>
      <c r="AW229" s="388"/>
      <c r="AX229" s="389"/>
      <c r="AY229" s="387"/>
      <c r="AZ229" s="388"/>
      <c r="BA229" s="389"/>
      <c r="BB229" s="387"/>
      <c r="BC229" s="388"/>
      <c r="BD229" s="389"/>
    </row>
    <row r="230" spans="1:56" ht="86.25" thickBot="1">
      <c r="A230" s="405"/>
      <c r="B230" s="407"/>
      <c r="C230" s="408"/>
      <c r="D230" s="409"/>
      <c r="E230" s="164"/>
      <c r="F230" s="164"/>
      <c r="G230" s="165" t="s">
        <v>491</v>
      </c>
      <c r="H230" s="165" t="s">
        <v>16</v>
      </c>
      <c r="I230" s="165" t="s">
        <v>479</v>
      </c>
      <c r="J230" s="407"/>
      <c r="K230" s="425"/>
      <c r="L230" s="428"/>
      <c r="M230" s="425"/>
      <c r="N230" s="435"/>
      <c r="O230" s="164" t="s">
        <v>492</v>
      </c>
      <c r="P230" s="165" t="s">
        <v>478</v>
      </c>
      <c r="Q230" s="165" t="s">
        <v>20</v>
      </c>
      <c r="R230" s="172"/>
      <c r="S230" s="27" t="str">
        <f t="shared" si="44"/>
        <v/>
      </c>
      <c r="T230" s="172"/>
      <c r="U230" s="27" t="str">
        <f t="shared" si="45"/>
        <v/>
      </c>
      <c r="V230" s="150"/>
      <c r="W230" s="27" t="str">
        <f t="shared" si="46"/>
        <v/>
      </c>
      <c r="X230" s="150"/>
      <c r="Y230" s="27" t="str">
        <f t="shared" si="47"/>
        <v/>
      </c>
      <c r="Z230" s="150"/>
      <c r="AA230" s="27" t="str">
        <f t="shared" si="48"/>
        <v/>
      </c>
      <c r="AB230" s="150"/>
      <c r="AC230" s="27" t="str">
        <f t="shared" si="49"/>
        <v/>
      </c>
      <c r="AD230" s="150"/>
      <c r="AE230" s="27" t="str">
        <f t="shared" si="50"/>
        <v/>
      </c>
      <c r="AF230" s="48" t="str">
        <f t="shared" si="51"/>
        <v/>
      </c>
      <c r="AG230" s="48" t="str">
        <f t="shared" si="52"/>
        <v/>
      </c>
      <c r="AH230" s="131"/>
      <c r="AI230" s="149" t="str">
        <f t="shared" si="53"/>
        <v>Débil</v>
      </c>
      <c r="AJ230" s="21" t="str">
        <f>IFERROR(VLOOKUP((CONCATENATE(AG230,AI230)),Listados!$U$3:$V$11,2,FALSE),"")</f>
        <v/>
      </c>
      <c r="AK230" s="48">
        <f t="shared" si="54"/>
        <v>100</v>
      </c>
      <c r="AL230" s="431"/>
      <c r="AM230" s="433"/>
      <c r="AN230" s="169">
        <f>+IF(AND(Q230="Preventivo",AM229="Fuerte"),2,IF(AND(Q230="Preventivo",AM229="Moderado"),1,0))</f>
        <v>2</v>
      </c>
      <c r="AO230" s="169">
        <f t="shared" si="55"/>
        <v>1</v>
      </c>
      <c r="AP230" s="169">
        <f>+K229-AN230</f>
        <v>1</v>
      </c>
      <c r="AQ230" s="169">
        <f>+M229-AO230</f>
        <v>3</v>
      </c>
      <c r="AR230" s="422"/>
      <c r="AS230" s="422"/>
      <c r="AT230" s="422"/>
      <c r="AU230" s="422"/>
      <c r="AV230" s="387"/>
      <c r="AW230" s="388"/>
      <c r="AX230" s="389"/>
      <c r="AY230" s="387"/>
      <c r="AZ230" s="388"/>
      <c r="BA230" s="389"/>
      <c r="BB230" s="387"/>
      <c r="BC230" s="388"/>
      <c r="BD230" s="389"/>
    </row>
    <row r="231" spans="1:56" ht="100.5" thickBot="1">
      <c r="A231" s="405"/>
      <c r="B231" s="407"/>
      <c r="C231" s="408"/>
      <c r="D231" s="409"/>
      <c r="E231" s="164"/>
      <c r="F231" s="164"/>
      <c r="G231" s="165" t="s">
        <v>493</v>
      </c>
      <c r="H231" s="165" t="s">
        <v>16</v>
      </c>
      <c r="I231" s="165" t="s">
        <v>482</v>
      </c>
      <c r="J231" s="407"/>
      <c r="K231" s="425"/>
      <c r="L231" s="428"/>
      <c r="M231" s="425"/>
      <c r="N231" s="435"/>
      <c r="O231" s="164" t="s">
        <v>494</v>
      </c>
      <c r="P231" s="165" t="s">
        <v>481</v>
      </c>
      <c r="Q231" s="165" t="s">
        <v>123</v>
      </c>
      <c r="R231" s="172"/>
      <c r="S231" s="27" t="str">
        <f t="shared" si="44"/>
        <v/>
      </c>
      <c r="T231" s="172"/>
      <c r="U231" s="27" t="str">
        <f t="shared" si="45"/>
        <v/>
      </c>
      <c r="V231" s="150"/>
      <c r="W231" s="27" t="str">
        <f t="shared" si="46"/>
        <v/>
      </c>
      <c r="X231" s="150"/>
      <c r="Y231" s="27" t="str">
        <f t="shared" si="47"/>
        <v/>
      </c>
      <c r="Z231" s="150"/>
      <c r="AA231" s="27" t="str">
        <f t="shared" si="48"/>
        <v/>
      </c>
      <c r="AB231" s="150"/>
      <c r="AC231" s="27" t="str">
        <f t="shared" si="49"/>
        <v/>
      </c>
      <c r="AD231" s="150"/>
      <c r="AE231" s="27" t="str">
        <f t="shared" si="50"/>
        <v/>
      </c>
      <c r="AF231" s="48" t="str">
        <f t="shared" si="51"/>
        <v/>
      </c>
      <c r="AG231" s="48" t="str">
        <f t="shared" si="52"/>
        <v/>
      </c>
      <c r="AH231" s="131"/>
      <c r="AI231" s="149" t="str">
        <f t="shared" si="53"/>
        <v>Débil</v>
      </c>
      <c r="AJ231" s="21" t="str">
        <f>IFERROR(VLOOKUP((CONCATENATE(AG231,AI231)),Listados!$U$3:$V$11,2,FALSE),"")</f>
        <v/>
      </c>
      <c r="AK231" s="48">
        <f t="shared" si="54"/>
        <v>100</v>
      </c>
      <c r="AL231" s="431"/>
      <c r="AM231" s="433"/>
      <c r="AN231" s="169">
        <f>+IF(AND(Q231="Preventivo",AM229="Fuerte"),2,IF(AND(Q231="Preventivo",AM229="Moderado"),1,0))</f>
        <v>0</v>
      </c>
      <c r="AO231" s="169">
        <f t="shared" si="55"/>
        <v>2</v>
      </c>
      <c r="AP231" s="169">
        <f>+K229-AN231</f>
        <v>3</v>
      </c>
      <c r="AQ231" s="169">
        <f>+M229-AO231</f>
        <v>2</v>
      </c>
      <c r="AR231" s="422"/>
      <c r="AS231" s="422"/>
      <c r="AT231" s="422"/>
      <c r="AU231" s="422"/>
      <c r="AV231" s="387"/>
      <c r="AW231" s="388"/>
      <c r="AX231" s="389"/>
      <c r="AY231" s="387"/>
      <c r="AZ231" s="388"/>
      <c r="BA231" s="389"/>
      <c r="BB231" s="387"/>
      <c r="BC231" s="388"/>
      <c r="BD231" s="389"/>
    </row>
    <row r="232" spans="1:56" ht="86.25" thickBot="1">
      <c r="A232" s="405"/>
      <c r="B232" s="407"/>
      <c r="C232" s="408"/>
      <c r="D232" s="409"/>
      <c r="E232" s="164"/>
      <c r="F232" s="164"/>
      <c r="G232" s="165"/>
      <c r="H232" s="165"/>
      <c r="I232" s="165" t="s">
        <v>471</v>
      </c>
      <c r="J232" s="407"/>
      <c r="K232" s="425"/>
      <c r="L232" s="428"/>
      <c r="M232" s="425"/>
      <c r="N232" s="435"/>
      <c r="O232" s="164" t="s">
        <v>495</v>
      </c>
      <c r="P232" s="165" t="s">
        <v>481</v>
      </c>
      <c r="Q232" s="165" t="s">
        <v>20</v>
      </c>
      <c r="R232" s="172"/>
      <c r="S232" s="27" t="str">
        <f t="shared" si="44"/>
        <v/>
      </c>
      <c r="T232" s="172"/>
      <c r="U232" s="27" t="str">
        <f t="shared" si="45"/>
        <v/>
      </c>
      <c r="V232" s="150"/>
      <c r="W232" s="27" t="str">
        <f t="shared" si="46"/>
        <v/>
      </c>
      <c r="X232" s="150"/>
      <c r="Y232" s="27" t="str">
        <f t="shared" si="47"/>
        <v/>
      </c>
      <c r="Z232" s="150"/>
      <c r="AA232" s="27" t="str">
        <f t="shared" si="48"/>
        <v/>
      </c>
      <c r="AB232" s="150"/>
      <c r="AC232" s="27" t="str">
        <f t="shared" si="49"/>
        <v/>
      </c>
      <c r="AD232" s="150"/>
      <c r="AE232" s="27" t="str">
        <f t="shared" si="50"/>
        <v/>
      </c>
      <c r="AF232" s="48" t="str">
        <f t="shared" si="51"/>
        <v/>
      </c>
      <c r="AG232" s="48" t="str">
        <f t="shared" si="52"/>
        <v/>
      </c>
      <c r="AH232" s="131"/>
      <c r="AI232" s="149" t="str">
        <f t="shared" si="53"/>
        <v>Débil</v>
      </c>
      <c r="AJ232" s="21" t="str">
        <f>IFERROR(VLOOKUP((CONCATENATE(AG232,AI232)),Listados!$U$3:$V$11,2,FALSE),"")</f>
        <v/>
      </c>
      <c r="AK232" s="48">
        <f t="shared" si="54"/>
        <v>100</v>
      </c>
      <c r="AL232" s="431"/>
      <c r="AM232" s="433"/>
      <c r="AN232" s="169">
        <f>+IF(AND(Q232="Preventivo",AM229="Fuerte"),2,IF(AND(Q232="Preventivo",AM229="Moderado"),1,0))</f>
        <v>2</v>
      </c>
      <c r="AO232" s="169">
        <f t="shared" si="55"/>
        <v>1</v>
      </c>
      <c r="AP232" s="169">
        <f>+K229-AN232</f>
        <v>1</v>
      </c>
      <c r="AQ232" s="169">
        <f>+M229-AO232</f>
        <v>3</v>
      </c>
      <c r="AR232" s="422"/>
      <c r="AS232" s="422"/>
      <c r="AT232" s="422"/>
      <c r="AU232" s="422"/>
      <c r="AV232" s="387"/>
      <c r="AW232" s="388"/>
      <c r="AX232" s="389"/>
      <c r="AY232" s="387"/>
      <c r="AZ232" s="388"/>
      <c r="BA232" s="389"/>
      <c r="BB232" s="387"/>
      <c r="BC232" s="388"/>
      <c r="BD232" s="389"/>
    </row>
    <row r="233" spans="1:56" ht="15.75" thickBot="1">
      <c r="A233" s="405"/>
      <c r="B233" s="407"/>
      <c r="C233" s="408"/>
      <c r="D233" s="409"/>
      <c r="E233" s="164"/>
      <c r="F233" s="164"/>
      <c r="G233" s="165"/>
      <c r="H233" s="165"/>
      <c r="I233" s="165"/>
      <c r="J233" s="407"/>
      <c r="K233" s="425"/>
      <c r="L233" s="428"/>
      <c r="M233" s="425"/>
      <c r="N233" s="435"/>
      <c r="O233" s="164"/>
      <c r="P233" s="166"/>
      <c r="Q233" s="166"/>
      <c r="R233" s="172"/>
      <c r="S233" s="27" t="str">
        <f t="shared" si="44"/>
        <v/>
      </c>
      <c r="T233" s="172"/>
      <c r="U233" s="27" t="str">
        <f t="shared" si="45"/>
        <v/>
      </c>
      <c r="V233" s="150"/>
      <c r="W233" s="27" t="str">
        <f t="shared" si="46"/>
        <v/>
      </c>
      <c r="X233" s="150"/>
      <c r="Y233" s="27" t="str">
        <f t="shared" si="47"/>
        <v/>
      </c>
      <c r="Z233" s="150"/>
      <c r="AA233" s="27" t="str">
        <f t="shared" si="48"/>
        <v/>
      </c>
      <c r="AB233" s="150"/>
      <c r="AC233" s="27" t="str">
        <f t="shared" si="49"/>
        <v/>
      </c>
      <c r="AD233" s="150"/>
      <c r="AE233" s="27" t="str">
        <f t="shared" si="50"/>
        <v/>
      </c>
      <c r="AF233" s="48" t="str">
        <f t="shared" si="51"/>
        <v/>
      </c>
      <c r="AG233" s="48" t="str">
        <f t="shared" si="52"/>
        <v/>
      </c>
      <c r="AH233" s="131"/>
      <c r="AI233" s="149" t="str">
        <f t="shared" si="53"/>
        <v>Débil</v>
      </c>
      <c r="AJ233" s="21" t="str">
        <f>IFERROR(VLOOKUP((CONCATENATE(AG233,AI233)),Listados!$U$3:$V$11,2,FALSE),"")</f>
        <v/>
      </c>
      <c r="AK233" s="48">
        <f t="shared" si="54"/>
        <v>100</v>
      </c>
      <c r="AL233" s="431"/>
      <c r="AM233" s="433"/>
      <c r="AN233" s="169">
        <f>+IF(AND(Q233="Preventivo",AM229="Fuerte"),2,IF(AND(Q233="Preventivo",AM229="Moderado"),1,0))</f>
        <v>0</v>
      </c>
      <c r="AO233" s="169">
        <f t="shared" si="55"/>
        <v>0</v>
      </c>
      <c r="AP233" s="169">
        <f>+K229-AN233</f>
        <v>3</v>
      </c>
      <c r="AQ233" s="169">
        <f>+M229-AO233</f>
        <v>4</v>
      </c>
      <c r="AR233" s="422"/>
      <c r="AS233" s="422"/>
      <c r="AT233" s="422"/>
      <c r="AU233" s="422"/>
      <c r="AV233" s="387"/>
      <c r="AW233" s="388"/>
      <c r="AX233" s="389"/>
      <c r="AY233" s="387"/>
      <c r="AZ233" s="388"/>
      <c r="BA233" s="389"/>
      <c r="BB233" s="387"/>
      <c r="BC233" s="388"/>
      <c r="BD233" s="389"/>
    </row>
    <row r="234" spans="1:56" ht="15.75" thickBot="1">
      <c r="A234" s="406"/>
      <c r="B234" s="407"/>
      <c r="C234" s="408"/>
      <c r="D234" s="409"/>
      <c r="E234" s="164"/>
      <c r="F234" s="164"/>
      <c r="G234" s="165"/>
      <c r="H234" s="165"/>
      <c r="I234" s="165"/>
      <c r="J234" s="407"/>
      <c r="K234" s="426"/>
      <c r="L234" s="428"/>
      <c r="M234" s="426"/>
      <c r="N234" s="435"/>
      <c r="O234" s="164"/>
      <c r="P234" s="166"/>
      <c r="Q234" s="166"/>
      <c r="R234" s="172"/>
      <c r="S234" s="27" t="str">
        <f t="shared" si="44"/>
        <v/>
      </c>
      <c r="T234" s="172"/>
      <c r="U234" s="27" t="str">
        <f t="shared" si="45"/>
        <v/>
      </c>
      <c r="V234" s="150"/>
      <c r="W234" s="27" t="str">
        <f t="shared" si="46"/>
        <v/>
      </c>
      <c r="X234" s="150"/>
      <c r="Y234" s="27" t="str">
        <f t="shared" si="47"/>
        <v/>
      </c>
      <c r="Z234" s="150"/>
      <c r="AA234" s="27" t="str">
        <f t="shared" si="48"/>
        <v/>
      </c>
      <c r="AB234" s="150"/>
      <c r="AC234" s="27" t="str">
        <f t="shared" si="49"/>
        <v/>
      </c>
      <c r="AD234" s="150"/>
      <c r="AE234" s="27" t="str">
        <f t="shared" si="50"/>
        <v/>
      </c>
      <c r="AF234" s="48" t="str">
        <f t="shared" si="51"/>
        <v/>
      </c>
      <c r="AG234" s="48" t="str">
        <f t="shared" si="52"/>
        <v/>
      </c>
      <c r="AH234" s="131"/>
      <c r="AI234" s="149" t="str">
        <f t="shared" si="53"/>
        <v>Débil</v>
      </c>
      <c r="AJ234" s="21" t="str">
        <f>IFERROR(VLOOKUP((CONCATENATE(AG234,AI234)),Listados!$U$3:$V$11,2,FALSE),"")</f>
        <v/>
      </c>
      <c r="AK234" s="48">
        <f t="shared" si="54"/>
        <v>100</v>
      </c>
      <c r="AL234" s="432"/>
      <c r="AM234" s="433"/>
      <c r="AN234" s="169">
        <f>+IF(AND(Q234="Preventivo",AM229="Fuerte"),2,IF(AND(Q234="Preventivo",AM229="Moderado"),1,0))</f>
        <v>0</v>
      </c>
      <c r="AO234" s="169">
        <f t="shared" si="55"/>
        <v>0</v>
      </c>
      <c r="AP234" s="169">
        <f>+K229-AN234</f>
        <v>3</v>
      </c>
      <c r="AQ234" s="169">
        <f>+M229-AO234</f>
        <v>4</v>
      </c>
      <c r="AR234" s="423"/>
      <c r="AS234" s="423"/>
      <c r="AT234" s="423"/>
      <c r="AU234" s="423"/>
      <c r="AV234" s="387"/>
      <c r="AW234" s="388"/>
      <c r="AX234" s="389"/>
      <c r="AY234" s="387"/>
      <c r="AZ234" s="388"/>
      <c r="BA234" s="389"/>
      <c r="BB234" s="387"/>
      <c r="BC234" s="388"/>
      <c r="BD234" s="389"/>
    </row>
    <row r="235" spans="1:56" ht="86.25" thickBot="1">
      <c r="A235" s="404">
        <v>39</v>
      </c>
      <c r="B235" s="407" t="s">
        <v>101</v>
      </c>
      <c r="C235" s="408"/>
      <c r="D235" s="409" t="s">
        <v>496</v>
      </c>
      <c r="E235" s="164" t="s">
        <v>29</v>
      </c>
      <c r="F235" s="164"/>
      <c r="G235" s="165" t="s">
        <v>497</v>
      </c>
      <c r="H235" s="165" t="s">
        <v>30</v>
      </c>
      <c r="I235" s="165" t="s">
        <v>498</v>
      </c>
      <c r="J235" s="407" t="s">
        <v>44</v>
      </c>
      <c r="K235" s="424"/>
      <c r="L235" s="427" t="s">
        <v>36</v>
      </c>
      <c r="M235" s="424">
        <f>+VLOOKUP(L235,Listados!$K$13:$L$17,2,0)</f>
        <v>3</v>
      </c>
      <c r="N235" s="434" t="str">
        <f>IF(AND(J235&lt;&gt;"",L235&lt;&gt;""),VLOOKUP(J235&amp;L235,Listados!$M$3:$N$27,2,FALSE),"")</f>
        <v>Alto</v>
      </c>
      <c r="O235" s="164" t="s">
        <v>499</v>
      </c>
      <c r="P235" s="165" t="s">
        <v>497</v>
      </c>
      <c r="Q235" s="165" t="s">
        <v>20</v>
      </c>
      <c r="R235" s="172"/>
      <c r="S235" s="27" t="str">
        <f t="shared" si="44"/>
        <v/>
      </c>
      <c r="T235" s="172"/>
      <c r="U235" s="27" t="str">
        <f t="shared" si="45"/>
        <v/>
      </c>
      <c r="V235" s="150"/>
      <c r="W235" s="27" t="str">
        <f t="shared" si="46"/>
        <v/>
      </c>
      <c r="X235" s="150"/>
      <c r="Y235" s="27" t="str">
        <f t="shared" si="47"/>
        <v/>
      </c>
      <c r="Z235" s="150"/>
      <c r="AA235" s="27" t="str">
        <f t="shared" si="48"/>
        <v/>
      </c>
      <c r="AB235" s="150"/>
      <c r="AC235" s="27" t="str">
        <f t="shared" si="49"/>
        <v/>
      </c>
      <c r="AD235" s="150"/>
      <c r="AE235" s="27" t="str">
        <f t="shared" si="50"/>
        <v/>
      </c>
      <c r="AF235" s="48" t="str">
        <f t="shared" si="51"/>
        <v/>
      </c>
      <c r="AG235" s="48" t="str">
        <f t="shared" si="52"/>
        <v/>
      </c>
      <c r="AH235" s="131"/>
      <c r="AI235" s="149" t="str">
        <f t="shared" si="53"/>
        <v>Débil</v>
      </c>
      <c r="AJ235" s="21" t="str">
        <f>IFERROR(VLOOKUP((CONCATENATE(AG235,AI235)),Listados!$U$3:$V$11,2,FALSE),"")</f>
        <v/>
      </c>
      <c r="AK235" s="48">
        <f t="shared" si="54"/>
        <v>100</v>
      </c>
      <c r="AL235" s="430">
        <f>AVERAGE(AK235:AK240)</f>
        <v>100</v>
      </c>
      <c r="AM235" s="432" t="str">
        <f>IF(AL235&lt;=50, "Débil", IF(AL235&lt;=99,"Moderado","Fuerte"))</f>
        <v>Fuerte</v>
      </c>
      <c r="AN235" s="169">
        <f>+IF(AND(Q235="Preventivo",AM235="Fuerte"),2,IF(AND(Q235="Preventivo",AM235="Moderado"),1,0))</f>
        <v>2</v>
      </c>
      <c r="AO235" s="169">
        <f t="shared" si="55"/>
        <v>1</v>
      </c>
      <c r="AP235" s="169">
        <f>+K235-AN235</f>
        <v>-2</v>
      </c>
      <c r="AQ235" s="169">
        <f>+M235-AO235</f>
        <v>2</v>
      </c>
      <c r="AR235" s="421" t="e">
        <f>+VLOOKUP(MIN(AP235,AP236,AP237,AP238,AP239,AP240),Listados!$J$18:$K$24,2,TRUE)</f>
        <v>#N/A</v>
      </c>
      <c r="AS235" s="421" t="str">
        <f>+VLOOKUP(MIN(AQ235,AQ236,AQ237,AQ238,AQ239,AQ240),Listados!$J$27:$K$32,2,TRUE)</f>
        <v>Insignificante</v>
      </c>
      <c r="AT235" s="421" t="e">
        <f>IF(AND(AR235&lt;&gt;"",AS235&lt;&gt;""),VLOOKUP(AR235&amp;AS235,Listados!$M$3:$N$27,2,FALSE),"")</f>
        <v>#N/A</v>
      </c>
      <c r="AU235" s="421" t="e">
        <f>+VLOOKUP(AT235,Listados!$P$3:$Q$6,2,FALSE)</f>
        <v>#N/A</v>
      </c>
      <c r="AV235" s="387"/>
      <c r="AW235" s="388"/>
      <c r="AX235" s="389"/>
      <c r="AY235" s="387"/>
      <c r="AZ235" s="388"/>
      <c r="BA235" s="389"/>
      <c r="BB235" s="387"/>
      <c r="BC235" s="388"/>
      <c r="BD235" s="389"/>
    </row>
    <row r="236" spans="1:56" ht="114.75" thickBot="1">
      <c r="A236" s="405"/>
      <c r="B236" s="407"/>
      <c r="C236" s="408"/>
      <c r="D236" s="409"/>
      <c r="E236" s="164"/>
      <c r="F236" s="164"/>
      <c r="G236" s="165" t="s">
        <v>500</v>
      </c>
      <c r="H236" s="165" t="s">
        <v>30</v>
      </c>
      <c r="I236" s="165" t="s">
        <v>501</v>
      </c>
      <c r="J236" s="407"/>
      <c r="K236" s="425"/>
      <c r="L236" s="428"/>
      <c r="M236" s="425"/>
      <c r="N236" s="435"/>
      <c r="O236" s="164" t="s">
        <v>502</v>
      </c>
      <c r="P236" s="165" t="s">
        <v>500</v>
      </c>
      <c r="Q236" s="165" t="s">
        <v>123</v>
      </c>
      <c r="R236" s="172"/>
      <c r="S236" s="27" t="str">
        <f t="shared" si="44"/>
        <v/>
      </c>
      <c r="T236" s="172"/>
      <c r="U236" s="27" t="str">
        <f t="shared" si="45"/>
        <v/>
      </c>
      <c r="V236" s="150"/>
      <c r="W236" s="27" t="str">
        <f t="shared" si="46"/>
        <v/>
      </c>
      <c r="X236" s="150"/>
      <c r="Y236" s="27" t="str">
        <f t="shared" si="47"/>
        <v/>
      </c>
      <c r="Z236" s="150"/>
      <c r="AA236" s="27" t="str">
        <f t="shared" si="48"/>
        <v/>
      </c>
      <c r="AB236" s="150"/>
      <c r="AC236" s="27" t="str">
        <f t="shared" si="49"/>
        <v/>
      </c>
      <c r="AD236" s="150"/>
      <c r="AE236" s="27" t="str">
        <f t="shared" si="50"/>
        <v/>
      </c>
      <c r="AF236" s="48" t="str">
        <f t="shared" si="51"/>
        <v/>
      </c>
      <c r="AG236" s="48" t="str">
        <f t="shared" si="52"/>
        <v/>
      </c>
      <c r="AH236" s="131"/>
      <c r="AI236" s="149" t="str">
        <f t="shared" si="53"/>
        <v>Débil</v>
      </c>
      <c r="AJ236" s="21" t="str">
        <f>IFERROR(VLOOKUP((CONCATENATE(AG236,AI236)),Listados!$U$3:$V$11,2,FALSE),"")</f>
        <v/>
      </c>
      <c r="AK236" s="48">
        <f t="shared" si="54"/>
        <v>100</v>
      </c>
      <c r="AL236" s="431"/>
      <c r="AM236" s="433"/>
      <c r="AN236" s="169">
        <f>+IF(AND(Q236="Preventivo",AM235="Fuerte"),2,IF(AND(Q236="Preventivo",AM235="Moderado"),1,0))</f>
        <v>0</v>
      </c>
      <c r="AO236" s="169">
        <f t="shared" si="55"/>
        <v>2</v>
      </c>
      <c r="AP236" s="169">
        <f>+K235-AN236</f>
        <v>0</v>
      </c>
      <c r="AQ236" s="169">
        <f>+M235-AO236</f>
        <v>1</v>
      </c>
      <c r="AR236" s="422"/>
      <c r="AS236" s="422"/>
      <c r="AT236" s="422"/>
      <c r="AU236" s="422"/>
      <c r="AV236" s="387"/>
      <c r="AW236" s="388"/>
      <c r="AX236" s="389"/>
      <c r="AY236" s="387"/>
      <c r="AZ236" s="388"/>
      <c r="BA236" s="389"/>
      <c r="BB236" s="387"/>
      <c r="BC236" s="388"/>
      <c r="BD236" s="389"/>
    </row>
    <row r="237" spans="1:56" ht="15.75" thickBot="1">
      <c r="A237" s="405"/>
      <c r="B237" s="407"/>
      <c r="C237" s="408"/>
      <c r="D237" s="409"/>
      <c r="E237" s="164"/>
      <c r="F237" s="164"/>
      <c r="G237" s="165"/>
      <c r="H237" s="165"/>
      <c r="I237" s="165"/>
      <c r="J237" s="407"/>
      <c r="K237" s="425"/>
      <c r="L237" s="428"/>
      <c r="M237" s="425"/>
      <c r="N237" s="435"/>
      <c r="O237" s="164"/>
      <c r="P237" s="164"/>
      <c r="Q237" s="165"/>
      <c r="R237" s="172"/>
      <c r="S237" s="27" t="str">
        <f t="shared" si="44"/>
        <v/>
      </c>
      <c r="T237" s="172"/>
      <c r="U237" s="27" t="str">
        <f t="shared" si="45"/>
        <v/>
      </c>
      <c r="V237" s="150"/>
      <c r="W237" s="27" t="str">
        <f t="shared" si="46"/>
        <v/>
      </c>
      <c r="X237" s="150"/>
      <c r="Y237" s="27" t="str">
        <f t="shared" si="47"/>
        <v/>
      </c>
      <c r="Z237" s="150"/>
      <c r="AA237" s="27" t="str">
        <f t="shared" si="48"/>
        <v/>
      </c>
      <c r="AB237" s="150"/>
      <c r="AC237" s="27" t="str">
        <f t="shared" si="49"/>
        <v/>
      </c>
      <c r="AD237" s="150"/>
      <c r="AE237" s="27" t="str">
        <f t="shared" si="50"/>
        <v/>
      </c>
      <c r="AF237" s="48" t="str">
        <f t="shared" si="51"/>
        <v/>
      </c>
      <c r="AG237" s="48" t="str">
        <f t="shared" si="52"/>
        <v/>
      </c>
      <c r="AH237" s="131"/>
      <c r="AI237" s="149" t="str">
        <f t="shared" si="53"/>
        <v>Débil</v>
      </c>
      <c r="AJ237" s="21" t="str">
        <f>IFERROR(VLOOKUP((CONCATENATE(AG237,AI237)),Listados!$U$3:$V$11,2,FALSE),"")</f>
        <v/>
      </c>
      <c r="AK237" s="48">
        <f t="shared" si="54"/>
        <v>100</v>
      </c>
      <c r="AL237" s="431"/>
      <c r="AM237" s="433"/>
      <c r="AN237" s="169">
        <f>+IF(AND(Q237="Preventivo",AM235="Fuerte"),2,IF(AND(Q237="Preventivo",AM235="Moderado"),1,0))</f>
        <v>0</v>
      </c>
      <c r="AO237" s="169">
        <f t="shared" si="55"/>
        <v>0</v>
      </c>
      <c r="AP237" s="169">
        <f>+K235-AN237</f>
        <v>0</v>
      </c>
      <c r="AQ237" s="169">
        <f>+M235-AO237</f>
        <v>3</v>
      </c>
      <c r="AR237" s="422"/>
      <c r="AS237" s="422"/>
      <c r="AT237" s="422"/>
      <c r="AU237" s="422"/>
      <c r="AV237" s="387"/>
      <c r="AW237" s="388"/>
      <c r="AX237" s="389"/>
      <c r="AY237" s="387"/>
      <c r="AZ237" s="388"/>
      <c r="BA237" s="389"/>
      <c r="BB237" s="387"/>
      <c r="BC237" s="388"/>
      <c r="BD237" s="389"/>
    </row>
    <row r="238" spans="1:56" ht="15.75" thickBot="1">
      <c r="A238" s="405"/>
      <c r="B238" s="407"/>
      <c r="C238" s="408"/>
      <c r="D238" s="409"/>
      <c r="E238" s="164"/>
      <c r="F238" s="164"/>
      <c r="G238" s="165"/>
      <c r="H238" s="165"/>
      <c r="I238" s="165"/>
      <c r="J238" s="407"/>
      <c r="K238" s="425"/>
      <c r="L238" s="428"/>
      <c r="M238" s="425"/>
      <c r="N238" s="435"/>
      <c r="O238" s="164"/>
      <c r="P238" s="164"/>
      <c r="Q238" s="165"/>
      <c r="R238" s="172"/>
      <c r="S238" s="27" t="str">
        <f t="shared" si="44"/>
        <v/>
      </c>
      <c r="T238" s="172"/>
      <c r="U238" s="27" t="str">
        <f t="shared" si="45"/>
        <v/>
      </c>
      <c r="V238" s="150"/>
      <c r="W238" s="27" t="str">
        <f t="shared" si="46"/>
        <v/>
      </c>
      <c r="X238" s="150"/>
      <c r="Y238" s="27" t="str">
        <f t="shared" si="47"/>
        <v/>
      </c>
      <c r="Z238" s="150"/>
      <c r="AA238" s="27" t="str">
        <f t="shared" si="48"/>
        <v/>
      </c>
      <c r="AB238" s="150"/>
      <c r="AC238" s="27" t="str">
        <f t="shared" si="49"/>
        <v/>
      </c>
      <c r="AD238" s="150"/>
      <c r="AE238" s="27" t="str">
        <f t="shared" si="50"/>
        <v/>
      </c>
      <c r="AF238" s="48" t="str">
        <f t="shared" si="51"/>
        <v/>
      </c>
      <c r="AG238" s="48" t="str">
        <f t="shared" si="52"/>
        <v/>
      </c>
      <c r="AH238" s="131"/>
      <c r="AI238" s="149" t="str">
        <f t="shared" si="53"/>
        <v>Débil</v>
      </c>
      <c r="AJ238" s="21" t="str">
        <f>IFERROR(VLOOKUP((CONCATENATE(AG238,AI238)),Listados!$U$3:$V$11,2,FALSE),"")</f>
        <v/>
      </c>
      <c r="AK238" s="48">
        <f t="shared" si="54"/>
        <v>100</v>
      </c>
      <c r="AL238" s="431"/>
      <c r="AM238" s="433"/>
      <c r="AN238" s="169">
        <f>+IF(AND(Q238="Preventivo",AM235="Fuerte"),2,IF(AND(Q238="Preventivo",AM235="Moderado"),1,0))</f>
        <v>0</v>
      </c>
      <c r="AO238" s="169">
        <f t="shared" si="55"/>
        <v>0</v>
      </c>
      <c r="AP238" s="169">
        <f>+K235-AN238</f>
        <v>0</v>
      </c>
      <c r="AQ238" s="169">
        <f>+M235-AO238</f>
        <v>3</v>
      </c>
      <c r="AR238" s="422"/>
      <c r="AS238" s="422"/>
      <c r="AT238" s="422"/>
      <c r="AU238" s="422"/>
      <c r="AV238" s="387"/>
      <c r="AW238" s="388"/>
      <c r="AX238" s="389"/>
      <c r="AY238" s="387"/>
      <c r="AZ238" s="388"/>
      <c r="BA238" s="389"/>
      <c r="BB238" s="387"/>
      <c r="BC238" s="388"/>
      <c r="BD238" s="389"/>
    </row>
    <row r="239" spans="1:56" ht="15.75" thickBot="1">
      <c r="A239" s="405"/>
      <c r="B239" s="407"/>
      <c r="C239" s="408"/>
      <c r="D239" s="409"/>
      <c r="E239" s="164"/>
      <c r="F239" s="164"/>
      <c r="G239" s="165"/>
      <c r="H239" s="165"/>
      <c r="I239" s="165"/>
      <c r="J239" s="407"/>
      <c r="K239" s="425"/>
      <c r="L239" s="428"/>
      <c r="M239" s="425"/>
      <c r="N239" s="435"/>
      <c r="O239" s="164"/>
      <c r="P239" s="166"/>
      <c r="Q239" s="166"/>
      <c r="R239" s="172"/>
      <c r="S239" s="27" t="str">
        <f t="shared" si="44"/>
        <v/>
      </c>
      <c r="T239" s="172"/>
      <c r="U239" s="27" t="str">
        <f t="shared" si="45"/>
        <v/>
      </c>
      <c r="V239" s="150"/>
      <c r="W239" s="27" t="str">
        <f t="shared" si="46"/>
        <v/>
      </c>
      <c r="X239" s="150"/>
      <c r="Y239" s="27" t="str">
        <f t="shared" si="47"/>
        <v/>
      </c>
      <c r="Z239" s="150"/>
      <c r="AA239" s="27" t="str">
        <f t="shared" si="48"/>
        <v/>
      </c>
      <c r="AB239" s="150"/>
      <c r="AC239" s="27" t="str">
        <f t="shared" si="49"/>
        <v/>
      </c>
      <c r="AD239" s="150"/>
      <c r="AE239" s="27" t="str">
        <f t="shared" si="50"/>
        <v/>
      </c>
      <c r="AF239" s="48" t="str">
        <f t="shared" si="51"/>
        <v/>
      </c>
      <c r="AG239" s="48" t="str">
        <f t="shared" si="52"/>
        <v/>
      </c>
      <c r="AH239" s="131"/>
      <c r="AI239" s="149" t="str">
        <f t="shared" si="53"/>
        <v>Débil</v>
      </c>
      <c r="AJ239" s="21" t="str">
        <f>IFERROR(VLOOKUP((CONCATENATE(AG239,AI239)),Listados!$U$3:$V$11,2,FALSE),"")</f>
        <v/>
      </c>
      <c r="AK239" s="48">
        <f t="shared" si="54"/>
        <v>100</v>
      </c>
      <c r="AL239" s="431"/>
      <c r="AM239" s="433"/>
      <c r="AN239" s="169">
        <f>+IF(AND(Q239="Preventivo",AM235="Fuerte"),2,IF(AND(Q239="Preventivo",AM235="Moderado"),1,0))</f>
        <v>0</v>
      </c>
      <c r="AO239" s="169">
        <f t="shared" si="55"/>
        <v>0</v>
      </c>
      <c r="AP239" s="169">
        <f>+K235-AN239</f>
        <v>0</v>
      </c>
      <c r="AQ239" s="169">
        <f>+M235-AO239</f>
        <v>3</v>
      </c>
      <c r="AR239" s="422"/>
      <c r="AS239" s="422"/>
      <c r="AT239" s="422"/>
      <c r="AU239" s="422"/>
      <c r="AV239" s="387"/>
      <c r="AW239" s="388"/>
      <c r="AX239" s="389"/>
      <c r="AY239" s="387"/>
      <c r="AZ239" s="388"/>
      <c r="BA239" s="389"/>
      <c r="BB239" s="387"/>
      <c r="BC239" s="388"/>
      <c r="BD239" s="389"/>
    </row>
    <row r="240" spans="1:56" ht="15.75" thickBot="1">
      <c r="A240" s="406"/>
      <c r="B240" s="407"/>
      <c r="C240" s="408"/>
      <c r="D240" s="409"/>
      <c r="E240" s="164"/>
      <c r="F240" s="164"/>
      <c r="G240" s="165"/>
      <c r="H240" s="165"/>
      <c r="I240" s="165"/>
      <c r="J240" s="407"/>
      <c r="K240" s="426"/>
      <c r="L240" s="428"/>
      <c r="M240" s="426"/>
      <c r="N240" s="435"/>
      <c r="O240" s="164"/>
      <c r="P240" s="166"/>
      <c r="Q240" s="166"/>
      <c r="R240" s="172"/>
      <c r="S240" s="27" t="str">
        <f t="shared" si="44"/>
        <v/>
      </c>
      <c r="T240" s="172"/>
      <c r="U240" s="27" t="str">
        <f t="shared" si="45"/>
        <v/>
      </c>
      <c r="V240" s="150"/>
      <c r="W240" s="27" t="str">
        <f t="shared" si="46"/>
        <v/>
      </c>
      <c r="X240" s="150"/>
      <c r="Y240" s="27" t="str">
        <f t="shared" si="47"/>
        <v/>
      </c>
      <c r="Z240" s="150"/>
      <c r="AA240" s="27" t="str">
        <f t="shared" si="48"/>
        <v/>
      </c>
      <c r="AB240" s="150"/>
      <c r="AC240" s="27" t="str">
        <f t="shared" si="49"/>
        <v/>
      </c>
      <c r="AD240" s="150"/>
      <c r="AE240" s="27" t="str">
        <f t="shared" si="50"/>
        <v/>
      </c>
      <c r="AF240" s="48" t="str">
        <f t="shared" si="51"/>
        <v/>
      </c>
      <c r="AG240" s="48" t="str">
        <f t="shared" si="52"/>
        <v/>
      </c>
      <c r="AH240" s="131"/>
      <c r="AI240" s="149" t="str">
        <f t="shared" si="53"/>
        <v>Débil</v>
      </c>
      <c r="AJ240" s="21" t="str">
        <f>IFERROR(VLOOKUP((CONCATENATE(AG240,AI240)),Listados!$U$3:$V$11,2,FALSE),"")</f>
        <v/>
      </c>
      <c r="AK240" s="48">
        <f t="shared" si="54"/>
        <v>100</v>
      </c>
      <c r="AL240" s="432"/>
      <c r="AM240" s="433"/>
      <c r="AN240" s="169">
        <f>+IF(AND(Q240="Preventivo",AM235="Fuerte"),2,IF(AND(Q240="Preventivo",AM235="Moderado"),1,0))</f>
        <v>0</v>
      </c>
      <c r="AO240" s="169">
        <f t="shared" si="55"/>
        <v>0</v>
      </c>
      <c r="AP240" s="169">
        <f>+K235-AN240</f>
        <v>0</v>
      </c>
      <c r="AQ240" s="169">
        <f>+M235-AO240</f>
        <v>3</v>
      </c>
      <c r="AR240" s="423"/>
      <c r="AS240" s="423"/>
      <c r="AT240" s="423"/>
      <c r="AU240" s="423"/>
      <c r="AV240" s="387"/>
      <c r="AW240" s="388"/>
      <c r="AX240" s="389"/>
      <c r="AY240" s="387"/>
      <c r="AZ240" s="388"/>
      <c r="BA240" s="389"/>
      <c r="BB240" s="387"/>
      <c r="BC240" s="388"/>
      <c r="BD240" s="389"/>
    </row>
    <row r="241" spans="1:56" ht="171.75" thickBot="1">
      <c r="A241" s="404">
        <v>40</v>
      </c>
      <c r="B241" s="407" t="s">
        <v>101</v>
      </c>
      <c r="C241" s="408"/>
      <c r="D241" s="409" t="s">
        <v>503</v>
      </c>
      <c r="E241" s="164" t="s">
        <v>41</v>
      </c>
      <c r="F241" s="164"/>
      <c r="G241" s="165" t="s">
        <v>504</v>
      </c>
      <c r="H241" s="165" t="s">
        <v>16</v>
      </c>
      <c r="I241" s="165" t="s">
        <v>505</v>
      </c>
      <c r="J241" s="407" t="s">
        <v>21</v>
      </c>
      <c r="K241" s="424">
        <f>+VLOOKUP(J241,Listados!$K$8:$L$12,2,0)</f>
        <v>1</v>
      </c>
      <c r="L241" s="427" t="s">
        <v>32</v>
      </c>
      <c r="M241" s="424">
        <f>+VLOOKUP(L241,Listados!$K$13:$L$17,2,0)</f>
        <v>2</v>
      </c>
      <c r="N241" s="434" t="str">
        <f>IF(AND(J241&lt;&gt;"",L241&lt;&gt;""),VLOOKUP(J241&amp;L241,Listados!$M$3:$N$27,2,FALSE),"")</f>
        <v>Bajo</v>
      </c>
      <c r="O241" s="164" t="s">
        <v>506</v>
      </c>
      <c r="P241" s="165" t="s">
        <v>504</v>
      </c>
      <c r="Q241" s="165" t="s">
        <v>20</v>
      </c>
      <c r="R241" s="172"/>
      <c r="S241" s="27" t="str">
        <f t="shared" si="44"/>
        <v/>
      </c>
      <c r="T241" s="172"/>
      <c r="U241" s="27" t="str">
        <f t="shared" si="45"/>
        <v/>
      </c>
      <c r="V241" s="150"/>
      <c r="W241" s="27" t="str">
        <f t="shared" si="46"/>
        <v/>
      </c>
      <c r="X241" s="150"/>
      <c r="Y241" s="27" t="str">
        <f t="shared" si="47"/>
        <v/>
      </c>
      <c r="Z241" s="150"/>
      <c r="AA241" s="27" t="str">
        <f t="shared" si="48"/>
        <v/>
      </c>
      <c r="AB241" s="150"/>
      <c r="AC241" s="27" t="str">
        <f t="shared" si="49"/>
        <v/>
      </c>
      <c r="AD241" s="150"/>
      <c r="AE241" s="27" t="str">
        <f t="shared" si="50"/>
        <v/>
      </c>
      <c r="AF241" s="48" t="str">
        <f t="shared" si="51"/>
        <v/>
      </c>
      <c r="AG241" s="48" t="str">
        <f t="shared" si="52"/>
        <v/>
      </c>
      <c r="AH241" s="131"/>
      <c r="AI241" s="149" t="str">
        <f t="shared" si="53"/>
        <v>Débil</v>
      </c>
      <c r="AJ241" s="21" t="str">
        <f>IFERROR(VLOOKUP((CONCATENATE(AG241,AI241)),Listados!$U$3:$V$11,2,FALSE),"")</f>
        <v/>
      </c>
      <c r="AK241" s="48">
        <f t="shared" si="54"/>
        <v>100</v>
      </c>
      <c r="AL241" s="430">
        <f>AVERAGE(AK241:AK246)</f>
        <v>100</v>
      </c>
      <c r="AM241" s="432" t="str">
        <f>IF(AL241&lt;=50, "Débil", IF(AL241&lt;=99,"Moderado","Fuerte"))</f>
        <v>Fuerte</v>
      </c>
      <c r="AN241" s="169">
        <f>+IF(AND(Q241="Preventivo",AM241="Fuerte"),2,IF(AND(Q241="Preventivo",AM241="Moderado"),1,0))</f>
        <v>2</v>
      </c>
      <c r="AO241" s="169">
        <f t="shared" si="55"/>
        <v>1</v>
      </c>
      <c r="AP241" s="169">
        <f>+K241-AN241</f>
        <v>-1</v>
      </c>
      <c r="AQ241" s="169">
        <f>+M241-AO241</f>
        <v>1</v>
      </c>
      <c r="AR241" s="421" t="str">
        <f>+VLOOKUP(MIN(AP241,AP242,AP243,AP244,AP245,AP246),Listados!$J$18:$K$24,2,TRUE)</f>
        <v>Rara Vez</v>
      </c>
      <c r="AS241" s="421" t="str">
        <f>+VLOOKUP(MIN(AQ241,AQ242,AQ243,AQ244,AQ245,AQ246),Listados!$J$27:$K$32,2,TRUE)</f>
        <v>Insignificante</v>
      </c>
      <c r="AT241" s="421" t="str">
        <f>IF(AND(AR241&lt;&gt;"",AS241&lt;&gt;""),VLOOKUP(AR241&amp;AS241,Listados!$M$3:$N$27,2,FALSE),"")</f>
        <v>Bajo</v>
      </c>
      <c r="AU241" s="421" t="str">
        <f>+VLOOKUP(AT241,Listados!$P$3:$Q$6,2,FALSE)</f>
        <v>Asumir el riesgo</v>
      </c>
      <c r="AV241" s="387"/>
      <c r="AW241" s="388"/>
      <c r="AX241" s="389"/>
      <c r="AY241" s="387"/>
      <c r="AZ241" s="388"/>
      <c r="BA241" s="389"/>
      <c r="BB241" s="387"/>
      <c r="BC241" s="388"/>
      <c r="BD241" s="389"/>
    </row>
    <row r="242" spans="1:56" ht="157.5" thickBot="1">
      <c r="A242" s="405"/>
      <c r="B242" s="407"/>
      <c r="C242" s="408"/>
      <c r="D242" s="409"/>
      <c r="E242" s="164"/>
      <c r="F242" s="164"/>
      <c r="G242" s="165" t="s">
        <v>507</v>
      </c>
      <c r="H242" s="165" t="s">
        <v>16</v>
      </c>
      <c r="I242" s="165" t="s">
        <v>482</v>
      </c>
      <c r="J242" s="407"/>
      <c r="K242" s="425"/>
      <c r="L242" s="428"/>
      <c r="M242" s="425"/>
      <c r="N242" s="435"/>
      <c r="O242" s="164" t="s">
        <v>508</v>
      </c>
      <c r="P242" s="165" t="s">
        <v>507</v>
      </c>
      <c r="Q242" s="165" t="s">
        <v>20</v>
      </c>
      <c r="R242" s="172"/>
      <c r="S242" s="27" t="str">
        <f t="shared" si="44"/>
        <v/>
      </c>
      <c r="T242" s="172"/>
      <c r="U242" s="27" t="str">
        <f t="shared" si="45"/>
        <v/>
      </c>
      <c r="V242" s="150"/>
      <c r="W242" s="27" t="str">
        <f t="shared" si="46"/>
        <v/>
      </c>
      <c r="X242" s="150"/>
      <c r="Y242" s="27" t="str">
        <f t="shared" si="47"/>
        <v/>
      </c>
      <c r="Z242" s="150"/>
      <c r="AA242" s="27" t="str">
        <f t="shared" si="48"/>
        <v/>
      </c>
      <c r="AB242" s="150"/>
      <c r="AC242" s="27" t="str">
        <f t="shared" si="49"/>
        <v/>
      </c>
      <c r="AD242" s="150"/>
      <c r="AE242" s="27" t="str">
        <f t="shared" si="50"/>
        <v/>
      </c>
      <c r="AF242" s="48" t="str">
        <f t="shared" si="51"/>
        <v/>
      </c>
      <c r="AG242" s="48" t="str">
        <f t="shared" si="52"/>
        <v/>
      </c>
      <c r="AH242" s="131"/>
      <c r="AI242" s="149" t="str">
        <f t="shared" si="53"/>
        <v>Débil</v>
      </c>
      <c r="AJ242" s="21" t="str">
        <f>IFERROR(VLOOKUP((CONCATENATE(AG242,AI242)),Listados!$U$3:$V$11,2,FALSE),"")</f>
        <v/>
      </c>
      <c r="AK242" s="48">
        <f t="shared" si="54"/>
        <v>100</v>
      </c>
      <c r="AL242" s="431"/>
      <c r="AM242" s="433"/>
      <c r="AN242" s="169">
        <f>+IF(AND(Q242="Preventivo",AM241="Fuerte"),2,IF(AND(Q242="Preventivo",AM241="Moderado"),1,0))</f>
        <v>2</v>
      </c>
      <c r="AO242" s="169">
        <f t="shared" si="55"/>
        <v>1</v>
      </c>
      <c r="AP242" s="169">
        <f>+K241-AN242</f>
        <v>-1</v>
      </c>
      <c r="AQ242" s="169">
        <f>+M241-AO242</f>
        <v>1</v>
      </c>
      <c r="AR242" s="422"/>
      <c r="AS242" s="422"/>
      <c r="AT242" s="422"/>
      <c r="AU242" s="422"/>
      <c r="AV242" s="387"/>
      <c r="AW242" s="388"/>
      <c r="AX242" s="389"/>
      <c r="AY242" s="387"/>
      <c r="AZ242" s="388"/>
      <c r="BA242" s="389"/>
      <c r="BB242" s="387"/>
      <c r="BC242" s="388"/>
      <c r="BD242" s="389"/>
    </row>
    <row r="243" spans="1:56" ht="15.75" thickBot="1">
      <c r="A243" s="405"/>
      <c r="B243" s="407"/>
      <c r="C243" s="408"/>
      <c r="D243" s="409"/>
      <c r="E243" s="164"/>
      <c r="F243" s="164"/>
      <c r="G243" s="165"/>
      <c r="H243" s="165"/>
      <c r="I243" s="165"/>
      <c r="J243" s="407"/>
      <c r="K243" s="425"/>
      <c r="L243" s="428"/>
      <c r="M243" s="425"/>
      <c r="N243" s="435"/>
      <c r="O243" s="164"/>
      <c r="P243" s="166"/>
      <c r="Q243" s="166"/>
      <c r="R243" s="172"/>
      <c r="S243" s="27" t="str">
        <f t="shared" si="44"/>
        <v/>
      </c>
      <c r="T243" s="172"/>
      <c r="U243" s="27" t="str">
        <f t="shared" si="45"/>
        <v/>
      </c>
      <c r="V243" s="150"/>
      <c r="W243" s="27" t="str">
        <f t="shared" si="46"/>
        <v/>
      </c>
      <c r="X243" s="150"/>
      <c r="Y243" s="27" t="str">
        <f t="shared" si="47"/>
        <v/>
      </c>
      <c r="Z243" s="150"/>
      <c r="AA243" s="27" t="str">
        <f t="shared" si="48"/>
        <v/>
      </c>
      <c r="AB243" s="150"/>
      <c r="AC243" s="27" t="str">
        <f t="shared" si="49"/>
        <v/>
      </c>
      <c r="AD243" s="150"/>
      <c r="AE243" s="27" t="str">
        <f t="shared" si="50"/>
        <v/>
      </c>
      <c r="AF243" s="48" t="str">
        <f t="shared" si="51"/>
        <v/>
      </c>
      <c r="AG243" s="48" t="str">
        <f t="shared" si="52"/>
        <v/>
      </c>
      <c r="AH243" s="131"/>
      <c r="AI243" s="149" t="str">
        <f t="shared" si="53"/>
        <v>Débil</v>
      </c>
      <c r="AJ243" s="21" t="str">
        <f>IFERROR(VLOOKUP((CONCATENATE(AG243,AI243)),Listados!$U$3:$V$11,2,FALSE),"")</f>
        <v/>
      </c>
      <c r="AK243" s="48">
        <f t="shared" si="54"/>
        <v>100</v>
      </c>
      <c r="AL243" s="431"/>
      <c r="AM243" s="433"/>
      <c r="AN243" s="169">
        <f>+IF(AND(Q243="Preventivo",AM241="Fuerte"),2,IF(AND(Q243="Preventivo",AM241="Moderado"),1,0))</f>
        <v>0</v>
      </c>
      <c r="AO243" s="169">
        <f t="shared" si="55"/>
        <v>0</v>
      </c>
      <c r="AP243" s="169">
        <f>+K241-AN243</f>
        <v>1</v>
      </c>
      <c r="AQ243" s="169">
        <f>+M241-AO243</f>
        <v>2</v>
      </c>
      <c r="AR243" s="422"/>
      <c r="AS243" s="422"/>
      <c r="AT243" s="422"/>
      <c r="AU243" s="422"/>
      <c r="AV243" s="387"/>
      <c r="AW243" s="388"/>
      <c r="AX243" s="389"/>
      <c r="AY243" s="387"/>
      <c r="AZ243" s="388"/>
      <c r="BA243" s="389"/>
      <c r="BB243" s="387"/>
      <c r="BC243" s="388"/>
      <c r="BD243" s="389"/>
    </row>
    <row r="244" spans="1:56" ht="15.75" thickBot="1">
      <c r="A244" s="405"/>
      <c r="B244" s="407"/>
      <c r="C244" s="408"/>
      <c r="D244" s="409"/>
      <c r="E244" s="164"/>
      <c r="F244" s="164"/>
      <c r="G244" s="165"/>
      <c r="H244" s="165"/>
      <c r="I244" s="165"/>
      <c r="J244" s="407"/>
      <c r="K244" s="425"/>
      <c r="L244" s="428"/>
      <c r="M244" s="425"/>
      <c r="N244" s="435"/>
      <c r="O244" s="164"/>
      <c r="P244" s="166"/>
      <c r="Q244" s="166"/>
      <c r="R244" s="172"/>
      <c r="S244" s="27" t="str">
        <f t="shared" si="44"/>
        <v/>
      </c>
      <c r="T244" s="172"/>
      <c r="U244" s="27" t="str">
        <f t="shared" si="45"/>
        <v/>
      </c>
      <c r="V244" s="150"/>
      <c r="W244" s="27" t="str">
        <f t="shared" si="46"/>
        <v/>
      </c>
      <c r="X244" s="150"/>
      <c r="Y244" s="27" t="str">
        <f t="shared" si="47"/>
        <v/>
      </c>
      <c r="Z244" s="150"/>
      <c r="AA244" s="27" t="str">
        <f t="shared" si="48"/>
        <v/>
      </c>
      <c r="AB244" s="150"/>
      <c r="AC244" s="27" t="str">
        <f t="shared" si="49"/>
        <v/>
      </c>
      <c r="AD244" s="150"/>
      <c r="AE244" s="27" t="str">
        <f t="shared" si="50"/>
        <v/>
      </c>
      <c r="AF244" s="48" t="str">
        <f t="shared" si="51"/>
        <v/>
      </c>
      <c r="AG244" s="48" t="str">
        <f t="shared" si="52"/>
        <v/>
      </c>
      <c r="AH244" s="131"/>
      <c r="AI244" s="149" t="str">
        <f t="shared" si="53"/>
        <v>Débil</v>
      </c>
      <c r="AJ244" s="21" t="str">
        <f>IFERROR(VLOOKUP((CONCATENATE(AG244,AI244)),Listados!$U$3:$V$11,2,FALSE),"")</f>
        <v/>
      </c>
      <c r="AK244" s="48">
        <f t="shared" si="54"/>
        <v>100</v>
      </c>
      <c r="AL244" s="431"/>
      <c r="AM244" s="433"/>
      <c r="AN244" s="169">
        <f>+IF(AND(Q244="Preventivo",AM241="Fuerte"),2,IF(AND(Q244="Preventivo",AM241="Moderado"),1,0))</f>
        <v>0</v>
      </c>
      <c r="AO244" s="169">
        <f t="shared" si="55"/>
        <v>0</v>
      </c>
      <c r="AP244" s="169">
        <f>+K241-AN244</f>
        <v>1</v>
      </c>
      <c r="AQ244" s="169">
        <f>+M241-AO244</f>
        <v>2</v>
      </c>
      <c r="AR244" s="422"/>
      <c r="AS244" s="422"/>
      <c r="AT244" s="422"/>
      <c r="AU244" s="422"/>
      <c r="AV244" s="387"/>
      <c r="AW244" s="388"/>
      <c r="AX244" s="389"/>
      <c r="AY244" s="387"/>
      <c r="AZ244" s="388"/>
      <c r="BA244" s="389"/>
      <c r="BB244" s="387"/>
      <c r="BC244" s="388"/>
      <c r="BD244" s="389"/>
    </row>
    <row r="245" spans="1:56" ht="15.75" thickBot="1">
      <c r="A245" s="405"/>
      <c r="B245" s="407"/>
      <c r="C245" s="408"/>
      <c r="D245" s="409"/>
      <c r="E245" s="164"/>
      <c r="F245" s="164"/>
      <c r="G245" s="165"/>
      <c r="H245" s="165"/>
      <c r="I245" s="165"/>
      <c r="J245" s="407"/>
      <c r="K245" s="425"/>
      <c r="L245" s="428"/>
      <c r="M245" s="425"/>
      <c r="N245" s="435"/>
      <c r="O245" s="164"/>
      <c r="P245" s="166"/>
      <c r="Q245" s="166"/>
      <c r="R245" s="172"/>
      <c r="S245" s="27" t="str">
        <f t="shared" si="44"/>
        <v/>
      </c>
      <c r="T245" s="172"/>
      <c r="U245" s="27" t="str">
        <f t="shared" si="45"/>
        <v/>
      </c>
      <c r="V245" s="150"/>
      <c r="W245" s="27" t="str">
        <f t="shared" si="46"/>
        <v/>
      </c>
      <c r="X245" s="150"/>
      <c r="Y245" s="27" t="str">
        <f t="shared" si="47"/>
        <v/>
      </c>
      <c r="Z245" s="150"/>
      <c r="AA245" s="27" t="str">
        <f t="shared" si="48"/>
        <v/>
      </c>
      <c r="AB245" s="150"/>
      <c r="AC245" s="27" t="str">
        <f t="shared" si="49"/>
        <v/>
      </c>
      <c r="AD245" s="150"/>
      <c r="AE245" s="27" t="str">
        <f t="shared" si="50"/>
        <v/>
      </c>
      <c r="AF245" s="48" t="str">
        <f t="shared" si="51"/>
        <v/>
      </c>
      <c r="AG245" s="48" t="str">
        <f t="shared" si="52"/>
        <v/>
      </c>
      <c r="AH245" s="131"/>
      <c r="AI245" s="149" t="str">
        <f t="shared" si="53"/>
        <v>Débil</v>
      </c>
      <c r="AJ245" s="21" t="str">
        <f>IFERROR(VLOOKUP((CONCATENATE(AG245,AI245)),Listados!$U$3:$V$11,2,FALSE),"")</f>
        <v/>
      </c>
      <c r="AK245" s="48">
        <f t="shared" si="54"/>
        <v>100</v>
      </c>
      <c r="AL245" s="431"/>
      <c r="AM245" s="433"/>
      <c r="AN245" s="169">
        <f>+IF(AND(Q245="Preventivo",AM241="Fuerte"),2,IF(AND(Q245="Preventivo",AM241="Moderado"),1,0))</f>
        <v>0</v>
      </c>
      <c r="AO245" s="169">
        <f t="shared" si="55"/>
        <v>0</v>
      </c>
      <c r="AP245" s="169">
        <f>+K241-AN245</f>
        <v>1</v>
      </c>
      <c r="AQ245" s="169">
        <f>+M241-AO245</f>
        <v>2</v>
      </c>
      <c r="AR245" s="422"/>
      <c r="AS245" s="422"/>
      <c r="AT245" s="422"/>
      <c r="AU245" s="422"/>
      <c r="AV245" s="387"/>
      <c r="AW245" s="388"/>
      <c r="AX245" s="389"/>
      <c r="AY245" s="387"/>
      <c r="AZ245" s="388"/>
      <c r="BA245" s="389"/>
      <c r="BB245" s="387"/>
      <c r="BC245" s="388"/>
      <c r="BD245" s="389"/>
    </row>
    <row r="246" spans="1:56" ht="15.75" thickBot="1">
      <c r="A246" s="406"/>
      <c r="B246" s="407"/>
      <c r="C246" s="408"/>
      <c r="D246" s="409"/>
      <c r="E246" s="164"/>
      <c r="F246" s="164"/>
      <c r="G246" s="165"/>
      <c r="H246" s="165"/>
      <c r="I246" s="165"/>
      <c r="J246" s="407"/>
      <c r="K246" s="426"/>
      <c r="L246" s="428"/>
      <c r="M246" s="426"/>
      <c r="N246" s="435"/>
      <c r="O246" s="164"/>
      <c r="P246" s="166"/>
      <c r="Q246" s="166"/>
      <c r="R246" s="172"/>
      <c r="S246" s="27" t="str">
        <f t="shared" si="44"/>
        <v/>
      </c>
      <c r="T246" s="172"/>
      <c r="U246" s="27" t="str">
        <f t="shared" si="45"/>
        <v/>
      </c>
      <c r="V246" s="150"/>
      <c r="W246" s="27" t="str">
        <f t="shared" si="46"/>
        <v/>
      </c>
      <c r="X246" s="150"/>
      <c r="Y246" s="27" t="str">
        <f t="shared" si="47"/>
        <v/>
      </c>
      <c r="Z246" s="150"/>
      <c r="AA246" s="27" t="str">
        <f t="shared" si="48"/>
        <v/>
      </c>
      <c r="AB246" s="150"/>
      <c r="AC246" s="27" t="str">
        <f t="shared" si="49"/>
        <v/>
      </c>
      <c r="AD246" s="150"/>
      <c r="AE246" s="27" t="str">
        <f t="shared" si="50"/>
        <v/>
      </c>
      <c r="AF246" s="48" t="str">
        <f t="shared" si="51"/>
        <v/>
      </c>
      <c r="AG246" s="48" t="str">
        <f t="shared" si="52"/>
        <v/>
      </c>
      <c r="AH246" s="131"/>
      <c r="AI246" s="149" t="str">
        <f t="shared" si="53"/>
        <v>Débil</v>
      </c>
      <c r="AJ246" s="21" t="str">
        <f>IFERROR(VLOOKUP((CONCATENATE(AG246,AI246)),Listados!$U$3:$V$11,2,FALSE),"")</f>
        <v/>
      </c>
      <c r="AK246" s="48">
        <f t="shared" si="54"/>
        <v>100</v>
      </c>
      <c r="AL246" s="432"/>
      <c r="AM246" s="433"/>
      <c r="AN246" s="169">
        <f>+IF(AND(Q246="Preventivo",AM241="Fuerte"),2,IF(AND(Q246="Preventivo",AM241="Moderado"),1,0))</f>
        <v>0</v>
      </c>
      <c r="AO246" s="169">
        <f t="shared" si="55"/>
        <v>0</v>
      </c>
      <c r="AP246" s="169">
        <f>+K241-AN246</f>
        <v>1</v>
      </c>
      <c r="AQ246" s="169">
        <f>+M241-AO246</f>
        <v>2</v>
      </c>
      <c r="AR246" s="423"/>
      <c r="AS246" s="423"/>
      <c r="AT246" s="423"/>
      <c r="AU246" s="423"/>
      <c r="AV246" s="387"/>
      <c r="AW246" s="388"/>
      <c r="AX246" s="389"/>
      <c r="AY246" s="387"/>
      <c r="AZ246" s="388"/>
      <c r="BA246" s="389"/>
      <c r="BB246" s="387"/>
      <c r="BC246" s="388"/>
      <c r="BD246" s="389"/>
    </row>
    <row r="247" spans="1:56" ht="114.75" thickBot="1">
      <c r="A247" s="404">
        <v>41</v>
      </c>
      <c r="B247" s="407" t="s">
        <v>50</v>
      </c>
      <c r="C247" s="408" t="str">
        <f>IFERROR(VLOOKUP(B247,Listados!B$3:C$20,2,FALSE),"")</f>
        <v xml:space="preserve">Coordinar y administrar la implementación del Sistema Integrado de Gestión del Ministerio de Justicia y de Derecho, con el fin de 
asegurar su mejora contlnua, conveniencia, eficacia y eficiencia conforme con los estándares adoptados. </v>
      </c>
      <c r="D247" s="409" t="s">
        <v>509</v>
      </c>
      <c r="E247" s="164" t="s">
        <v>52</v>
      </c>
      <c r="F247" s="164"/>
      <c r="G247" s="165" t="s">
        <v>510</v>
      </c>
      <c r="H247" s="165" t="s">
        <v>16</v>
      </c>
      <c r="I247" s="165" t="s">
        <v>511</v>
      </c>
      <c r="J247" s="407" t="s">
        <v>53</v>
      </c>
      <c r="K247" s="424">
        <f>+VLOOKUP(J247,Listados!$K$8:$L$12,2,0)</f>
        <v>4</v>
      </c>
      <c r="L247" s="427" t="s">
        <v>18</v>
      </c>
      <c r="M247" s="424">
        <f>+VLOOKUP(L247,Listados!$K$13:$L$17,2,0)</f>
        <v>1</v>
      </c>
      <c r="N247" s="434" t="str">
        <f>IF(AND(J247&lt;&gt;"",L247&lt;&gt;""),VLOOKUP(J247&amp;L247,Listados!$M$3:$N$27,2,FALSE),"")</f>
        <v>Moderado</v>
      </c>
      <c r="O247" s="164" t="s">
        <v>512</v>
      </c>
      <c r="P247" s="164" t="s">
        <v>510</v>
      </c>
      <c r="Q247" s="165" t="s">
        <v>123</v>
      </c>
      <c r="R247" s="172"/>
      <c r="S247" s="27" t="str">
        <f t="shared" si="44"/>
        <v/>
      </c>
      <c r="T247" s="172"/>
      <c r="U247" s="27" t="str">
        <f t="shared" si="45"/>
        <v/>
      </c>
      <c r="V247" s="150"/>
      <c r="W247" s="27" t="str">
        <f t="shared" si="46"/>
        <v/>
      </c>
      <c r="X247" s="150"/>
      <c r="Y247" s="27" t="str">
        <f t="shared" si="47"/>
        <v/>
      </c>
      <c r="Z247" s="150"/>
      <c r="AA247" s="27" t="str">
        <f t="shared" si="48"/>
        <v/>
      </c>
      <c r="AB247" s="150"/>
      <c r="AC247" s="27" t="str">
        <f t="shared" si="49"/>
        <v/>
      </c>
      <c r="AD247" s="150"/>
      <c r="AE247" s="27" t="str">
        <f t="shared" si="50"/>
        <v/>
      </c>
      <c r="AF247" s="48" t="str">
        <f t="shared" si="51"/>
        <v/>
      </c>
      <c r="AG247" s="48" t="str">
        <f t="shared" si="52"/>
        <v/>
      </c>
      <c r="AH247" s="131"/>
      <c r="AI247" s="149" t="str">
        <f t="shared" si="53"/>
        <v>Débil</v>
      </c>
      <c r="AJ247" s="21" t="str">
        <f>IFERROR(VLOOKUP((CONCATENATE(AG247,AI247)),Listados!$U$3:$V$11,2,FALSE),"")</f>
        <v/>
      </c>
      <c r="AK247" s="48">
        <f t="shared" si="54"/>
        <v>100</v>
      </c>
      <c r="AL247" s="430">
        <f>AVERAGE(AK247:AK252)</f>
        <v>100</v>
      </c>
      <c r="AM247" s="432" t="str">
        <f>IF(AL247&lt;=50, "Débil", IF(AL247&lt;=99,"Moderado","Fuerte"))</f>
        <v>Fuerte</v>
      </c>
      <c r="AN247" s="169">
        <f>+IF(AND(Q247="Preventivo",AM247="Fuerte"),2,IF(AND(Q247="Preventivo",AM247="Moderado"),1,0))</f>
        <v>0</v>
      </c>
      <c r="AO247" s="169">
        <f t="shared" si="55"/>
        <v>2</v>
      </c>
      <c r="AP247" s="169">
        <f>+K247-AN247</f>
        <v>4</v>
      </c>
      <c r="AQ247" s="169">
        <f>+M247-AO247</f>
        <v>-1</v>
      </c>
      <c r="AR247" s="421" t="str">
        <f>+VLOOKUP(MIN(AP247,AP248,AP249,AP250,AP251,AP252),Listados!$J$18:$K$24,2,TRUE)</f>
        <v>Improbable</v>
      </c>
      <c r="AS247" s="421" t="e">
        <f>+VLOOKUP(MIN(AQ247,AQ248,AQ249,AQ250,AQ251,AQ252),Listados!$J$27:$K$32,2,TRUE)</f>
        <v>#N/A</v>
      </c>
      <c r="AT247" s="421" t="e">
        <f>IF(AND(AR247&lt;&gt;"",AS247&lt;&gt;""),VLOOKUP(AR247&amp;AS247,Listados!$M$3:$N$27,2,FALSE),"")</f>
        <v>#N/A</v>
      </c>
      <c r="AU247" s="421" t="e">
        <f>+VLOOKUP(AT247,Listados!$P$3:$Q$6,2,FALSE)</f>
        <v>#N/A</v>
      </c>
      <c r="AV247" s="387"/>
      <c r="AW247" s="388"/>
      <c r="AX247" s="389"/>
      <c r="AY247" s="387"/>
      <c r="AZ247" s="388"/>
      <c r="BA247" s="389"/>
      <c r="BB247" s="387"/>
      <c r="BC247" s="388"/>
      <c r="BD247" s="389"/>
    </row>
    <row r="248" spans="1:56" ht="143.25" thickBot="1">
      <c r="A248" s="405"/>
      <c r="B248" s="407"/>
      <c r="C248" s="408"/>
      <c r="D248" s="409"/>
      <c r="E248" s="164"/>
      <c r="F248" s="164"/>
      <c r="G248" s="165" t="s">
        <v>513</v>
      </c>
      <c r="H248" s="165" t="s">
        <v>16</v>
      </c>
      <c r="I248" s="165" t="s">
        <v>514</v>
      </c>
      <c r="J248" s="407"/>
      <c r="K248" s="425"/>
      <c r="L248" s="428"/>
      <c r="M248" s="425"/>
      <c r="N248" s="435"/>
      <c r="O248" s="164" t="s">
        <v>515</v>
      </c>
      <c r="P248" s="164" t="s">
        <v>513</v>
      </c>
      <c r="Q248" s="165" t="s">
        <v>20</v>
      </c>
      <c r="R248" s="172"/>
      <c r="S248" s="27" t="str">
        <f t="shared" si="44"/>
        <v/>
      </c>
      <c r="T248" s="172"/>
      <c r="U248" s="27" t="str">
        <f t="shared" si="45"/>
        <v/>
      </c>
      <c r="V248" s="150"/>
      <c r="W248" s="27" t="str">
        <f t="shared" si="46"/>
        <v/>
      </c>
      <c r="X248" s="150"/>
      <c r="Y248" s="27" t="str">
        <f t="shared" si="47"/>
        <v/>
      </c>
      <c r="Z248" s="150"/>
      <c r="AA248" s="27" t="str">
        <f t="shared" si="48"/>
        <v/>
      </c>
      <c r="AB248" s="150"/>
      <c r="AC248" s="27" t="str">
        <f t="shared" si="49"/>
        <v/>
      </c>
      <c r="AD248" s="150"/>
      <c r="AE248" s="27" t="str">
        <f t="shared" si="50"/>
        <v/>
      </c>
      <c r="AF248" s="48" t="str">
        <f t="shared" si="51"/>
        <v/>
      </c>
      <c r="AG248" s="48" t="str">
        <f t="shared" si="52"/>
        <v/>
      </c>
      <c r="AH248" s="131"/>
      <c r="AI248" s="149" t="str">
        <f t="shared" si="53"/>
        <v>Débil</v>
      </c>
      <c r="AJ248" s="21" t="str">
        <f>IFERROR(VLOOKUP((CONCATENATE(AG248,AI248)),Listados!$U$3:$V$11,2,FALSE),"")</f>
        <v/>
      </c>
      <c r="AK248" s="48">
        <f t="shared" si="54"/>
        <v>100</v>
      </c>
      <c r="AL248" s="431"/>
      <c r="AM248" s="433"/>
      <c r="AN248" s="169">
        <f>+IF(AND(Q248="Preventivo",AM247="Fuerte"),2,IF(AND(Q248="Preventivo",AM247="Moderado"),1,0))</f>
        <v>2</v>
      </c>
      <c r="AO248" s="169">
        <f t="shared" si="55"/>
        <v>1</v>
      </c>
      <c r="AP248" s="169">
        <f>+K247-AN248</f>
        <v>2</v>
      </c>
      <c r="AQ248" s="169">
        <f>+M247-AO248</f>
        <v>0</v>
      </c>
      <c r="AR248" s="422"/>
      <c r="AS248" s="422"/>
      <c r="AT248" s="422"/>
      <c r="AU248" s="422"/>
      <c r="AV248" s="387"/>
      <c r="AW248" s="388"/>
      <c r="AX248" s="389"/>
      <c r="AY248" s="387"/>
      <c r="AZ248" s="388"/>
      <c r="BA248" s="389"/>
      <c r="BB248" s="387"/>
      <c r="BC248" s="388"/>
      <c r="BD248" s="389"/>
    </row>
    <row r="249" spans="1:56" ht="129" thickBot="1">
      <c r="A249" s="405"/>
      <c r="B249" s="407"/>
      <c r="C249" s="408"/>
      <c r="D249" s="409"/>
      <c r="E249" s="164"/>
      <c r="F249" s="164"/>
      <c r="G249" s="165" t="s">
        <v>516</v>
      </c>
      <c r="H249" s="165" t="s">
        <v>16</v>
      </c>
      <c r="I249" s="165" t="s">
        <v>517</v>
      </c>
      <c r="J249" s="407"/>
      <c r="K249" s="425"/>
      <c r="L249" s="428"/>
      <c r="M249" s="425"/>
      <c r="N249" s="435"/>
      <c r="O249" s="164" t="s">
        <v>518</v>
      </c>
      <c r="P249" s="164" t="s">
        <v>516</v>
      </c>
      <c r="Q249" s="165" t="s">
        <v>20</v>
      </c>
      <c r="R249" s="172"/>
      <c r="S249" s="27" t="str">
        <f t="shared" si="44"/>
        <v/>
      </c>
      <c r="T249" s="172"/>
      <c r="U249" s="27" t="str">
        <f t="shared" si="45"/>
        <v/>
      </c>
      <c r="V249" s="150"/>
      <c r="W249" s="27" t="str">
        <f t="shared" si="46"/>
        <v/>
      </c>
      <c r="X249" s="150"/>
      <c r="Y249" s="27" t="str">
        <f t="shared" si="47"/>
        <v/>
      </c>
      <c r="Z249" s="150"/>
      <c r="AA249" s="27" t="str">
        <f t="shared" si="48"/>
        <v/>
      </c>
      <c r="AB249" s="150"/>
      <c r="AC249" s="27" t="str">
        <f t="shared" si="49"/>
        <v/>
      </c>
      <c r="AD249" s="150"/>
      <c r="AE249" s="27" t="str">
        <f t="shared" si="50"/>
        <v/>
      </c>
      <c r="AF249" s="48" t="str">
        <f t="shared" si="51"/>
        <v/>
      </c>
      <c r="AG249" s="48" t="str">
        <f t="shared" si="52"/>
        <v/>
      </c>
      <c r="AH249" s="131"/>
      <c r="AI249" s="149" t="str">
        <f t="shared" si="53"/>
        <v>Débil</v>
      </c>
      <c r="AJ249" s="21" t="str">
        <f>IFERROR(VLOOKUP((CONCATENATE(AG249,AI249)),Listados!$U$3:$V$11,2,FALSE),"")</f>
        <v/>
      </c>
      <c r="AK249" s="48">
        <f t="shared" si="54"/>
        <v>100</v>
      </c>
      <c r="AL249" s="431"/>
      <c r="AM249" s="433"/>
      <c r="AN249" s="169">
        <f>+IF(AND(Q249="Preventivo",AM247="Fuerte"),2,IF(AND(Q249="Preventivo",AM247="Moderado"),1,0))</f>
        <v>2</v>
      </c>
      <c r="AO249" s="169">
        <f t="shared" si="55"/>
        <v>1</v>
      </c>
      <c r="AP249" s="169">
        <f>+K247-AN249</f>
        <v>2</v>
      </c>
      <c r="AQ249" s="169">
        <f>+M247-AO249</f>
        <v>0</v>
      </c>
      <c r="AR249" s="422"/>
      <c r="AS249" s="422"/>
      <c r="AT249" s="422"/>
      <c r="AU249" s="422"/>
      <c r="AV249" s="387"/>
      <c r="AW249" s="388"/>
      <c r="AX249" s="389"/>
      <c r="AY249" s="387"/>
      <c r="AZ249" s="388"/>
      <c r="BA249" s="389"/>
      <c r="BB249" s="387"/>
      <c r="BC249" s="388"/>
      <c r="BD249" s="389"/>
    </row>
    <row r="250" spans="1:56" ht="15.75" thickBot="1">
      <c r="A250" s="405"/>
      <c r="B250" s="407"/>
      <c r="C250" s="408"/>
      <c r="D250" s="409"/>
      <c r="E250" s="164"/>
      <c r="F250" s="164"/>
      <c r="G250" s="165"/>
      <c r="H250" s="165"/>
      <c r="I250" s="165"/>
      <c r="J250" s="407"/>
      <c r="K250" s="425"/>
      <c r="L250" s="428"/>
      <c r="M250" s="425"/>
      <c r="N250" s="435"/>
      <c r="O250" s="164"/>
      <c r="P250" s="166"/>
      <c r="Q250" s="166"/>
      <c r="R250" s="172"/>
      <c r="S250" s="27" t="str">
        <f t="shared" si="44"/>
        <v/>
      </c>
      <c r="T250" s="172"/>
      <c r="U250" s="27" t="str">
        <f t="shared" si="45"/>
        <v/>
      </c>
      <c r="V250" s="150"/>
      <c r="W250" s="27" t="str">
        <f t="shared" si="46"/>
        <v/>
      </c>
      <c r="X250" s="150"/>
      <c r="Y250" s="27" t="str">
        <f t="shared" si="47"/>
        <v/>
      </c>
      <c r="Z250" s="150"/>
      <c r="AA250" s="27" t="str">
        <f t="shared" si="48"/>
        <v/>
      </c>
      <c r="AB250" s="150"/>
      <c r="AC250" s="27" t="str">
        <f t="shared" si="49"/>
        <v/>
      </c>
      <c r="AD250" s="150"/>
      <c r="AE250" s="27" t="str">
        <f t="shared" si="50"/>
        <v/>
      </c>
      <c r="AF250" s="48" t="str">
        <f t="shared" si="51"/>
        <v/>
      </c>
      <c r="AG250" s="48" t="str">
        <f t="shared" si="52"/>
        <v/>
      </c>
      <c r="AH250" s="131"/>
      <c r="AI250" s="149" t="str">
        <f t="shared" si="53"/>
        <v>Débil</v>
      </c>
      <c r="AJ250" s="21" t="str">
        <f>IFERROR(VLOOKUP((CONCATENATE(AG250,AI250)),Listados!$U$3:$V$11,2,FALSE),"")</f>
        <v/>
      </c>
      <c r="AK250" s="48">
        <f t="shared" si="54"/>
        <v>100</v>
      </c>
      <c r="AL250" s="431"/>
      <c r="AM250" s="433"/>
      <c r="AN250" s="169">
        <f>+IF(AND(Q250="Preventivo",AM247="Fuerte"),2,IF(AND(Q250="Preventivo",AM247="Moderado"),1,0))</f>
        <v>0</v>
      </c>
      <c r="AO250" s="169">
        <f t="shared" si="55"/>
        <v>0</v>
      </c>
      <c r="AP250" s="169">
        <f>+K247-AN250</f>
        <v>4</v>
      </c>
      <c r="AQ250" s="169">
        <f>+M247-AO250</f>
        <v>1</v>
      </c>
      <c r="AR250" s="422"/>
      <c r="AS250" s="422"/>
      <c r="AT250" s="422"/>
      <c r="AU250" s="422"/>
      <c r="AV250" s="387"/>
      <c r="AW250" s="388"/>
      <c r="AX250" s="389"/>
      <c r="AY250" s="387"/>
      <c r="AZ250" s="388"/>
      <c r="BA250" s="389"/>
      <c r="BB250" s="387"/>
      <c r="BC250" s="388"/>
      <c r="BD250" s="389"/>
    </row>
    <row r="251" spans="1:56" ht="15.75" thickBot="1">
      <c r="A251" s="405"/>
      <c r="B251" s="407"/>
      <c r="C251" s="408"/>
      <c r="D251" s="409"/>
      <c r="E251" s="164"/>
      <c r="F251" s="164"/>
      <c r="G251" s="165"/>
      <c r="H251" s="165"/>
      <c r="I251" s="165"/>
      <c r="J251" s="407"/>
      <c r="K251" s="425"/>
      <c r="L251" s="428"/>
      <c r="M251" s="425"/>
      <c r="N251" s="435"/>
      <c r="O251" s="164"/>
      <c r="P251" s="166"/>
      <c r="Q251" s="166"/>
      <c r="R251" s="172"/>
      <c r="S251" s="27" t="str">
        <f t="shared" si="44"/>
        <v/>
      </c>
      <c r="T251" s="172"/>
      <c r="U251" s="27" t="str">
        <f t="shared" si="45"/>
        <v/>
      </c>
      <c r="V251" s="150"/>
      <c r="W251" s="27" t="str">
        <f t="shared" si="46"/>
        <v/>
      </c>
      <c r="X251" s="150"/>
      <c r="Y251" s="27" t="str">
        <f t="shared" si="47"/>
        <v/>
      </c>
      <c r="Z251" s="150"/>
      <c r="AA251" s="27" t="str">
        <f t="shared" si="48"/>
        <v/>
      </c>
      <c r="AB251" s="150"/>
      <c r="AC251" s="27" t="str">
        <f t="shared" si="49"/>
        <v/>
      </c>
      <c r="AD251" s="150"/>
      <c r="AE251" s="27" t="str">
        <f t="shared" si="50"/>
        <v/>
      </c>
      <c r="AF251" s="48" t="str">
        <f t="shared" si="51"/>
        <v/>
      </c>
      <c r="AG251" s="48" t="str">
        <f t="shared" si="52"/>
        <v/>
      </c>
      <c r="AH251" s="131"/>
      <c r="AI251" s="149" t="str">
        <f t="shared" si="53"/>
        <v>Débil</v>
      </c>
      <c r="AJ251" s="21" t="str">
        <f>IFERROR(VLOOKUP((CONCATENATE(AG251,AI251)),Listados!$U$3:$V$11,2,FALSE),"")</f>
        <v/>
      </c>
      <c r="AK251" s="48">
        <f t="shared" si="54"/>
        <v>100</v>
      </c>
      <c r="AL251" s="431"/>
      <c r="AM251" s="433"/>
      <c r="AN251" s="169">
        <f>+IF(AND(Q251="Preventivo",AM247="Fuerte"),2,IF(AND(Q251="Preventivo",AM247="Moderado"),1,0))</f>
        <v>0</v>
      </c>
      <c r="AO251" s="169">
        <f t="shared" si="55"/>
        <v>0</v>
      </c>
      <c r="AP251" s="169">
        <f>+K247-AN251</f>
        <v>4</v>
      </c>
      <c r="AQ251" s="169">
        <f>+M247-AO251</f>
        <v>1</v>
      </c>
      <c r="AR251" s="422"/>
      <c r="AS251" s="422"/>
      <c r="AT251" s="422"/>
      <c r="AU251" s="422"/>
      <c r="AV251" s="387"/>
      <c r="AW251" s="388"/>
      <c r="AX251" s="389"/>
      <c r="AY251" s="387"/>
      <c r="AZ251" s="388"/>
      <c r="BA251" s="389"/>
      <c r="BB251" s="387"/>
      <c r="BC251" s="388"/>
      <c r="BD251" s="389"/>
    </row>
    <row r="252" spans="1:56" ht="15.75" thickBot="1">
      <c r="A252" s="406"/>
      <c r="B252" s="407"/>
      <c r="C252" s="408"/>
      <c r="D252" s="409"/>
      <c r="E252" s="164"/>
      <c r="F252" s="164"/>
      <c r="G252" s="165"/>
      <c r="H252" s="165"/>
      <c r="I252" s="165"/>
      <c r="J252" s="407"/>
      <c r="K252" s="426"/>
      <c r="L252" s="428"/>
      <c r="M252" s="426"/>
      <c r="N252" s="435"/>
      <c r="O252" s="164"/>
      <c r="P252" s="166"/>
      <c r="Q252" s="166"/>
      <c r="R252" s="172"/>
      <c r="S252" s="27" t="str">
        <f t="shared" si="44"/>
        <v/>
      </c>
      <c r="T252" s="172"/>
      <c r="U252" s="27" t="str">
        <f t="shared" si="45"/>
        <v/>
      </c>
      <c r="V252" s="150"/>
      <c r="W252" s="27" t="str">
        <f t="shared" si="46"/>
        <v/>
      </c>
      <c r="X252" s="150"/>
      <c r="Y252" s="27" t="str">
        <f t="shared" si="47"/>
        <v/>
      </c>
      <c r="Z252" s="150"/>
      <c r="AA252" s="27" t="str">
        <f t="shared" si="48"/>
        <v/>
      </c>
      <c r="AB252" s="150"/>
      <c r="AC252" s="27" t="str">
        <f t="shared" si="49"/>
        <v/>
      </c>
      <c r="AD252" s="150"/>
      <c r="AE252" s="27" t="str">
        <f t="shared" si="50"/>
        <v/>
      </c>
      <c r="AF252" s="48" t="str">
        <f t="shared" si="51"/>
        <v/>
      </c>
      <c r="AG252" s="48" t="str">
        <f t="shared" si="52"/>
        <v/>
      </c>
      <c r="AH252" s="131"/>
      <c r="AI252" s="149" t="str">
        <f t="shared" si="53"/>
        <v>Débil</v>
      </c>
      <c r="AJ252" s="21" t="str">
        <f>IFERROR(VLOOKUP((CONCATENATE(AG252,AI252)),Listados!$U$3:$V$11,2,FALSE),"")</f>
        <v/>
      </c>
      <c r="AK252" s="48">
        <f t="shared" si="54"/>
        <v>100</v>
      </c>
      <c r="AL252" s="432"/>
      <c r="AM252" s="433"/>
      <c r="AN252" s="169">
        <f>+IF(AND(Q252="Preventivo",AM247="Fuerte"),2,IF(AND(Q252="Preventivo",AM247="Moderado"),1,0))</f>
        <v>0</v>
      </c>
      <c r="AO252" s="169">
        <f t="shared" si="55"/>
        <v>0</v>
      </c>
      <c r="AP252" s="169">
        <f>+K247-AN252</f>
        <v>4</v>
      </c>
      <c r="AQ252" s="169">
        <f>+M247-AO252</f>
        <v>1</v>
      </c>
      <c r="AR252" s="423"/>
      <c r="AS252" s="423"/>
      <c r="AT252" s="423"/>
      <c r="AU252" s="423"/>
      <c r="AV252" s="387"/>
      <c r="AW252" s="388"/>
      <c r="AX252" s="389"/>
      <c r="AY252" s="387"/>
      <c r="AZ252" s="388"/>
      <c r="BA252" s="389"/>
      <c r="BB252" s="387"/>
      <c r="BC252" s="388"/>
      <c r="BD252" s="389"/>
    </row>
    <row r="253" spans="1:56" ht="114.75" thickBot="1">
      <c r="A253" s="404">
        <v>42</v>
      </c>
      <c r="B253" s="407" t="s">
        <v>50</v>
      </c>
      <c r="C253" s="408" t="str">
        <f>IFERROR(VLOOKUP(B253,Listados!B$3:C$20,2,FALSE),"")</f>
        <v xml:space="preserve">Coordinar y administrar la implementación del Sistema Integrado de Gestión del Ministerio de Justicia y de Derecho, con el fin de 
asegurar su mejora contlnua, conveniencia, eficacia y eficiencia conforme con los estándares adoptados. </v>
      </c>
      <c r="D253" s="409" t="s">
        <v>519</v>
      </c>
      <c r="E253" s="164" t="s">
        <v>52</v>
      </c>
      <c r="F253" s="164"/>
      <c r="G253" s="165" t="s">
        <v>520</v>
      </c>
      <c r="H253" s="165" t="s">
        <v>16</v>
      </c>
      <c r="I253" s="165" t="s">
        <v>517</v>
      </c>
      <c r="J253" s="407" t="s">
        <v>53</v>
      </c>
      <c r="K253" s="424">
        <f>+VLOOKUP(J253,Listados!$K$8:$L$12,2,0)</f>
        <v>4</v>
      </c>
      <c r="L253" s="427" t="s">
        <v>18</v>
      </c>
      <c r="M253" s="424">
        <f>+VLOOKUP(L253,Listados!$K$13:$L$17,2,0)</f>
        <v>1</v>
      </c>
      <c r="N253" s="434" t="str">
        <f>IF(AND(J253&lt;&gt;"",L253&lt;&gt;""),VLOOKUP(J253&amp;L253,Listados!$M$3:$N$27,2,FALSE),"")</f>
        <v>Moderado</v>
      </c>
      <c r="O253" s="164" t="s">
        <v>521</v>
      </c>
      <c r="P253" s="165" t="s">
        <v>520</v>
      </c>
      <c r="Q253" s="165" t="s">
        <v>20</v>
      </c>
      <c r="R253" s="172"/>
      <c r="S253" s="27" t="str">
        <f t="shared" si="44"/>
        <v/>
      </c>
      <c r="T253" s="172"/>
      <c r="U253" s="27" t="str">
        <f t="shared" si="45"/>
        <v/>
      </c>
      <c r="V253" s="150"/>
      <c r="W253" s="27" t="str">
        <f t="shared" si="46"/>
        <v/>
      </c>
      <c r="X253" s="150"/>
      <c r="Y253" s="27" t="str">
        <f t="shared" si="47"/>
        <v/>
      </c>
      <c r="Z253" s="150"/>
      <c r="AA253" s="27" t="str">
        <f t="shared" si="48"/>
        <v/>
      </c>
      <c r="AB253" s="150"/>
      <c r="AC253" s="27" t="str">
        <f t="shared" si="49"/>
        <v/>
      </c>
      <c r="AD253" s="150"/>
      <c r="AE253" s="27" t="str">
        <f t="shared" si="50"/>
        <v/>
      </c>
      <c r="AF253" s="48" t="str">
        <f t="shared" si="51"/>
        <v/>
      </c>
      <c r="AG253" s="48" t="str">
        <f t="shared" si="52"/>
        <v/>
      </c>
      <c r="AH253" s="131"/>
      <c r="AI253" s="149" t="str">
        <f t="shared" si="53"/>
        <v>Débil</v>
      </c>
      <c r="AJ253" s="21" t="str">
        <f>IFERROR(VLOOKUP((CONCATENATE(AG253,AI253)),Listados!$U$3:$V$11,2,FALSE),"")</f>
        <v/>
      </c>
      <c r="AK253" s="48">
        <f t="shared" si="54"/>
        <v>100</v>
      </c>
      <c r="AL253" s="430">
        <f>AVERAGE(AK253:AK258)</f>
        <v>100</v>
      </c>
      <c r="AM253" s="432" t="str">
        <f>IF(AL253&lt;=50, "Débil", IF(AL253&lt;=99,"Moderado","Fuerte"))</f>
        <v>Fuerte</v>
      </c>
      <c r="AN253" s="169">
        <f>+IF(AND(Q253="Preventivo",AM253="Fuerte"),2,IF(AND(Q253="Preventivo",AM253="Moderado"),1,0))</f>
        <v>2</v>
      </c>
      <c r="AO253" s="169">
        <f t="shared" si="55"/>
        <v>1</v>
      </c>
      <c r="AP253" s="169">
        <f>+K253-AN253</f>
        <v>2</v>
      </c>
      <c r="AQ253" s="169">
        <f>+M253-AO253</f>
        <v>0</v>
      </c>
      <c r="AR253" s="421" t="str">
        <f>+VLOOKUP(MIN(AP253,AP254,AP255,AP256,AP257,AP258),Listados!$J$18:$K$24,2,TRUE)</f>
        <v>Improbable</v>
      </c>
      <c r="AS253" s="421" t="str">
        <f>+VLOOKUP(MIN(AQ253,AQ254,AQ255,AQ256,AQ257,AQ258),Listados!$J$27:$K$32,2,TRUE)</f>
        <v>Insignificante</v>
      </c>
      <c r="AT253" s="421" t="str">
        <f>IF(AND(AR253&lt;&gt;"",AS253&lt;&gt;""),VLOOKUP(AR253&amp;AS253,Listados!$M$3:$N$27,2,FALSE),"")</f>
        <v>Bajo</v>
      </c>
      <c r="AU253" s="421" t="str">
        <f>+VLOOKUP(AT253,Listados!$P$3:$Q$6,2,FALSE)</f>
        <v>Asumir el riesgo</v>
      </c>
      <c r="AV253" s="387"/>
      <c r="AW253" s="388"/>
      <c r="AX253" s="389"/>
      <c r="AY253" s="387"/>
      <c r="AZ253" s="388"/>
      <c r="BA253" s="389"/>
      <c r="BB253" s="387"/>
      <c r="BC253" s="388"/>
      <c r="BD253" s="389"/>
    </row>
    <row r="254" spans="1:56" ht="143.25" thickBot="1">
      <c r="A254" s="405"/>
      <c r="B254" s="407"/>
      <c r="C254" s="408"/>
      <c r="D254" s="409"/>
      <c r="E254" s="164"/>
      <c r="F254" s="164"/>
      <c r="G254" s="165" t="s">
        <v>522</v>
      </c>
      <c r="H254" s="165" t="s">
        <v>16</v>
      </c>
      <c r="I254" s="165" t="s">
        <v>523</v>
      </c>
      <c r="J254" s="407"/>
      <c r="K254" s="425"/>
      <c r="L254" s="428"/>
      <c r="M254" s="425"/>
      <c r="N254" s="435"/>
      <c r="O254" s="164" t="s">
        <v>524</v>
      </c>
      <c r="P254" s="165" t="s">
        <v>522</v>
      </c>
      <c r="Q254" s="165" t="s">
        <v>20</v>
      </c>
      <c r="R254" s="172"/>
      <c r="S254" s="27" t="str">
        <f t="shared" si="44"/>
        <v/>
      </c>
      <c r="T254" s="172"/>
      <c r="U254" s="27" t="str">
        <f t="shared" si="45"/>
        <v/>
      </c>
      <c r="V254" s="150"/>
      <c r="W254" s="27" t="str">
        <f t="shared" si="46"/>
        <v/>
      </c>
      <c r="X254" s="150"/>
      <c r="Y254" s="27" t="str">
        <f t="shared" si="47"/>
        <v/>
      </c>
      <c r="Z254" s="150"/>
      <c r="AA254" s="27" t="str">
        <f t="shared" si="48"/>
        <v/>
      </c>
      <c r="AB254" s="150"/>
      <c r="AC254" s="27" t="str">
        <f t="shared" si="49"/>
        <v/>
      </c>
      <c r="AD254" s="150"/>
      <c r="AE254" s="27" t="str">
        <f t="shared" si="50"/>
        <v/>
      </c>
      <c r="AF254" s="48" t="str">
        <f t="shared" si="51"/>
        <v/>
      </c>
      <c r="AG254" s="48" t="str">
        <f t="shared" si="52"/>
        <v/>
      </c>
      <c r="AH254" s="131"/>
      <c r="AI254" s="149" t="str">
        <f t="shared" si="53"/>
        <v>Débil</v>
      </c>
      <c r="AJ254" s="21" t="str">
        <f>IFERROR(VLOOKUP((CONCATENATE(AG254,AI254)),Listados!$U$3:$V$11,2,FALSE),"")</f>
        <v/>
      </c>
      <c r="AK254" s="48">
        <f t="shared" si="54"/>
        <v>100</v>
      </c>
      <c r="AL254" s="431"/>
      <c r="AM254" s="433"/>
      <c r="AN254" s="169">
        <f>+IF(AND(Q254="Preventivo",AM253="Fuerte"),2,IF(AND(Q254="Preventivo",AM253="Moderado"),1,0))</f>
        <v>2</v>
      </c>
      <c r="AO254" s="169">
        <f t="shared" si="55"/>
        <v>1</v>
      </c>
      <c r="AP254" s="169">
        <f>+K253-AN254</f>
        <v>2</v>
      </c>
      <c r="AQ254" s="169">
        <f>+M253-AO254</f>
        <v>0</v>
      </c>
      <c r="AR254" s="422"/>
      <c r="AS254" s="422"/>
      <c r="AT254" s="422"/>
      <c r="AU254" s="422"/>
      <c r="AV254" s="387"/>
      <c r="AW254" s="388"/>
      <c r="AX254" s="389"/>
      <c r="AY254" s="387"/>
      <c r="AZ254" s="388"/>
      <c r="BA254" s="389"/>
      <c r="BB254" s="387"/>
      <c r="BC254" s="388"/>
      <c r="BD254" s="389"/>
    </row>
    <row r="255" spans="1:56" ht="29.25" thickBot="1">
      <c r="A255" s="405"/>
      <c r="B255" s="407"/>
      <c r="C255" s="408"/>
      <c r="D255" s="409"/>
      <c r="E255" s="164"/>
      <c r="F255" s="164"/>
      <c r="G255" s="165"/>
      <c r="H255" s="165"/>
      <c r="I255" s="165" t="s">
        <v>525</v>
      </c>
      <c r="J255" s="407"/>
      <c r="K255" s="425"/>
      <c r="L255" s="428"/>
      <c r="M255" s="425"/>
      <c r="N255" s="435"/>
      <c r="O255" s="164"/>
      <c r="P255" s="166"/>
      <c r="Q255" s="166"/>
      <c r="R255" s="172"/>
      <c r="S255" s="27" t="str">
        <f t="shared" si="44"/>
        <v/>
      </c>
      <c r="T255" s="172"/>
      <c r="U255" s="27" t="str">
        <f t="shared" si="45"/>
        <v/>
      </c>
      <c r="V255" s="150"/>
      <c r="W255" s="27" t="str">
        <f t="shared" si="46"/>
        <v/>
      </c>
      <c r="X255" s="150"/>
      <c r="Y255" s="27" t="str">
        <f t="shared" si="47"/>
        <v/>
      </c>
      <c r="Z255" s="150"/>
      <c r="AA255" s="27" t="str">
        <f t="shared" si="48"/>
        <v/>
      </c>
      <c r="AB255" s="150"/>
      <c r="AC255" s="27" t="str">
        <f t="shared" si="49"/>
        <v/>
      </c>
      <c r="AD255" s="150"/>
      <c r="AE255" s="27" t="str">
        <f t="shared" si="50"/>
        <v/>
      </c>
      <c r="AF255" s="48" t="str">
        <f t="shared" si="51"/>
        <v/>
      </c>
      <c r="AG255" s="48" t="str">
        <f t="shared" si="52"/>
        <v/>
      </c>
      <c r="AH255" s="131"/>
      <c r="AI255" s="149" t="str">
        <f t="shared" si="53"/>
        <v>Débil</v>
      </c>
      <c r="AJ255" s="21" t="str">
        <f>IFERROR(VLOOKUP((CONCATENATE(AG255,AI255)),Listados!$U$3:$V$11,2,FALSE),"")</f>
        <v/>
      </c>
      <c r="AK255" s="48">
        <f t="shared" si="54"/>
        <v>100</v>
      </c>
      <c r="AL255" s="431"/>
      <c r="AM255" s="433"/>
      <c r="AN255" s="169">
        <f>+IF(AND(Q255="Preventivo",AM253="Fuerte"),2,IF(AND(Q255="Preventivo",AM253="Moderado"),1,0))</f>
        <v>0</v>
      </c>
      <c r="AO255" s="169">
        <f t="shared" si="55"/>
        <v>0</v>
      </c>
      <c r="AP255" s="169">
        <f>+K253-AN255</f>
        <v>4</v>
      </c>
      <c r="AQ255" s="169">
        <f>+M253-AO255</f>
        <v>1</v>
      </c>
      <c r="AR255" s="422"/>
      <c r="AS255" s="422"/>
      <c r="AT255" s="422"/>
      <c r="AU255" s="422"/>
      <c r="AV255" s="387"/>
      <c r="AW255" s="388"/>
      <c r="AX255" s="389"/>
      <c r="AY255" s="387"/>
      <c r="AZ255" s="388"/>
      <c r="BA255" s="389"/>
      <c r="BB255" s="387"/>
      <c r="BC255" s="388"/>
      <c r="BD255" s="389"/>
    </row>
    <row r="256" spans="1:56" ht="15.75" thickBot="1">
      <c r="A256" s="405"/>
      <c r="B256" s="407"/>
      <c r="C256" s="408"/>
      <c r="D256" s="409"/>
      <c r="E256" s="164"/>
      <c r="F256" s="164"/>
      <c r="G256" s="165"/>
      <c r="H256" s="165"/>
      <c r="I256" s="165"/>
      <c r="J256" s="407"/>
      <c r="K256" s="425"/>
      <c r="L256" s="428"/>
      <c r="M256" s="425"/>
      <c r="N256" s="435"/>
      <c r="O256" s="164"/>
      <c r="P256" s="166"/>
      <c r="Q256" s="166"/>
      <c r="R256" s="172"/>
      <c r="S256" s="27" t="str">
        <f t="shared" si="44"/>
        <v/>
      </c>
      <c r="T256" s="172"/>
      <c r="U256" s="27" t="str">
        <f t="shared" si="45"/>
        <v/>
      </c>
      <c r="V256" s="150"/>
      <c r="W256" s="27" t="str">
        <f t="shared" si="46"/>
        <v/>
      </c>
      <c r="X256" s="150"/>
      <c r="Y256" s="27" t="str">
        <f t="shared" si="47"/>
        <v/>
      </c>
      <c r="Z256" s="150"/>
      <c r="AA256" s="27" t="str">
        <f t="shared" si="48"/>
        <v/>
      </c>
      <c r="AB256" s="150"/>
      <c r="AC256" s="27" t="str">
        <f t="shared" si="49"/>
        <v/>
      </c>
      <c r="AD256" s="150"/>
      <c r="AE256" s="27" t="str">
        <f t="shared" si="50"/>
        <v/>
      </c>
      <c r="AF256" s="48" t="str">
        <f t="shared" si="51"/>
        <v/>
      </c>
      <c r="AG256" s="48" t="str">
        <f t="shared" si="52"/>
        <v/>
      </c>
      <c r="AH256" s="131"/>
      <c r="AI256" s="149" t="str">
        <f t="shared" si="53"/>
        <v>Débil</v>
      </c>
      <c r="AJ256" s="21" t="str">
        <f>IFERROR(VLOOKUP((CONCATENATE(AG256,AI256)),Listados!$U$3:$V$11,2,FALSE),"")</f>
        <v/>
      </c>
      <c r="AK256" s="48">
        <f t="shared" si="54"/>
        <v>100</v>
      </c>
      <c r="AL256" s="431"/>
      <c r="AM256" s="433"/>
      <c r="AN256" s="169">
        <f>+IF(AND(Q256="Preventivo",AM253="Fuerte"),2,IF(AND(Q256="Preventivo",AM253="Moderado"),1,0))</f>
        <v>0</v>
      </c>
      <c r="AO256" s="169">
        <f t="shared" si="55"/>
        <v>0</v>
      </c>
      <c r="AP256" s="169">
        <f>+K253-AN256</f>
        <v>4</v>
      </c>
      <c r="AQ256" s="169">
        <f>+M253-AO256</f>
        <v>1</v>
      </c>
      <c r="AR256" s="422"/>
      <c r="AS256" s="422"/>
      <c r="AT256" s="422"/>
      <c r="AU256" s="422"/>
      <c r="AV256" s="387"/>
      <c r="AW256" s="388"/>
      <c r="AX256" s="389"/>
      <c r="AY256" s="387"/>
      <c r="AZ256" s="388"/>
      <c r="BA256" s="389"/>
      <c r="BB256" s="387"/>
      <c r="BC256" s="388"/>
      <c r="BD256" s="389"/>
    </row>
    <row r="257" spans="1:56" ht="15.75" thickBot="1">
      <c r="A257" s="405"/>
      <c r="B257" s="407"/>
      <c r="C257" s="408"/>
      <c r="D257" s="409"/>
      <c r="E257" s="164"/>
      <c r="F257" s="164"/>
      <c r="G257" s="165"/>
      <c r="H257" s="165"/>
      <c r="I257" s="165"/>
      <c r="J257" s="407"/>
      <c r="K257" s="425"/>
      <c r="L257" s="428"/>
      <c r="M257" s="425"/>
      <c r="N257" s="435"/>
      <c r="O257" s="164"/>
      <c r="P257" s="166"/>
      <c r="Q257" s="166"/>
      <c r="R257" s="172"/>
      <c r="S257" s="27" t="str">
        <f t="shared" si="44"/>
        <v/>
      </c>
      <c r="T257" s="172"/>
      <c r="U257" s="27" t="str">
        <f t="shared" si="45"/>
        <v/>
      </c>
      <c r="V257" s="150"/>
      <c r="W257" s="27" t="str">
        <f t="shared" si="46"/>
        <v/>
      </c>
      <c r="X257" s="150"/>
      <c r="Y257" s="27" t="str">
        <f t="shared" si="47"/>
        <v/>
      </c>
      <c r="Z257" s="150"/>
      <c r="AA257" s="27" t="str">
        <f t="shared" si="48"/>
        <v/>
      </c>
      <c r="AB257" s="150"/>
      <c r="AC257" s="27" t="str">
        <f t="shared" si="49"/>
        <v/>
      </c>
      <c r="AD257" s="150"/>
      <c r="AE257" s="27" t="str">
        <f t="shared" si="50"/>
        <v/>
      </c>
      <c r="AF257" s="48" t="str">
        <f t="shared" si="51"/>
        <v/>
      </c>
      <c r="AG257" s="48" t="str">
        <f t="shared" si="52"/>
        <v/>
      </c>
      <c r="AH257" s="131"/>
      <c r="AI257" s="149" t="str">
        <f t="shared" si="53"/>
        <v>Débil</v>
      </c>
      <c r="AJ257" s="21" t="str">
        <f>IFERROR(VLOOKUP((CONCATENATE(AG257,AI257)),Listados!$U$3:$V$11,2,FALSE),"")</f>
        <v/>
      </c>
      <c r="AK257" s="48">
        <f t="shared" si="54"/>
        <v>100</v>
      </c>
      <c r="AL257" s="431"/>
      <c r="AM257" s="433"/>
      <c r="AN257" s="169">
        <f>+IF(AND(Q257="Preventivo",AM253="Fuerte"),2,IF(AND(Q257="Preventivo",AM253="Moderado"),1,0))</f>
        <v>0</v>
      </c>
      <c r="AO257" s="169">
        <f t="shared" si="55"/>
        <v>0</v>
      </c>
      <c r="AP257" s="169">
        <f>+K253-AN257</f>
        <v>4</v>
      </c>
      <c r="AQ257" s="169">
        <f>+M253-AO257</f>
        <v>1</v>
      </c>
      <c r="AR257" s="422"/>
      <c r="AS257" s="422"/>
      <c r="AT257" s="422"/>
      <c r="AU257" s="422"/>
      <c r="AV257" s="387"/>
      <c r="AW257" s="388"/>
      <c r="AX257" s="389"/>
      <c r="AY257" s="387"/>
      <c r="AZ257" s="388"/>
      <c r="BA257" s="389"/>
      <c r="BB257" s="387"/>
      <c r="BC257" s="388"/>
      <c r="BD257" s="389"/>
    </row>
    <row r="258" spans="1:56" ht="15.75" thickBot="1">
      <c r="A258" s="406"/>
      <c r="B258" s="407"/>
      <c r="C258" s="408"/>
      <c r="D258" s="409"/>
      <c r="E258" s="164"/>
      <c r="F258" s="164"/>
      <c r="G258" s="165"/>
      <c r="H258" s="165"/>
      <c r="I258" s="165"/>
      <c r="J258" s="407"/>
      <c r="K258" s="426"/>
      <c r="L258" s="428"/>
      <c r="M258" s="426"/>
      <c r="N258" s="435"/>
      <c r="O258" s="164"/>
      <c r="P258" s="166"/>
      <c r="Q258" s="166"/>
      <c r="R258" s="172"/>
      <c r="S258" s="27" t="str">
        <f t="shared" si="44"/>
        <v/>
      </c>
      <c r="T258" s="172"/>
      <c r="U258" s="27" t="str">
        <f t="shared" si="45"/>
        <v/>
      </c>
      <c r="V258" s="150"/>
      <c r="W258" s="27" t="str">
        <f t="shared" si="46"/>
        <v/>
      </c>
      <c r="X258" s="150"/>
      <c r="Y258" s="27" t="str">
        <f t="shared" si="47"/>
        <v/>
      </c>
      <c r="Z258" s="150"/>
      <c r="AA258" s="27" t="str">
        <f t="shared" si="48"/>
        <v/>
      </c>
      <c r="AB258" s="150"/>
      <c r="AC258" s="27" t="str">
        <f t="shared" si="49"/>
        <v/>
      </c>
      <c r="AD258" s="150"/>
      <c r="AE258" s="27" t="str">
        <f t="shared" si="50"/>
        <v/>
      </c>
      <c r="AF258" s="48" t="str">
        <f t="shared" si="51"/>
        <v/>
      </c>
      <c r="AG258" s="48" t="str">
        <f t="shared" si="52"/>
        <v/>
      </c>
      <c r="AH258" s="131"/>
      <c r="AI258" s="149" t="str">
        <f t="shared" si="53"/>
        <v>Débil</v>
      </c>
      <c r="AJ258" s="21" t="str">
        <f>IFERROR(VLOOKUP((CONCATENATE(AG258,AI258)),Listados!$U$3:$V$11,2,FALSE),"")</f>
        <v/>
      </c>
      <c r="AK258" s="48">
        <f t="shared" si="54"/>
        <v>100</v>
      </c>
      <c r="AL258" s="432"/>
      <c r="AM258" s="433"/>
      <c r="AN258" s="169">
        <f>+IF(AND(Q258="Preventivo",AM253="Fuerte"),2,IF(AND(Q258="Preventivo",AM253="Moderado"),1,0))</f>
        <v>0</v>
      </c>
      <c r="AO258" s="169">
        <f t="shared" si="55"/>
        <v>0</v>
      </c>
      <c r="AP258" s="169">
        <f>+K253-AN258</f>
        <v>4</v>
      </c>
      <c r="AQ258" s="169">
        <f>+M253-AO258</f>
        <v>1</v>
      </c>
      <c r="AR258" s="423"/>
      <c r="AS258" s="423"/>
      <c r="AT258" s="423"/>
      <c r="AU258" s="423"/>
      <c r="AV258" s="387"/>
      <c r="AW258" s="388"/>
      <c r="AX258" s="389"/>
      <c r="AY258" s="387"/>
      <c r="AZ258" s="388"/>
      <c r="BA258" s="389"/>
      <c r="BB258" s="387"/>
      <c r="BC258" s="388"/>
      <c r="BD258" s="389"/>
    </row>
    <row r="259" spans="1:56" ht="143.25" thickBot="1">
      <c r="A259" s="404">
        <v>43</v>
      </c>
      <c r="B259" s="407" t="s">
        <v>60</v>
      </c>
      <c r="C259" s="408" t="str">
        <f>IFERROR(VLOOKUP(B259,Listados!B$3:C$20,2,FALSE),"")</f>
        <v xml:space="preserve">Orientar la gestion de la entidad y del sector para que las acciones se deriven de una planeación eficiente y articulada que optimice 
el uso de los recursos en el logro de los objetivos institucionales. </v>
      </c>
      <c r="D259" s="409" t="s">
        <v>526</v>
      </c>
      <c r="E259" s="164" t="s">
        <v>52</v>
      </c>
      <c r="F259" s="164"/>
      <c r="G259" s="165" t="s">
        <v>527</v>
      </c>
      <c r="H259" s="165" t="s">
        <v>16</v>
      </c>
      <c r="I259" s="165" t="s">
        <v>528</v>
      </c>
      <c r="J259" s="407" t="s">
        <v>53</v>
      </c>
      <c r="K259" s="424">
        <f>+VLOOKUP(J259,Listados!$K$8:$L$12,2,0)</f>
        <v>4</v>
      </c>
      <c r="L259" s="427" t="s">
        <v>36</v>
      </c>
      <c r="M259" s="424">
        <f>+VLOOKUP(L259,Listados!$K$13:$L$17,2,0)</f>
        <v>3</v>
      </c>
      <c r="N259" s="434" t="str">
        <f>IF(AND(J259&lt;&gt;"",L259&lt;&gt;""),VLOOKUP(J259&amp;L259,Listados!$M$3:$N$27,2,FALSE),"")</f>
        <v>Alto</v>
      </c>
      <c r="O259" s="164" t="s">
        <v>529</v>
      </c>
      <c r="P259" s="164" t="s">
        <v>530</v>
      </c>
      <c r="Q259" s="165" t="s">
        <v>20</v>
      </c>
      <c r="R259" s="172"/>
      <c r="S259" s="27" t="str">
        <f t="shared" si="44"/>
        <v/>
      </c>
      <c r="T259" s="172"/>
      <c r="U259" s="27" t="str">
        <f t="shared" si="45"/>
        <v/>
      </c>
      <c r="V259" s="150"/>
      <c r="W259" s="27" t="str">
        <f t="shared" si="46"/>
        <v/>
      </c>
      <c r="X259" s="150"/>
      <c r="Y259" s="27" t="str">
        <f t="shared" si="47"/>
        <v/>
      </c>
      <c r="Z259" s="150"/>
      <c r="AA259" s="27" t="str">
        <f t="shared" si="48"/>
        <v/>
      </c>
      <c r="AB259" s="150"/>
      <c r="AC259" s="27" t="str">
        <f t="shared" si="49"/>
        <v/>
      </c>
      <c r="AD259" s="150"/>
      <c r="AE259" s="27" t="str">
        <f t="shared" si="50"/>
        <v/>
      </c>
      <c r="AF259" s="48" t="str">
        <f t="shared" si="51"/>
        <v/>
      </c>
      <c r="AG259" s="48" t="str">
        <f t="shared" si="52"/>
        <v/>
      </c>
      <c r="AH259" s="131"/>
      <c r="AI259" s="149" t="str">
        <f t="shared" si="53"/>
        <v>Débil</v>
      </c>
      <c r="AJ259" s="21" t="str">
        <f>IFERROR(VLOOKUP((CONCATENATE(AG259,AI259)),Listados!$U$3:$V$11,2,FALSE),"")</f>
        <v/>
      </c>
      <c r="AK259" s="48">
        <f t="shared" si="54"/>
        <v>100</v>
      </c>
      <c r="AL259" s="430">
        <f>AVERAGE(AK259:AK264)</f>
        <v>100</v>
      </c>
      <c r="AM259" s="432" t="str">
        <f>IF(AL259&lt;=50, "Débil", IF(AL259&lt;=99,"Moderado","Fuerte"))</f>
        <v>Fuerte</v>
      </c>
      <c r="AN259" s="169">
        <f>+IF(AND(Q259="Preventivo",AM259="Fuerte"),2,IF(AND(Q259="Preventivo",AM259="Moderado"),1,0))</f>
        <v>2</v>
      </c>
      <c r="AO259" s="169">
        <f t="shared" si="55"/>
        <v>1</v>
      </c>
      <c r="AP259" s="169">
        <f>+K259-AN259</f>
        <v>2</v>
      </c>
      <c r="AQ259" s="169">
        <f>+M259-AO259</f>
        <v>2</v>
      </c>
      <c r="AR259" s="421" t="str">
        <f>+VLOOKUP(MIN(AP259,AP260,AP261,AP262,AP263,AP264),Listados!$J$18:$K$24,2,TRUE)</f>
        <v>Improbable</v>
      </c>
      <c r="AS259" s="421" t="str">
        <f>+VLOOKUP(MIN(AQ259,AQ260,AQ261,AQ262,AQ263,AQ264),Listados!$J$27:$K$32,2,TRUE)</f>
        <v>Menor</v>
      </c>
      <c r="AT259" s="421" t="str">
        <f>IF(AND(AR259&lt;&gt;"",AS259&lt;&gt;""),VLOOKUP(AR259&amp;AS259,Listados!$M$3:$N$27,2,FALSE),"")</f>
        <v>Bajo</v>
      </c>
      <c r="AU259" s="421" t="str">
        <f>+VLOOKUP(AT259,Listados!$P$3:$Q$6,2,FALSE)</f>
        <v>Asumir el riesgo</v>
      </c>
      <c r="AV259" s="387"/>
      <c r="AW259" s="388"/>
      <c r="AX259" s="389"/>
      <c r="AY259" s="387"/>
      <c r="AZ259" s="388"/>
      <c r="BA259" s="389"/>
      <c r="BB259" s="387"/>
      <c r="BC259" s="388"/>
      <c r="BD259" s="389"/>
    </row>
    <row r="260" spans="1:56" ht="143.25" thickBot="1">
      <c r="A260" s="405"/>
      <c r="B260" s="407"/>
      <c r="C260" s="408"/>
      <c r="D260" s="409"/>
      <c r="E260" s="164"/>
      <c r="F260" s="164"/>
      <c r="G260" s="165" t="s">
        <v>531</v>
      </c>
      <c r="H260" s="165" t="s">
        <v>16</v>
      </c>
      <c r="I260" s="165" t="s">
        <v>532</v>
      </c>
      <c r="J260" s="407"/>
      <c r="K260" s="425"/>
      <c r="L260" s="428"/>
      <c r="M260" s="425"/>
      <c r="N260" s="435"/>
      <c r="O260" s="164" t="s">
        <v>533</v>
      </c>
      <c r="P260" s="164" t="s">
        <v>527</v>
      </c>
      <c r="Q260" s="165" t="s">
        <v>20</v>
      </c>
      <c r="R260" s="172"/>
      <c r="S260" s="27" t="str">
        <f t="shared" si="44"/>
        <v/>
      </c>
      <c r="T260" s="172"/>
      <c r="U260" s="27" t="str">
        <f t="shared" si="45"/>
        <v/>
      </c>
      <c r="V260" s="150"/>
      <c r="W260" s="27" t="str">
        <f t="shared" si="46"/>
        <v/>
      </c>
      <c r="X260" s="150"/>
      <c r="Y260" s="27" t="str">
        <f t="shared" si="47"/>
        <v/>
      </c>
      <c r="Z260" s="150"/>
      <c r="AA260" s="27" t="str">
        <f t="shared" si="48"/>
        <v/>
      </c>
      <c r="AB260" s="150"/>
      <c r="AC260" s="27" t="str">
        <f t="shared" si="49"/>
        <v/>
      </c>
      <c r="AD260" s="150"/>
      <c r="AE260" s="27" t="str">
        <f t="shared" si="50"/>
        <v/>
      </c>
      <c r="AF260" s="48" t="str">
        <f t="shared" si="51"/>
        <v/>
      </c>
      <c r="AG260" s="48" t="str">
        <f t="shared" si="52"/>
        <v/>
      </c>
      <c r="AH260" s="131"/>
      <c r="AI260" s="149" t="str">
        <f t="shared" si="53"/>
        <v>Débil</v>
      </c>
      <c r="AJ260" s="21" t="str">
        <f>IFERROR(VLOOKUP((CONCATENATE(AG260,AI260)),Listados!$U$3:$V$11,2,FALSE),"")</f>
        <v/>
      </c>
      <c r="AK260" s="48">
        <f t="shared" si="54"/>
        <v>100</v>
      </c>
      <c r="AL260" s="431"/>
      <c r="AM260" s="433"/>
      <c r="AN260" s="169">
        <f>+IF(AND(Q260="Preventivo",AM259="Fuerte"),2,IF(AND(Q260="Preventivo",AM259="Moderado"),1,0))</f>
        <v>2</v>
      </c>
      <c r="AO260" s="169">
        <f t="shared" si="55"/>
        <v>1</v>
      </c>
      <c r="AP260" s="169">
        <f>+K259-AN260</f>
        <v>2</v>
      </c>
      <c r="AQ260" s="169">
        <f>+M259-AO260</f>
        <v>2</v>
      </c>
      <c r="AR260" s="422"/>
      <c r="AS260" s="422"/>
      <c r="AT260" s="422"/>
      <c r="AU260" s="422"/>
      <c r="AV260" s="387"/>
      <c r="AW260" s="388"/>
      <c r="AX260" s="389"/>
      <c r="AY260" s="387"/>
      <c r="AZ260" s="388"/>
      <c r="BA260" s="389"/>
      <c r="BB260" s="387"/>
      <c r="BC260" s="388"/>
      <c r="BD260" s="389"/>
    </row>
    <row r="261" spans="1:56" ht="143.25" thickBot="1">
      <c r="A261" s="405"/>
      <c r="B261" s="407"/>
      <c r="C261" s="408"/>
      <c r="D261" s="409"/>
      <c r="E261" s="164"/>
      <c r="F261" s="164"/>
      <c r="G261" s="165" t="s">
        <v>530</v>
      </c>
      <c r="H261" s="165" t="s">
        <v>16</v>
      </c>
      <c r="I261" s="165" t="s">
        <v>534</v>
      </c>
      <c r="J261" s="407"/>
      <c r="K261" s="425"/>
      <c r="L261" s="428"/>
      <c r="M261" s="425"/>
      <c r="N261" s="435"/>
      <c r="O261" s="164" t="s">
        <v>535</v>
      </c>
      <c r="P261" s="164" t="s">
        <v>530</v>
      </c>
      <c r="Q261" s="165" t="s">
        <v>20</v>
      </c>
      <c r="R261" s="172"/>
      <c r="S261" s="27" t="str">
        <f t="shared" si="44"/>
        <v/>
      </c>
      <c r="T261" s="172"/>
      <c r="U261" s="27" t="str">
        <f t="shared" si="45"/>
        <v/>
      </c>
      <c r="V261" s="150"/>
      <c r="W261" s="27" t="str">
        <f t="shared" si="46"/>
        <v/>
      </c>
      <c r="X261" s="150"/>
      <c r="Y261" s="27" t="str">
        <f t="shared" si="47"/>
        <v/>
      </c>
      <c r="Z261" s="150"/>
      <c r="AA261" s="27" t="str">
        <f t="shared" si="48"/>
        <v/>
      </c>
      <c r="AB261" s="150"/>
      <c r="AC261" s="27" t="str">
        <f t="shared" si="49"/>
        <v/>
      </c>
      <c r="AD261" s="150"/>
      <c r="AE261" s="27" t="str">
        <f t="shared" si="50"/>
        <v/>
      </c>
      <c r="AF261" s="48" t="str">
        <f t="shared" si="51"/>
        <v/>
      </c>
      <c r="AG261" s="48" t="str">
        <f t="shared" si="52"/>
        <v/>
      </c>
      <c r="AH261" s="131"/>
      <c r="AI261" s="149" t="str">
        <f t="shared" si="53"/>
        <v>Débil</v>
      </c>
      <c r="AJ261" s="21" t="str">
        <f>IFERROR(VLOOKUP((CONCATENATE(AG261,AI261)),Listados!$U$3:$V$11,2,FALSE),"")</f>
        <v/>
      </c>
      <c r="AK261" s="48">
        <f t="shared" si="54"/>
        <v>100</v>
      </c>
      <c r="AL261" s="431"/>
      <c r="AM261" s="433"/>
      <c r="AN261" s="169">
        <f>+IF(AND(Q261="Preventivo",AM259="Fuerte"),2,IF(AND(Q261="Preventivo",AM259="Moderado"),1,0))</f>
        <v>2</v>
      </c>
      <c r="AO261" s="169">
        <f t="shared" si="55"/>
        <v>1</v>
      </c>
      <c r="AP261" s="169">
        <f>+K259-AN261</f>
        <v>2</v>
      </c>
      <c r="AQ261" s="169">
        <f>+M259-AO261</f>
        <v>2</v>
      </c>
      <c r="AR261" s="422"/>
      <c r="AS261" s="422"/>
      <c r="AT261" s="422"/>
      <c r="AU261" s="422"/>
      <c r="AV261" s="387"/>
      <c r="AW261" s="388"/>
      <c r="AX261" s="389"/>
      <c r="AY261" s="387"/>
      <c r="AZ261" s="388"/>
      <c r="BA261" s="389"/>
      <c r="BB261" s="387"/>
      <c r="BC261" s="388"/>
      <c r="BD261" s="389"/>
    </row>
    <row r="262" spans="1:56" ht="157.5" thickBot="1">
      <c r="A262" s="405"/>
      <c r="B262" s="407"/>
      <c r="C262" s="408"/>
      <c r="D262" s="409"/>
      <c r="E262" s="164"/>
      <c r="F262" s="164"/>
      <c r="G262" s="165"/>
      <c r="H262" s="165"/>
      <c r="I262" s="165" t="s">
        <v>536</v>
      </c>
      <c r="J262" s="407"/>
      <c r="K262" s="425"/>
      <c r="L262" s="428"/>
      <c r="M262" s="425"/>
      <c r="N262" s="435"/>
      <c r="O262" s="164" t="s">
        <v>537</v>
      </c>
      <c r="P262" s="164" t="s">
        <v>527</v>
      </c>
      <c r="Q262" s="165" t="s">
        <v>20</v>
      </c>
      <c r="R262" s="172"/>
      <c r="S262" s="27" t="str">
        <f t="shared" si="44"/>
        <v/>
      </c>
      <c r="T262" s="172"/>
      <c r="U262" s="27" t="str">
        <f t="shared" si="45"/>
        <v/>
      </c>
      <c r="V262" s="150"/>
      <c r="W262" s="27" t="str">
        <f t="shared" si="46"/>
        <v/>
      </c>
      <c r="X262" s="150"/>
      <c r="Y262" s="27" t="str">
        <f t="shared" si="47"/>
        <v/>
      </c>
      <c r="Z262" s="150"/>
      <c r="AA262" s="27" t="str">
        <f t="shared" si="48"/>
        <v/>
      </c>
      <c r="AB262" s="150"/>
      <c r="AC262" s="27" t="str">
        <f t="shared" si="49"/>
        <v/>
      </c>
      <c r="AD262" s="150"/>
      <c r="AE262" s="27" t="str">
        <f t="shared" si="50"/>
        <v/>
      </c>
      <c r="AF262" s="48" t="str">
        <f t="shared" si="51"/>
        <v/>
      </c>
      <c r="AG262" s="48" t="str">
        <f t="shared" si="52"/>
        <v/>
      </c>
      <c r="AH262" s="131"/>
      <c r="AI262" s="149" t="str">
        <f t="shared" si="53"/>
        <v>Débil</v>
      </c>
      <c r="AJ262" s="21" t="str">
        <f>IFERROR(VLOOKUP((CONCATENATE(AG262,AI262)),Listados!$U$3:$V$11,2,FALSE),"")</f>
        <v/>
      </c>
      <c r="AK262" s="48">
        <f t="shared" si="54"/>
        <v>100</v>
      </c>
      <c r="AL262" s="431"/>
      <c r="AM262" s="433"/>
      <c r="AN262" s="169">
        <f>+IF(AND(Q262="Preventivo",AM259="Fuerte"),2,IF(AND(Q262="Preventivo",AM259="Moderado"),1,0))</f>
        <v>2</v>
      </c>
      <c r="AO262" s="169">
        <f t="shared" si="55"/>
        <v>1</v>
      </c>
      <c r="AP262" s="169">
        <f>+K259-AN262</f>
        <v>2</v>
      </c>
      <c r="AQ262" s="169">
        <f>+M259-AO262</f>
        <v>2</v>
      </c>
      <c r="AR262" s="422"/>
      <c r="AS262" s="422"/>
      <c r="AT262" s="422"/>
      <c r="AU262" s="422"/>
      <c r="AV262" s="387"/>
      <c r="AW262" s="388"/>
      <c r="AX262" s="389"/>
      <c r="AY262" s="387"/>
      <c r="AZ262" s="388"/>
      <c r="BA262" s="389"/>
      <c r="BB262" s="387"/>
      <c r="BC262" s="388"/>
      <c r="BD262" s="389"/>
    </row>
    <row r="263" spans="1:56" ht="15.75" thickBot="1">
      <c r="A263" s="405"/>
      <c r="B263" s="407"/>
      <c r="C263" s="408"/>
      <c r="D263" s="409"/>
      <c r="E263" s="164"/>
      <c r="F263" s="164"/>
      <c r="G263" s="165"/>
      <c r="H263" s="165"/>
      <c r="I263" s="165"/>
      <c r="J263" s="407"/>
      <c r="K263" s="425"/>
      <c r="L263" s="428"/>
      <c r="M263" s="425"/>
      <c r="N263" s="435"/>
      <c r="O263" s="164"/>
      <c r="P263" s="166"/>
      <c r="Q263" s="166"/>
      <c r="R263" s="172"/>
      <c r="S263" s="27" t="str">
        <f t="shared" si="44"/>
        <v/>
      </c>
      <c r="T263" s="172"/>
      <c r="U263" s="27" t="str">
        <f t="shared" si="45"/>
        <v/>
      </c>
      <c r="V263" s="150"/>
      <c r="W263" s="27" t="str">
        <f t="shared" si="46"/>
        <v/>
      </c>
      <c r="X263" s="150"/>
      <c r="Y263" s="27" t="str">
        <f t="shared" si="47"/>
        <v/>
      </c>
      <c r="Z263" s="150"/>
      <c r="AA263" s="27" t="str">
        <f t="shared" si="48"/>
        <v/>
      </c>
      <c r="AB263" s="150"/>
      <c r="AC263" s="27" t="str">
        <f t="shared" si="49"/>
        <v/>
      </c>
      <c r="AD263" s="150"/>
      <c r="AE263" s="27" t="str">
        <f t="shared" si="50"/>
        <v/>
      </c>
      <c r="AF263" s="48" t="str">
        <f t="shared" si="51"/>
        <v/>
      </c>
      <c r="AG263" s="48" t="str">
        <f t="shared" si="52"/>
        <v/>
      </c>
      <c r="AH263" s="131"/>
      <c r="AI263" s="149" t="str">
        <f t="shared" si="53"/>
        <v>Débil</v>
      </c>
      <c r="AJ263" s="21" t="str">
        <f>IFERROR(VLOOKUP((CONCATENATE(AG263,AI263)),Listados!$U$3:$V$11,2,FALSE),"")</f>
        <v/>
      </c>
      <c r="AK263" s="48">
        <f t="shared" si="54"/>
        <v>100</v>
      </c>
      <c r="AL263" s="431"/>
      <c r="AM263" s="433"/>
      <c r="AN263" s="169">
        <f>+IF(AND(Q263="Preventivo",AM259="Fuerte"),2,IF(AND(Q263="Preventivo",AM259="Moderado"),1,0))</f>
        <v>0</v>
      </c>
      <c r="AO263" s="169">
        <f t="shared" si="55"/>
        <v>0</v>
      </c>
      <c r="AP263" s="169">
        <f>+K259-AN263</f>
        <v>4</v>
      </c>
      <c r="AQ263" s="169">
        <f>+M259-AO263</f>
        <v>3</v>
      </c>
      <c r="AR263" s="422"/>
      <c r="AS263" s="422"/>
      <c r="AT263" s="422"/>
      <c r="AU263" s="422"/>
      <c r="AV263" s="387"/>
      <c r="AW263" s="388"/>
      <c r="AX263" s="389"/>
      <c r="AY263" s="387"/>
      <c r="AZ263" s="388"/>
      <c r="BA263" s="389"/>
      <c r="BB263" s="387"/>
      <c r="BC263" s="388"/>
      <c r="BD263" s="389"/>
    </row>
    <row r="264" spans="1:56" ht="15.75" thickBot="1">
      <c r="A264" s="406"/>
      <c r="B264" s="407"/>
      <c r="C264" s="408"/>
      <c r="D264" s="409"/>
      <c r="E264" s="164"/>
      <c r="F264" s="164"/>
      <c r="G264" s="165"/>
      <c r="H264" s="165"/>
      <c r="I264" s="165"/>
      <c r="J264" s="407"/>
      <c r="K264" s="426"/>
      <c r="L264" s="428"/>
      <c r="M264" s="426"/>
      <c r="N264" s="435"/>
      <c r="O264" s="164"/>
      <c r="P264" s="166"/>
      <c r="Q264" s="166"/>
      <c r="R264" s="172"/>
      <c r="S264" s="27" t="str">
        <f t="shared" ref="S264:S327" si="56">+IF(R264="si",15,"")</f>
        <v/>
      </c>
      <c r="T264" s="172"/>
      <c r="U264" s="27" t="str">
        <f t="shared" ref="U264:U327" si="57">+IF(T264="si",15,"")</f>
        <v/>
      </c>
      <c r="V264" s="150"/>
      <c r="W264" s="27" t="str">
        <f t="shared" ref="W264:W327" si="58">+IF(V264="si",15,"")</f>
        <v/>
      </c>
      <c r="X264" s="150"/>
      <c r="Y264" s="27" t="str">
        <f t="shared" ref="Y264:Y327" si="59">+IF(X264="Preventivo",15,IF(X264="Detectivo",10,""))</f>
        <v/>
      </c>
      <c r="Z264" s="150"/>
      <c r="AA264" s="27" t="str">
        <f t="shared" ref="AA264:AA327" si="60">+IF(Z264="si",15,"")</f>
        <v/>
      </c>
      <c r="AB264" s="150"/>
      <c r="AC264" s="27" t="str">
        <f t="shared" ref="AC264:AC327" si="61">+IF(AB264="si",15,"")</f>
        <v/>
      </c>
      <c r="AD264" s="150"/>
      <c r="AE264" s="27" t="str">
        <f t="shared" ref="AE264:AE327" si="62">+IF(AD264="Completa",10,IF(AD264="Incompleta",5,""))</f>
        <v/>
      </c>
      <c r="AF264" s="48" t="str">
        <f t="shared" ref="AF264:AF327" si="63">IF((SUM(S264,U264,W264,Y264,AA264,AC264,AE264)=0),"",(SUM(S264,U264,W264,Y264,AA264,AC264,AE264)))</f>
        <v/>
      </c>
      <c r="AG264" s="48" t="str">
        <f t="shared" ref="AG264:AG327" si="64">IF(AF264&lt;=85,"Débil",IF(AF264&lt;=95,"Moderado",IF(AF264=100,"Fuerte","")))</f>
        <v/>
      </c>
      <c r="AH264" s="131"/>
      <c r="AI264" s="149" t="str">
        <f t="shared" si="53"/>
        <v>Débil</v>
      </c>
      <c r="AJ264" s="21" t="str">
        <f>IFERROR(VLOOKUP((CONCATENATE(AG264,AI264)),Listados!$U$3:$V$11,2,FALSE),"")</f>
        <v/>
      </c>
      <c r="AK264" s="48">
        <f t="shared" si="54"/>
        <v>100</v>
      </c>
      <c r="AL264" s="432"/>
      <c r="AM264" s="433"/>
      <c r="AN264" s="169">
        <f>+IF(AND(Q264="Preventivo",AM259="Fuerte"),2,IF(AND(Q264="Preventivo",AM259="Moderado"),1,0))</f>
        <v>0</v>
      </c>
      <c r="AO264" s="169">
        <f t="shared" si="55"/>
        <v>0</v>
      </c>
      <c r="AP264" s="169">
        <f>+K259-AN264</f>
        <v>4</v>
      </c>
      <c r="AQ264" s="169">
        <f>+M259-AO264</f>
        <v>3</v>
      </c>
      <c r="AR264" s="423"/>
      <c r="AS264" s="423"/>
      <c r="AT264" s="423"/>
      <c r="AU264" s="423"/>
      <c r="AV264" s="387"/>
      <c r="AW264" s="388"/>
      <c r="AX264" s="389"/>
      <c r="AY264" s="387"/>
      <c r="AZ264" s="388"/>
      <c r="BA264" s="389"/>
      <c r="BB264" s="387"/>
      <c r="BC264" s="388"/>
      <c r="BD264" s="389"/>
    </row>
    <row r="265" spans="1:56" ht="242.25" customHeight="1" thickBot="1">
      <c r="A265" s="404">
        <v>44</v>
      </c>
      <c r="B265" s="407" t="s">
        <v>60</v>
      </c>
      <c r="C265" s="408" t="str">
        <f>IFERROR(VLOOKUP(B265,Listados!B$3:C$20,2,FALSE),"")</f>
        <v xml:space="preserve">Orientar la gestion de la entidad y del sector para que las acciones se deriven de una planeación eficiente y articulada que optimice 
el uso de los recursos en el logro de los objetivos institucionales. </v>
      </c>
      <c r="D265" s="409" t="s">
        <v>538</v>
      </c>
      <c r="E265" s="164" t="s">
        <v>52</v>
      </c>
      <c r="F265" s="164"/>
      <c r="G265" s="165" t="s">
        <v>539</v>
      </c>
      <c r="H265" s="165" t="s">
        <v>16</v>
      </c>
      <c r="I265" s="165" t="s">
        <v>532</v>
      </c>
      <c r="J265" s="407" t="s">
        <v>44</v>
      </c>
      <c r="K265" s="424">
        <f>+VLOOKUP(J265,Listados!$K$8:$L$12,2,0)</f>
        <v>3</v>
      </c>
      <c r="L265" s="427" t="s">
        <v>36</v>
      </c>
      <c r="M265" s="424">
        <f>+VLOOKUP(L265,Listados!$K$13:$L$17,2,0)</f>
        <v>3</v>
      </c>
      <c r="N265" s="434" t="str">
        <f>IF(AND(J265&lt;&gt;"",L265&lt;&gt;""),VLOOKUP(J265&amp;L265,Listados!$M$3:$N$27,2,FALSE),"")</f>
        <v>Alto</v>
      </c>
      <c r="O265" s="179" t="s">
        <v>540</v>
      </c>
      <c r="P265" s="183" t="s">
        <v>539</v>
      </c>
      <c r="Q265" s="183" t="s">
        <v>20</v>
      </c>
      <c r="R265" s="172"/>
      <c r="S265" s="27" t="str">
        <f t="shared" si="56"/>
        <v/>
      </c>
      <c r="T265" s="172"/>
      <c r="U265" s="27" t="str">
        <f t="shared" si="57"/>
        <v/>
      </c>
      <c r="V265" s="150"/>
      <c r="W265" s="27" t="str">
        <f t="shared" si="58"/>
        <v/>
      </c>
      <c r="X265" s="150"/>
      <c r="Y265" s="27" t="str">
        <f t="shared" si="59"/>
        <v/>
      </c>
      <c r="Z265" s="150"/>
      <c r="AA265" s="27" t="str">
        <f t="shared" si="60"/>
        <v/>
      </c>
      <c r="AB265" s="150"/>
      <c r="AC265" s="27" t="str">
        <f t="shared" si="61"/>
        <v/>
      </c>
      <c r="AD265" s="150"/>
      <c r="AE265" s="27" t="str">
        <f t="shared" si="62"/>
        <v/>
      </c>
      <c r="AF265" s="48" t="str">
        <f t="shared" si="63"/>
        <v/>
      </c>
      <c r="AG265" s="48" t="str">
        <f t="shared" si="64"/>
        <v/>
      </c>
      <c r="AH265" s="131"/>
      <c r="AI265" s="149" t="str">
        <f t="shared" ref="AI265:AI328" si="65">+IF(AH265="siempre","Fuerte",IF(AH265="Algunas veces","Moderado","Débil"))</f>
        <v>Débil</v>
      </c>
      <c r="AJ265" s="21" t="str">
        <f>IFERROR(VLOOKUP((CONCATENATE(AG265,AI265)),Listados!$U$3:$V$11,2,FALSE),"")</f>
        <v/>
      </c>
      <c r="AK265" s="48">
        <f t="shared" ref="AK265:AK328" si="66">IF(ISBLANK(AJ265),"",IF(AJ265="Débil", 0, IF(AJ265="Moderado",50,100)))</f>
        <v>100</v>
      </c>
      <c r="AL265" s="430">
        <f>AVERAGE(AK265:AK270)</f>
        <v>100</v>
      </c>
      <c r="AM265" s="432" t="str">
        <f>IF(AL265&lt;=50, "Débil", IF(AL265&lt;=99,"Moderado","Fuerte"))</f>
        <v>Fuerte</v>
      </c>
      <c r="AN265" s="169">
        <f>+IF(AND(Q265="Preventivo",AM265="Fuerte"),2,IF(AND(Q265="Preventivo",AM265="Moderado"),1,0))</f>
        <v>2</v>
      </c>
      <c r="AO265" s="169">
        <f t="shared" si="55"/>
        <v>1</v>
      </c>
      <c r="AP265" s="169">
        <f>+K265-AN265</f>
        <v>1</v>
      </c>
      <c r="AQ265" s="169">
        <f>+M265-AO265</f>
        <v>2</v>
      </c>
      <c r="AR265" s="421" t="str">
        <f>+VLOOKUP(MIN(AP265,AP266,AP267,AP268,AP269,AP270),Listados!$J$18:$K$24,2,TRUE)</f>
        <v>Rara Vez</v>
      </c>
      <c r="AS265" s="421" t="str">
        <f>+VLOOKUP(MIN(AQ265,AQ266,AQ267,AQ268,AQ269,AQ270),Listados!$J$27:$K$32,2,TRUE)</f>
        <v>Insignificante</v>
      </c>
      <c r="AT265" s="421" t="str">
        <f>IF(AND(AR265&lt;&gt;"",AS265&lt;&gt;""),VLOOKUP(AR265&amp;AS265,Listados!$M$3:$N$27,2,FALSE),"")</f>
        <v>Bajo</v>
      </c>
      <c r="AU265" s="421" t="str">
        <f>+VLOOKUP(AT265,Listados!$P$3:$Q$6,2,FALSE)</f>
        <v>Asumir el riesgo</v>
      </c>
      <c r="AV265" s="387"/>
      <c r="AW265" s="388"/>
      <c r="AX265" s="389"/>
      <c r="AY265" s="387"/>
      <c r="AZ265" s="388"/>
      <c r="BA265" s="389"/>
      <c r="BB265" s="387"/>
      <c r="BC265" s="388"/>
      <c r="BD265" s="389"/>
    </row>
    <row r="266" spans="1:56" ht="202.5" customHeight="1" thickBot="1">
      <c r="A266" s="405"/>
      <c r="B266" s="407"/>
      <c r="C266" s="408"/>
      <c r="D266" s="409"/>
      <c r="E266" s="164"/>
      <c r="F266" s="164"/>
      <c r="G266" s="164" t="s">
        <v>541</v>
      </c>
      <c r="H266" s="165" t="s">
        <v>16</v>
      </c>
      <c r="I266" s="165" t="s">
        <v>542</v>
      </c>
      <c r="J266" s="407"/>
      <c r="K266" s="425"/>
      <c r="L266" s="428"/>
      <c r="M266" s="425"/>
      <c r="N266" s="435"/>
      <c r="O266" s="183" t="s">
        <v>543</v>
      </c>
      <c r="P266" s="183" t="s">
        <v>541</v>
      </c>
      <c r="Q266" s="183" t="s">
        <v>123</v>
      </c>
      <c r="R266" s="172"/>
      <c r="S266" s="27" t="str">
        <f t="shared" si="56"/>
        <v/>
      </c>
      <c r="T266" s="172"/>
      <c r="U266" s="27" t="str">
        <f t="shared" si="57"/>
        <v/>
      </c>
      <c r="V266" s="150"/>
      <c r="W266" s="27" t="str">
        <f t="shared" si="58"/>
        <v/>
      </c>
      <c r="X266" s="150"/>
      <c r="Y266" s="27" t="str">
        <f t="shared" si="59"/>
        <v/>
      </c>
      <c r="Z266" s="150"/>
      <c r="AA266" s="27" t="str">
        <f t="shared" si="60"/>
        <v/>
      </c>
      <c r="AB266" s="150"/>
      <c r="AC266" s="27" t="str">
        <f t="shared" si="61"/>
        <v/>
      </c>
      <c r="AD266" s="150"/>
      <c r="AE266" s="27" t="str">
        <f t="shared" si="62"/>
        <v/>
      </c>
      <c r="AF266" s="48" t="str">
        <f t="shared" si="63"/>
        <v/>
      </c>
      <c r="AG266" s="48" t="str">
        <f t="shared" si="64"/>
        <v/>
      </c>
      <c r="AH266" s="131"/>
      <c r="AI266" s="149" t="str">
        <f t="shared" si="65"/>
        <v>Débil</v>
      </c>
      <c r="AJ266" s="21" t="str">
        <f>IFERROR(VLOOKUP((CONCATENATE(AG266,AI266)),Listados!$U$3:$V$11,2,FALSE),"")</f>
        <v/>
      </c>
      <c r="AK266" s="48">
        <f t="shared" si="66"/>
        <v>100</v>
      </c>
      <c r="AL266" s="431"/>
      <c r="AM266" s="433"/>
      <c r="AN266" s="169">
        <f>+IF(AND(Q266="Preventivo",AM265="Fuerte"),2,IF(AND(Q266="Preventivo",AM265="Moderado"),1,0))</f>
        <v>0</v>
      </c>
      <c r="AO266" s="169">
        <f t="shared" si="55"/>
        <v>2</v>
      </c>
      <c r="AP266" s="169">
        <f>+K265-AN266</f>
        <v>3</v>
      </c>
      <c r="AQ266" s="169">
        <f>+M265-AO266</f>
        <v>1</v>
      </c>
      <c r="AR266" s="422"/>
      <c r="AS266" s="422"/>
      <c r="AT266" s="422"/>
      <c r="AU266" s="422"/>
      <c r="AV266" s="387"/>
      <c r="AW266" s="388"/>
      <c r="AX266" s="389"/>
      <c r="AY266" s="387"/>
      <c r="AZ266" s="388"/>
      <c r="BA266" s="389"/>
      <c r="BB266" s="387"/>
      <c r="BC266" s="388"/>
      <c r="BD266" s="389"/>
    </row>
    <row r="267" spans="1:56" ht="225.75" customHeight="1" thickBot="1">
      <c r="A267" s="405"/>
      <c r="B267" s="407"/>
      <c r="C267" s="408"/>
      <c r="D267" s="409"/>
      <c r="E267" s="164"/>
      <c r="F267" s="164"/>
      <c r="G267" s="164" t="s">
        <v>544</v>
      </c>
      <c r="H267" s="165" t="s">
        <v>16</v>
      </c>
      <c r="I267" s="165" t="s">
        <v>545</v>
      </c>
      <c r="J267" s="407"/>
      <c r="K267" s="425"/>
      <c r="L267" s="428"/>
      <c r="M267" s="425"/>
      <c r="N267" s="435"/>
      <c r="O267" s="183" t="s">
        <v>543</v>
      </c>
      <c r="P267" s="183" t="s">
        <v>546</v>
      </c>
      <c r="Q267" s="183" t="s">
        <v>123</v>
      </c>
      <c r="R267" s="172"/>
      <c r="S267" s="27" t="str">
        <f t="shared" si="56"/>
        <v/>
      </c>
      <c r="T267" s="172"/>
      <c r="U267" s="27" t="str">
        <f t="shared" si="57"/>
        <v/>
      </c>
      <c r="V267" s="150"/>
      <c r="W267" s="27" t="str">
        <f t="shared" si="58"/>
        <v/>
      </c>
      <c r="X267" s="150"/>
      <c r="Y267" s="27" t="str">
        <f t="shared" si="59"/>
        <v/>
      </c>
      <c r="Z267" s="150"/>
      <c r="AA267" s="27" t="str">
        <f t="shared" si="60"/>
        <v/>
      </c>
      <c r="AB267" s="150"/>
      <c r="AC267" s="27" t="str">
        <f t="shared" si="61"/>
        <v/>
      </c>
      <c r="AD267" s="150"/>
      <c r="AE267" s="27" t="str">
        <f t="shared" si="62"/>
        <v/>
      </c>
      <c r="AF267" s="48" t="str">
        <f t="shared" si="63"/>
        <v/>
      </c>
      <c r="AG267" s="48" t="str">
        <f t="shared" si="64"/>
        <v/>
      </c>
      <c r="AH267" s="131"/>
      <c r="AI267" s="149" t="str">
        <f t="shared" si="65"/>
        <v>Débil</v>
      </c>
      <c r="AJ267" s="21" t="str">
        <f>IFERROR(VLOOKUP((CONCATENATE(AG267,AI267)),Listados!$U$3:$V$11,2,FALSE),"")</f>
        <v/>
      </c>
      <c r="AK267" s="48">
        <f t="shared" si="66"/>
        <v>100</v>
      </c>
      <c r="AL267" s="431"/>
      <c r="AM267" s="433"/>
      <c r="AN267" s="169">
        <f>+IF(AND(Q267="Preventivo",AM265="Fuerte"),2,IF(AND(Q267="Preventivo",AM265="Moderado"),1,0))</f>
        <v>0</v>
      </c>
      <c r="AO267" s="169">
        <f t="shared" si="55"/>
        <v>2</v>
      </c>
      <c r="AP267" s="169">
        <f>+K265-AN267</f>
        <v>3</v>
      </c>
      <c r="AQ267" s="169">
        <f>+M265-AO267</f>
        <v>1</v>
      </c>
      <c r="AR267" s="422"/>
      <c r="AS267" s="422"/>
      <c r="AT267" s="422"/>
      <c r="AU267" s="422"/>
      <c r="AV267" s="387"/>
      <c r="AW267" s="388"/>
      <c r="AX267" s="389"/>
      <c r="AY267" s="387"/>
      <c r="AZ267" s="388"/>
      <c r="BA267" s="389"/>
      <c r="BB267" s="387"/>
      <c r="BC267" s="388"/>
      <c r="BD267" s="389"/>
    </row>
    <row r="268" spans="1:56" ht="144.75" customHeight="1" thickBot="1">
      <c r="A268" s="405"/>
      <c r="B268" s="407"/>
      <c r="C268" s="408"/>
      <c r="D268" s="409"/>
      <c r="E268" s="164"/>
      <c r="F268" s="164"/>
      <c r="G268" s="164" t="s">
        <v>546</v>
      </c>
      <c r="H268" s="165" t="s">
        <v>16</v>
      </c>
      <c r="I268" s="165" t="s">
        <v>547</v>
      </c>
      <c r="J268" s="407"/>
      <c r="K268" s="425"/>
      <c r="L268" s="428"/>
      <c r="M268" s="425"/>
      <c r="N268" s="435"/>
      <c r="O268" s="179" t="s">
        <v>548</v>
      </c>
      <c r="P268" s="183" t="s">
        <v>544</v>
      </c>
      <c r="Q268" s="183" t="s">
        <v>123</v>
      </c>
      <c r="R268" s="172"/>
      <c r="S268" s="27" t="str">
        <f t="shared" si="56"/>
        <v/>
      </c>
      <c r="T268" s="172"/>
      <c r="U268" s="27" t="str">
        <f t="shared" si="57"/>
        <v/>
      </c>
      <c r="V268" s="150"/>
      <c r="W268" s="27" t="str">
        <f t="shared" si="58"/>
        <v/>
      </c>
      <c r="X268" s="150"/>
      <c r="Y268" s="27" t="str">
        <f t="shared" si="59"/>
        <v/>
      </c>
      <c r="Z268" s="150"/>
      <c r="AA268" s="27" t="str">
        <f t="shared" si="60"/>
        <v/>
      </c>
      <c r="AB268" s="150"/>
      <c r="AC268" s="27" t="str">
        <f t="shared" si="61"/>
        <v/>
      </c>
      <c r="AD268" s="150"/>
      <c r="AE268" s="27" t="str">
        <f t="shared" si="62"/>
        <v/>
      </c>
      <c r="AF268" s="48" t="str">
        <f t="shared" si="63"/>
        <v/>
      </c>
      <c r="AG268" s="48" t="str">
        <f t="shared" si="64"/>
        <v/>
      </c>
      <c r="AH268" s="131"/>
      <c r="AI268" s="149" t="str">
        <f t="shared" si="65"/>
        <v>Débil</v>
      </c>
      <c r="AJ268" s="21" t="str">
        <f>IFERROR(VLOOKUP((CONCATENATE(AG268,AI268)),Listados!$U$3:$V$11,2,FALSE),"")</f>
        <v/>
      </c>
      <c r="AK268" s="48">
        <f t="shared" si="66"/>
        <v>100</v>
      </c>
      <c r="AL268" s="431"/>
      <c r="AM268" s="433"/>
      <c r="AN268" s="169">
        <f>+IF(AND(Q268="Preventivo",AM265="Fuerte"),2,IF(AND(Q268="Preventivo",AM265="Moderado"),1,0))</f>
        <v>0</v>
      </c>
      <c r="AO268" s="169">
        <f t="shared" si="55"/>
        <v>2</v>
      </c>
      <c r="AP268" s="169">
        <f>+K265-AN268</f>
        <v>3</v>
      </c>
      <c r="AQ268" s="169">
        <f>+M265-AO268</f>
        <v>1</v>
      </c>
      <c r="AR268" s="422"/>
      <c r="AS268" s="422"/>
      <c r="AT268" s="422"/>
      <c r="AU268" s="422"/>
      <c r="AV268" s="387"/>
      <c r="AW268" s="388"/>
      <c r="AX268" s="389"/>
      <c r="AY268" s="387"/>
      <c r="AZ268" s="388"/>
      <c r="BA268" s="389"/>
      <c r="BB268" s="387"/>
      <c r="BC268" s="388"/>
      <c r="BD268" s="389"/>
    </row>
    <row r="269" spans="1:56" ht="15.75" thickBot="1">
      <c r="A269" s="405"/>
      <c r="B269" s="407"/>
      <c r="C269" s="408"/>
      <c r="D269" s="409"/>
      <c r="E269" s="164"/>
      <c r="F269" s="164"/>
      <c r="G269" s="165"/>
      <c r="H269" s="165"/>
      <c r="I269" s="165"/>
      <c r="J269" s="407"/>
      <c r="K269" s="425"/>
      <c r="L269" s="428"/>
      <c r="M269" s="425"/>
      <c r="N269" s="435"/>
      <c r="O269" s="164"/>
      <c r="P269" s="166"/>
      <c r="Q269" s="166"/>
      <c r="R269" s="172"/>
      <c r="S269" s="27" t="str">
        <f t="shared" si="56"/>
        <v/>
      </c>
      <c r="T269" s="172"/>
      <c r="U269" s="27" t="str">
        <f t="shared" si="57"/>
        <v/>
      </c>
      <c r="V269" s="150"/>
      <c r="W269" s="27" t="str">
        <f t="shared" si="58"/>
        <v/>
      </c>
      <c r="X269" s="150"/>
      <c r="Y269" s="27" t="str">
        <f t="shared" si="59"/>
        <v/>
      </c>
      <c r="Z269" s="150"/>
      <c r="AA269" s="27" t="str">
        <f t="shared" si="60"/>
        <v/>
      </c>
      <c r="AB269" s="150"/>
      <c r="AC269" s="27" t="str">
        <f t="shared" si="61"/>
        <v/>
      </c>
      <c r="AD269" s="150"/>
      <c r="AE269" s="27" t="str">
        <f t="shared" si="62"/>
        <v/>
      </c>
      <c r="AF269" s="48" t="str">
        <f t="shared" si="63"/>
        <v/>
      </c>
      <c r="AG269" s="48" t="str">
        <f t="shared" si="64"/>
        <v/>
      </c>
      <c r="AH269" s="131"/>
      <c r="AI269" s="149" t="str">
        <f t="shared" si="65"/>
        <v>Débil</v>
      </c>
      <c r="AJ269" s="21" t="str">
        <f>IFERROR(VLOOKUP((CONCATENATE(AG269,AI269)),Listados!$U$3:$V$11,2,FALSE),"")</f>
        <v/>
      </c>
      <c r="AK269" s="48">
        <f t="shared" si="66"/>
        <v>100</v>
      </c>
      <c r="AL269" s="431"/>
      <c r="AM269" s="433"/>
      <c r="AN269" s="169">
        <f>+IF(AND(Q269="Preventivo",AM265="Fuerte"),2,IF(AND(Q269="Preventivo",AM265="Moderado"),1,0))</f>
        <v>0</v>
      </c>
      <c r="AO269" s="169">
        <f t="shared" si="55"/>
        <v>0</v>
      </c>
      <c r="AP269" s="169">
        <f>+K265-AN269</f>
        <v>3</v>
      </c>
      <c r="AQ269" s="169">
        <f>+M265-AO269</f>
        <v>3</v>
      </c>
      <c r="AR269" s="422"/>
      <c r="AS269" s="422"/>
      <c r="AT269" s="422"/>
      <c r="AU269" s="422"/>
      <c r="AV269" s="387"/>
      <c r="AW269" s="388"/>
      <c r="AX269" s="389"/>
      <c r="AY269" s="387"/>
      <c r="AZ269" s="388"/>
      <c r="BA269" s="389"/>
      <c r="BB269" s="387"/>
      <c r="BC269" s="388"/>
      <c r="BD269" s="389"/>
    </row>
    <row r="270" spans="1:56" ht="15.75" thickBot="1">
      <c r="A270" s="406"/>
      <c r="B270" s="407"/>
      <c r="C270" s="408"/>
      <c r="D270" s="409"/>
      <c r="E270" s="164"/>
      <c r="F270" s="164"/>
      <c r="G270" s="165"/>
      <c r="H270" s="165"/>
      <c r="I270" s="165"/>
      <c r="J270" s="407"/>
      <c r="K270" s="426"/>
      <c r="L270" s="428"/>
      <c r="M270" s="426"/>
      <c r="N270" s="435"/>
      <c r="O270" s="164"/>
      <c r="P270" s="166"/>
      <c r="Q270" s="166"/>
      <c r="R270" s="172"/>
      <c r="S270" s="27" t="str">
        <f t="shared" si="56"/>
        <v/>
      </c>
      <c r="T270" s="172"/>
      <c r="U270" s="27" t="str">
        <f t="shared" si="57"/>
        <v/>
      </c>
      <c r="V270" s="150"/>
      <c r="W270" s="27" t="str">
        <f t="shared" si="58"/>
        <v/>
      </c>
      <c r="X270" s="150"/>
      <c r="Y270" s="27" t="str">
        <f t="shared" si="59"/>
        <v/>
      </c>
      <c r="Z270" s="150"/>
      <c r="AA270" s="27" t="str">
        <f t="shared" si="60"/>
        <v/>
      </c>
      <c r="AB270" s="150"/>
      <c r="AC270" s="27" t="str">
        <f t="shared" si="61"/>
        <v/>
      </c>
      <c r="AD270" s="150"/>
      <c r="AE270" s="27" t="str">
        <f t="shared" si="62"/>
        <v/>
      </c>
      <c r="AF270" s="48" t="str">
        <f t="shared" si="63"/>
        <v/>
      </c>
      <c r="AG270" s="48" t="str">
        <f t="shared" si="64"/>
        <v/>
      </c>
      <c r="AH270" s="131"/>
      <c r="AI270" s="149" t="str">
        <f t="shared" si="65"/>
        <v>Débil</v>
      </c>
      <c r="AJ270" s="21" t="str">
        <f>IFERROR(VLOOKUP((CONCATENATE(AG270,AI270)),Listados!$U$3:$V$11,2,FALSE),"")</f>
        <v/>
      </c>
      <c r="AK270" s="48">
        <f t="shared" si="66"/>
        <v>100</v>
      </c>
      <c r="AL270" s="432"/>
      <c r="AM270" s="433"/>
      <c r="AN270" s="169">
        <f>+IF(AND(Q270="Preventivo",AM265="Fuerte"),2,IF(AND(Q270="Preventivo",AM265="Moderado"),1,0))</f>
        <v>0</v>
      </c>
      <c r="AO270" s="169">
        <f t="shared" ref="AO270:AO333" si="67">+IF(AND(Q270="Detectivo",$AM$7="Fuerte"),2,IF(AND(Q270="Detectivo",$AM$7="Moderado"),1,IF(AND(Q270="Preventivo",$AM$7="Fuerte"),1,0)))</f>
        <v>0</v>
      </c>
      <c r="AP270" s="169">
        <f>+K265-AN270</f>
        <v>3</v>
      </c>
      <c r="AQ270" s="169">
        <f>+M265-AO270</f>
        <v>3</v>
      </c>
      <c r="AR270" s="423"/>
      <c r="AS270" s="423"/>
      <c r="AT270" s="423"/>
      <c r="AU270" s="423"/>
      <c r="AV270" s="387"/>
      <c r="AW270" s="388"/>
      <c r="AX270" s="389"/>
      <c r="AY270" s="387"/>
      <c r="AZ270" s="388"/>
      <c r="BA270" s="389"/>
      <c r="BB270" s="387"/>
      <c r="BC270" s="388"/>
      <c r="BD270" s="389"/>
    </row>
    <row r="271" spans="1:56" ht="243.75" thickBot="1">
      <c r="A271" s="404">
        <v>45</v>
      </c>
      <c r="B271" s="407" t="s">
        <v>68</v>
      </c>
      <c r="C271" s="408" t="str">
        <f>IFERROR(VLOOKUP(B271,Listados!B$3:C$20,2,FALSE),"")</f>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
      <c r="D271" s="409" t="s">
        <v>549</v>
      </c>
      <c r="E271" s="164" t="s">
        <v>15</v>
      </c>
      <c r="F271" s="164" t="s">
        <v>178</v>
      </c>
      <c r="G271" s="165" t="s">
        <v>550</v>
      </c>
      <c r="H271" s="165" t="s">
        <v>30</v>
      </c>
      <c r="I271" s="165" t="s">
        <v>551</v>
      </c>
      <c r="J271" s="407" t="s">
        <v>21</v>
      </c>
      <c r="K271" s="424">
        <f>+VLOOKUP(J271,[4]Listados!$K$8:$L$12,2,0)</f>
        <v>1</v>
      </c>
      <c r="L271" s="427" t="s">
        <v>32</v>
      </c>
      <c r="M271" s="424">
        <f>+VLOOKUP(L271,Listados!$K$13:$L$17,2,0)</f>
        <v>2</v>
      </c>
      <c r="N271" s="434" t="str">
        <f>IF(AND(J271&lt;&gt;"",L271&lt;&gt;""),VLOOKUP(J271&amp;L271,Listados!$M$3:$N$27,2,FALSE),"")</f>
        <v>Bajo</v>
      </c>
      <c r="O271" s="166" t="s">
        <v>552</v>
      </c>
      <c r="P271" s="166" t="s">
        <v>550</v>
      </c>
      <c r="Q271" s="166" t="s">
        <v>20</v>
      </c>
      <c r="R271" s="172"/>
      <c r="S271" s="27" t="str">
        <f t="shared" si="56"/>
        <v/>
      </c>
      <c r="T271" s="172"/>
      <c r="U271" s="27" t="str">
        <f t="shared" si="57"/>
        <v/>
      </c>
      <c r="V271" s="150"/>
      <c r="W271" s="27" t="str">
        <f t="shared" si="58"/>
        <v/>
      </c>
      <c r="X271" s="150"/>
      <c r="Y271" s="27" t="str">
        <f t="shared" si="59"/>
        <v/>
      </c>
      <c r="Z271" s="150"/>
      <c r="AA271" s="27" t="str">
        <f t="shared" si="60"/>
        <v/>
      </c>
      <c r="AB271" s="150"/>
      <c r="AC271" s="27" t="str">
        <f t="shared" si="61"/>
        <v/>
      </c>
      <c r="AD271" s="150"/>
      <c r="AE271" s="27" t="str">
        <f t="shared" si="62"/>
        <v/>
      </c>
      <c r="AF271" s="48" t="str">
        <f t="shared" si="63"/>
        <v/>
      </c>
      <c r="AG271" s="48" t="str">
        <f t="shared" si="64"/>
        <v/>
      </c>
      <c r="AH271" s="131"/>
      <c r="AI271" s="149" t="str">
        <f t="shared" si="65"/>
        <v>Débil</v>
      </c>
      <c r="AJ271" s="21" t="str">
        <f>IFERROR(VLOOKUP((CONCATENATE(AG271,AI271)),Listados!$U$3:$V$11,2,FALSE),"")</f>
        <v/>
      </c>
      <c r="AK271" s="48">
        <f t="shared" si="66"/>
        <v>100</v>
      </c>
      <c r="AL271" s="430">
        <f>AVERAGE(AK271:AK276)</f>
        <v>100</v>
      </c>
      <c r="AM271" s="432" t="str">
        <f>IF(AL271&lt;=50, "Débil", IF(AL271&lt;=99,"Moderado","Fuerte"))</f>
        <v>Fuerte</v>
      </c>
      <c r="AN271" s="169">
        <f>+IF(AND(Q271="Preventivo",AM271="Fuerte"),2,IF(AND(Q271="Preventivo",AM271="Moderado"),1,0))</f>
        <v>2</v>
      </c>
      <c r="AO271" s="169">
        <f t="shared" si="67"/>
        <v>1</v>
      </c>
      <c r="AP271" s="169">
        <f>+K271-AN271</f>
        <v>-1</v>
      </c>
      <c r="AQ271" s="169">
        <f>+M271-AO271</f>
        <v>1</v>
      </c>
      <c r="AR271" s="421" t="str">
        <f>+VLOOKUP(MIN(AP271,AP272,AP273,AP274,AP275,AP276),Listados!$J$18:$K$24,2,TRUE)</f>
        <v>Rara Vez</v>
      </c>
      <c r="AS271" s="421" t="str">
        <f>+VLOOKUP(MIN(AQ271,AQ272,AQ273,AQ274,AQ275,AQ276),Listados!$J$27:$K$32,2,TRUE)</f>
        <v>Insignificante</v>
      </c>
      <c r="AT271" s="421" t="str">
        <f>IF(AND(AR271&lt;&gt;"",AS271&lt;&gt;""),VLOOKUP(AR271&amp;AS271,Listados!$M$3:$N$27,2,FALSE),"")</f>
        <v>Bajo</v>
      </c>
      <c r="AU271" s="421" t="str">
        <f>+VLOOKUP(AT271,Listados!$P$3:$Q$6,2,FALSE)</f>
        <v>Asumir el riesgo</v>
      </c>
      <c r="AV271" s="387"/>
      <c r="AW271" s="388"/>
      <c r="AX271" s="389"/>
      <c r="AY271" s="387"/>
      <c r="AZ271" s="388"/>
      <c r="BA271" s="389"/>
      <c r="BB271" s="387"/>
      <c r="BC271" s="388"/>
      <c r="BD271" s="389"/>
    </row>
    <row r="272" spans="1:56" ht="243.75" thickBot="1">
      <c r="A272" s="405"/>
      <c r="B272" s="407"/>
      <c r="C272" s="408"/>
      <c r="D272" s="409"/>
      <c r="E272" s="164"/>
      <c r="F272" s="164"/>
      <c r="G272" s="165" t="s">
        <v>553</v>
      </c>
      <c r="H272" s="165" t="s">
        <v>16</v>
      </c>
      <c r="I272" s="165" t="s">
        <v>554</v>
      </c>
      <c r="J272" s="407"/>
      <c r="K272" s="425"/>
      <c r="L272" s="428"/>
      <c r="M272" s="425"/>
      <c r="N272" s="435"/>
      <c r="O272" s="166" t="s">
        <v>552</v>
      </c>
      <c r="P272" s="166" t="s">
        <v>553</v>
      </c>
      <c r="Q272" s="166" t="s">
        <v>20</v>
      </c>
      <c r="R272" s="172"/>
      <c r="S272" s="27" t="str">
        <f t="shared" si="56"/>
        <v/>
      </c>
      <c r="T272" s="172"/>
      <c r="U272" s="27" t="str">
        <f t="shared" si="57"/>
        <v/>
      </c>
      <c r="V272" s="150"/>
      <c r="W272" s="27" t="str">
        <f t="shared" si="58"/>
        <v/>
      </c>
      <c r="X272" s="150"/>
      <c r="Y272" s="27" t="str">
        <f t="shared" si="59"/>
        <v/>
      </c>
      <c r="Z272" s="150"/>
      <c r="AA272" s="27" t="str">
        <f t="shared" si="60"/>
        <v/>
      </c>
      <c r="AB272" s="150"/>
      <c r="AC272" s="27" t="str">
        <f t="shared" si="61"/>
        <v/>
      </c>
      <c r="AD272" s="150"/>
      <c r="AE272" s="27" t="str">
        <f t="shared" si="62"/>
        <v/>
      </c>
      <c r="AF272" s="48" t="str">
        <f t="shared" si="63"/>
        <v/>
      </c>
      <c r="AG272" s="48" t="str">
        <f t="shared" si="64"/>
        <v/>
      </c>
      <c r="AH272" s="131"/>
      <c r="AI272" s="149" t="str">
        <f t="shared" si="65"/>
        <v>Débil</v>
      </c>
      <c r="AJ272" s="21" t="str">
        <f>IFERROR(VLOOKUP((CONCATENATE(AG272,AI272)),Listados!$U$3:$V$11,2,FALSE),"")</f>
        <v/>
      </c>
      <c r="AK272" s="48">
        <f t="shared" si="66"/>
        <v>100</v>
      </c>
      <c r="AL272" s="431"/>
      <c r="AM272" s="433"/>
      <c r="AN272" s="169">
        <f>+IF(AND(Q272="Preventivo",AM271="Fuerte"),2,IF(AND(Q272="Preventivo",AM271="Moderado"),1,0))</f>
        <v>2</v>
      </c>
      <c r="AO272" s="169">
        <f t="shared" si="67"/>
        <v>1</v>
      </c>
      <c r="AP272" s="169">
        <f>+K271-AN272</f>
        <v>-1</v>
      </c>
      <c r="AQ272" s="169">
        <f>+M271-AO272</f>
        <v>1</v>
      </c>
      <c r="AR272" s="422"/>
      <c r="AS272" s="422"/>
      <c r="AT272" s="422"/>
      <c r="AU272" s="422"/>
      <c r="AV272" s="387"/>
      <c r="AW272" s="388"/>
      <c r="AX272" s="389"/>
      <c r="AY272" s="387"/>
      <c r="AZ272" s="388"/>
      <c r="BA272" s="389"/>
      <c r="BB272" s="387"/>
      <c r="BC272" s="388"/>
      <c r="BD272" s="389"/>
    </row>
    <row r="273" spans="1:56" ht="158.25" thickBot="1">
      <c r="A273" s="405"/>
      <c r="B273" s="407"/>
      <c r="C273" s="408"/>
      <c r="D273" s="409"/>
      <c r="E273" s="164"/>
      <c r="F273" s="164"/>
      <c r="G273" s="165" t="s">
        <v>555</v>
      </c>
      <c r="H273" s="165" t="s">
        <v>16</v>
      </c>
      <c r="I273" s="165"/>
      <c r="J273" s="407"/>
      <c r="K273" s="425"/>
      <c r="L273" s="428"/>
      <c r="M273" s="425"/>
      <c r="N273" s="435"/>
      <c r="O273" s="166" t="s">
        <v>556</v>
      </c>
      <c r="P273" s="166" t="s">
        <v>555</v>
      </c>
      <c r="Q273" s="166" t="s">
        <v>123</v>
      </c>
      <c r="R273" s="172"/>
      <c r="S273" s="27" t="str">
        <f t="shared" si="56"/>
        <v/>
      </c>
      <c r="T273" s="172"/>
      <c r="U273" s="27" t="str">
        <f t="shared" si="57"/>
        <v/>
      </c>
      <c r="V273" s="150"/>
      <c r="W273" s="27" t="str">
        <f t="shared" si="58"/>
        <v/>
      </c>
      <c r="X273" s="150"/>
      <c r="Y273" s="27" t="str">
        <f t="shared" si="59"/>
        <v/>
      </c>
      <c r="Z273" s="150"/>
      <c r="AA273" s="27" t="str">
        <f t="shared" si="60"/>
        <v/>
      </c>
      <c r="AB273" s="150"/>
      <c r="AC273" s="27" t="str">
        <f t="shared" si="61"/>
        <v/>
      </c>
      <c r="AD273" s="150"/>
      <c r="AE273" s="27" t="str">
        <f t="shared" si="62"/>
        <v/>
      </c>
      <c r="AF273" s="48" t="str">
        <f t="shared" si="63"/>
        <v/>
      </c>
      <c r="AG273" s="48" t="str">
        <f t="shared" si="64"/>
        <v/>
      </c>
      <c r="AH273" s="131"/>
      <c r="AI273" s="149" t="str">
        <f t="shared" si="65"/>
        <v>Débil</v>
      </c>
      <c r="AJ273" s="21" t="str">
        <f>IFERROR(VLOOKUP((CONCATENATE(AG273,AI273)),Listados!$U$3:$V$11,2,FALSE),"")</f>
        <v/>
      </c>
      <c r="AK273" s="48">
        <f t="shared" si="66"/>
        <v>100</v>
      </c>
      <c r="AL273" s="431"/>
      <c r="AM273" s="433"/>
      <c r="AN273" s="169">
        <f>+IF(AND(Q273="Preventivo",AM271="Fuerte"),2,IF(AND(Q273="Preventivo",AM271="Moderado"),1,0))</f>
        <v>0</v>
      </c>
      <c r="AO273" s="169">
        <f t="shared" si="67"/>
        <v>2</v>
      </c>
      <c r="AP273" s="169">
        <f>+K271-AN273</f>
        <v>1</v>
      </c>
      <c r="AQ273" s="169">
        <f>+M271-AO273</f>
        <v>0</v>
      </c>
      <c r="AR273" s="422"/>
      <c r="AS273" s="422"/>
      <c r="AT273" s="422"/>
      <c r="AU273" s="422"/>
      <c r="AV273" s="387"/>
      <c r="AW273" s="388"/>
      <c r="AX273" s="389"/>
      <c r="AY273" s="387"/>
      <c r="AZ273" s="388"/>
      <c r="BA273" s="389"/>
      <c r="BB273" s="387"/>
      <c r="BC273" s="388"/>
      <c r="BD273" s="389"/>
    </row>
    <row r="274" spans="1:56" ht="15.75" thickBot="1">
      <c r="A274" s="405"/>
      <c r="B274" s="407"/>
      <c r="C274" s="408"/>
      <c r="D274" s="409"/>
      <c r="E274" s="164"/>
      <c r="F274" s="164"/>
      <c r="G274" s="165"/>
      <c r="H274" s="165"/>
      <c r="I274" s="165"/>
      <c r="J274" s="407"/>
      <c r="K274" s="425"/>
      <c r="L274" s="428"/>
      <c r="M274" s="425"/>
      <c r="N274" s="435"/>
      <c r="O274" s="164"/>
      <c r="P274" s="166"/>
      <c r="Q274" s="166"/>
      <c r="R274" s="172"/>
      <c r="S274" s="27" t="str">
        <f t="shared" si="56"/>
        <v/>
      </c>
      <c r="T274" s="172"/>
      <c r="U274" s="27" t="str">
        <f t="shared" si="57"/>
        <v/>
      </c>
      <c r="V274" s="150"/>
      <c r="W274" s="27" t="str">
        <f t="shared" si="58"/>
        <v/>
      </c>
      <c r="X274" s="150"/>
      <c r="Y274" s="27" t="str">
        <f t="shared" si="59"/>
        <v/>
      </c>
      <c r="Z274" s="150"/>
      <c r="AA274" s="27" t="str">
        <f t="shared" si="60"/>
        <v/>
      </c>
      <c r="AB274" s="150"/>
      <c r="AC274" s="27" t="str">
        <f t="shared" si="61"/>
        <v/>
      </c>
      <c r="AD274" s="150"/>
      <c r="AE274" s="27" t="str">
        <f t="shared" si="62"/>
        <v/>
      </c>
      <c r="AF274" s="48" t="str">
        <f t="shared" si="63"/>
        <v/>
      </c>
      <c r="AG274" s="48" t="str">
        <f t="shared" si="64"/>
        <v/>
      </c>
      <c r="AH274" s="131"/>
      <c r="AI274" s="149" t="str">
        <f t="shared" si="65"/>
        <v>Débil</v>
      </c>
      <c r="AJ274" s="21" t="str">
        <f>IFERROR(VLOOKUP((CONCATENATE(AG274,AI274)),Listados!$U$3:$V$11,2,FALSE),"")</f>
        <v/>
      </c>
      <c r="AK274" s="48">
        <f t="shared" si="66"/>
        <v>100</v>
      </c>
      <c r="AL274" s="431"/>
      <c r="AM274" s="433"/>
      <c r="AN274" s="169">
        <f>+IF(AND(Q274="Preventivo",AM271="Fuerte"),2,IF(AND(Q274="Preventivo",AM271="Moderado"),1,0))</f>
        <v>0</v>
      </c>
      <c r="AO274" s="169">
        <f t="shared" si="67"/>
        <v>0</v>
      </c>
      <c r="AP274" s="169">
        <f>+K271-AN274</f>
        <v>1</v>
      </c>
      <c r="AQ274" s="169">
        <f>+M271-AO274</f>
        <v>2</v>
      </c>
      <c r="AR274" s="422"/>
      <c r="AS274" s="422"/>
      <c r="AT274" s="422"/>
      <c r="AU274" s="422"/>
      <c r="AV274" s="387"/>
      <c r="AW274" s="388"/>
      <c r="AX274" s="389"/>
      <c r="AY274" s="387"/>
      <c r="AZ274" s="388"/>
      <c r="BA274" s="389"/>
      <c r="BB274" s="387"/>
      <c r="BC274" s="388"/>
      <c r="BD274" s="389"/>
    </row>
    <row r="275" spans="1:56" ht="15.75" thickBot="1">
      <c r="A275" s="405"/>
      <c r="B275" s="407"/>
      <c r="C275" s="408"/>
      <c r="D275" s="409"/>
      <c r="E275" s="164"/>
      <c r="F275" s="164"/>
      <c r="G275" s="165"/>
      <c r="H275" s="165"/>
      <c r="I275" s="165"/>
      <c r="J275" s="407"/>
      <c r="K275" s="425"/>
      <c r="L275" s="428"/>
      <c r="M275" s="425"/>
      <c r="N275" s="435"/>
      <c r="O275" s="164"/>
      <c r="P275" s="166"/>
      <c r="Q275" s="166"/>
      <c r="R275" s="172"/>
      <c r="S275" s="27" t="str">
        <f t="shared" si="56"/>
        <v/>
      </c>
      <c r="T275" s="172"/>
      <c r="U275" s="27" t="str">
        <f t="shared" si="57"/>
        <v/>
      </c>
      <c r="V275" s="150"/>
      <c r="W275" s="27" t="str">
        <f t="shared" si="58"/>
        <v/>
      </c>
      <c r="X275" s="150"/>
      <c r="Y275" s="27" t="str">
        <f t="shared" si="59"/>
        <v/>
      </c>
      <c r="Z275" s="150"/>
      <c r="AA275" s="27" t="str">
        <f t="shared" si="60"/>
        <v/>
      </c>
      <c r="AB275" s="150"/>
      <c r="AC275" s="27" t="str">
        <f t="shared" si="61"/>
        <v/>
      </c>
      <c r="AD275" s="150"/>
      <c r="AE275" s="27" t="str">
        <f t="shared" si="62"/>
        <v/>
      </c>
      <c r="AF275" s="48" t="str">
        <f t="shared" si="63"/>
        <v/>
      </c>
      <c r="AG275" s="48" t="str">
        <f t="shared" si="64"/>
        <v/>
      </c>
      <c r="AH275" s="131"/>
      <c r="AI275" s="149" t="str">
        <f t="shared" si="65"/>
        <v>Débil</v>
      </c>
      <c r="AJ275" s="21" t="str">
        <f>IFERROR(VLOOKUP((CONCATENATE(AG275,AI275)),Listados!$U$3:$V$11,2,FALSE),"")</f>
        <v/>
      </c>
      <c r="AK275" s="48">
        <f t="shared" si="66"/>
        <v>100</v>
      </c>
      <c r="AL275" s="431"/>
      <c r="AM275" s="433"/>
      <c r="AN275" s="169">
        <f>+IF(AND(Q275="Preventivo",AM271="Fuerte"),2,IF(AND(Q275="Preventivo",AM271="Moderado"),1,0))</f>
        <v>0</v>
      </c>
      <c r="AO275" s="169">
        <f t="shared" si="67"/>
        <v>0</v>
      </c>
      <c r="AP275" s="169">
        <f>+K271-AN275</f>
        <v>1</v>
      </c>
      <c r="AQ275" s="169">
        <f>+M271-AO275</f>
        <v>2</v>
      </c>
      <c r="AR275" s="422"/>
      <c r="AS275" s="422"/>
      <c r="AT275" s="422"/>
      <c r="AU275" s="422"/>
      <c r="AV275" s="387"/>
      <c r="AW275" s="388"/>
      <c r="AX275" s="389"/>
      <c r="AY275" s="387"/>
      <c r="AZ275" s="388"/>
      <c r="BA275" s="389"/>
      <c r="BB275" s="387"/>
      <c r="BC275" s="388"/>
      <c r="BD275" s="389"/>
    </row>
    <row r="276" spans="1:56" ht="15.75" thickBot="1">
      <c r="A276" s="406"/>
      <c r="B276" s="407"/>
      <c r="C276" s="408"/>
      <c r="D276" s="409"/>
      <c r="E276" s="164"/>
      <c r="F276" s="164"/>
      <c r="G276" s="165"/>
      <c r="H276" s="165"/>
      <c r="I276" s="165"/>
      <c r="J276" s="407"/>
      <c r="K276" s="426"/>
      <c r="L276" s="428"/>
      <c r="M276" s="426"/>
      <c r="N276" s="435"/>
      <c r="O276" s="164"/>
      <c r="P276" s="166"/>
      <c r="Q276" s="166"/>
      <c r="R276" s="172"/>
      <c r="S276" s="27" t="str">
        <f t="shared" si="56"/>
        <v/>
      </c>
      <c r="T276" s="172"/>
      <c r="U276" s="27" t="str">
        <f t="shared" si="57"/>
        <v/>
      </c>
      <c r="V276" s="150"/>
      <c r="W276" s="27" t="str">
        <f t="shared" si="58"/>
        <v/>
      </c>
      <c r="X276" s="150"/>
      <c r="Y276" s="27" t="str">
        <f t="shared" si="59"/>
        <v/>
      </c>
      <c r="Z276" s="150"/>
      <c r="AA276" s="27" t="str">
        <f t="shared" si="60"/>
        <v/>
      </c>
      <c r="AB276" s="150"/>
      <c r="AC276" s="27" t="str">
        <f t="shared" si="61"/>
        <v/>
      </c>
      <c r="AD276" s="150"/>
      <c r="AE276" s="27" t="str">
        <f t="shared" si="62"/>
        <v/>
      </c>
      <c r="AF276" s="48" t="str">
        <f t="shared" si="63"/>
        <v/>
      </c>
      <c r="AG276" s="48" t="str">
        <f t="shared" si="64"/>
        <v/>
      </c>
      <c r="AH276" s="131"/>
      <c r="AI276" s="149" t="str">
        <f t="shared" si="65"/>
        <v>Débil</v>
      </c>
      <c r="AJ276" s="21" t="str">
        <f>IFERROR(VLOOKUP((CONCATENATE(AG276,AI276)),Listados!$U$3:$V$11,2,FALSE),"")</f>
        <v/>
      </c>
      <c r="AK276" s="48">
        <f t="shared" si="66"/>
        <v>100</v>
      </c>
      <c r="AL276" s="432"/>
      <c r="AM276" s="433"/>
      <c r="AN276" s="169">
        <f>+IF(AND(Q276="Preventivo",AM271="Fuerte"),2,IF(AND(Q276="Preventivo",AM271="Moderado"),1,0))</f>
        <v>0</v>
      </c>
      <c r="AO276" s="169">
        <f t="shared" si="67"/>
        <v>0</v>
      </c>
      <c r="AP276" s="169">
        <f>+K271-AN276</f>
        <v>1</v>
      </c>
      <c r="AQ276" s="169">
        <f>+M271-AO276</f>
        <v>2</v>
      </c>
      <c r="AR276" s="423"/>
      <c r="AS276" s="423"/>
      <c r="AT276" s="423"/>
      <c r="AU276" s="423"/>
      <c r="AV276" s="387"/>
      <c r="AW276" s="388"/>
      <c r="AX276" s="389"/>
      <c r="AY276" s="387"/>
      <c r="AZ276" s="388"/>
      <c r="BA276" s="389"/>
      <c r="BB276" s="387"/>
      <c r="BC276" s="388"/>
      <c r="BD276" s="389"/>
    </row>
    <row r="277" spans="1:56" ht="201" thickBot="1">
      <c r="A277" s="404">
        <v>46</v>
      </c>
      <c r="B277" s="407" t="s">
        <v>68</v>
      </c>
      <c r="C277" s="408" t="str">
        <f>IFERROR(VLOOKUP(B277,Listados!B$3:C$20,2,FALSE),"")</f>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
      <c r="D277" s="409" t="s">
        <v>557</v>
      </c>
      <c r="E277" s="164" t="s">
        <v>15</v>
      </c>
      <c r="F277" s="164" t="s">
        <v>178</v>
      </c>
      <c r="G277" s="165" t="s">
        <v>558</v>
      </c>
      <c r="H277" s="165" t="s">
        <v>30</v>
      </c>
      <c r="I277" s="165" t="s">
        <v>559</v>
      </c>
      <c r="J277" s="407" t="s">
        <v>31</v>
      </c>
      <c r="K277" s="424">
        <f>+VLOOKUP(J277,[4]Listados!$K$8:$L$12,2,0)</f>
        <v>2</v>
      </c>
      <c r="L277" s="427" t="s">
        <v>32</v>
      </c>
      <c r="M277" s="424">
        <f>+VLOOKUP(L277,Listados!$K$13:$L$17,2,0)</f>
        <v>2</v>
      </c>
      <c r="N277" s="434" t="str">
        <f>IF(AND(J277&lt;&gt;"",L277&lt;&gt;""),VLOOKUP(J277&amp;L277,Listados!$M$3:$N$27,2,FALSE),"")</f>
        <v>Bajo</v>
      </c>
      <c r="O277" s="166" t="s">
        <v>560</v>
      </c>
      <c r="P277" s="164" t="s">
        <v>558</v>
      </c>
      <c r="Q277" s="165" t="s">
        <v>20</v>
      </c>
      <c r="R277" s="172"/>
      <c r="S277" s="27" t="str">
        <f t="shared" si="56"/>
        <v/>
      </c>
      <c r="T277" s="172"/>
      <c r="U277" s="27" t="str">
        <f t="shared" si="57"/>
        <v/>
      </c>
      <c r="V277" s="150"/>
      <c r="W277" s="27" t="str">
        <f t="shared" si="58"/>
        <v/>
      </c>
      <c r="X277" s="150"/>
      <c r="Y277" s="27" t="str">
        <f t="shared" si="59"/>
        <v/>
      </c>
      <c r="Z277" s="150"/>
      <c r="AA277" s="27" t="str">
        <f t="shared" si="60"/>
        <v/>
      </c>
      <c r="AB277" s="150"/>
      <c r="AC277" s="27" t="str">
        <f t="shared" si="61"/>
        <v/>
      </c>
      <c r="AD277" s="150"/>
      <c r="AE277" s="27" t="str">
        <f t="shared" si="62"/>
        <v/>
      </c>
      <c r="AF277" s="48" t="str">
        <f t="shared" si="63"/>
        <v/>
      </c>
      <c r="AG277" s="48" t="str">
        <f t="shared" si="64"/>
        <v/>
      </c>
      <c r="AH277" s="131"/>
      <c r="AI277" s="149" t="str">
        <f t="shared" si="65"/>
        <v>Débil</v>
      </c>
      <c r="AJ277" s="21" t="str">
        <f>IFERROR(VLOOKUP((CONCATENATE(AG277,AI277)),Listados!$U$3:$V$11,2,FALSE),"")</f>
        <v/>
      </c>
      <c r="AK277" s="48">
        <f t="shared" si="66"/>
        <v>100</v>
      </c>
      <c r="AL277" s="430">
        <f>AVERAGE(AK277:AK282)</f>
        <v>100</v>
      </c>
      <c r="AM277" s="432" t="str">
        <f>IF(AL277&lt;=50, "Débil", IF(AL277&lt;=99,"Moderado","Fuerte"))</f>
        <v>Fuerte</v>
      </c>
      <c r="AN277" s="169">
        <f>+IF(AND(Q277="Preventivo",AM277="Fuerte"),2,IF(AND(Q277="Preventivo",AM277="Moderado"),1,0))</f>
        <v>2</v>
      </c>
      <c r="AO277" s="169">
        <f t="shared" si="67"/>
        <v>1</v>
      </c>
      <c r="AP277" s="169">
        <f>+K277-AN277</f>
        <v>0</v>
      </c>
      <c r="AQ277" s="169">
        <f>+M277-AO277</f>
        <v>1</v>
      </c>
      <c r="AR277" s="421" t="str">
        <f>+VLOOKUP(MIN(AP277,AP278,AP279,AP280,AP281,AP282),Listados!$J$18:$K$24,2,TRUE)</f>
        <v>Rara Vez</v>
      </c>
      <c r="AS277" s="421" t="str">
        <f>+VLOOKUP(MIN(AQ277,AQ278,AQ279,AQ280,AQ281,AQ282),Listados!$J$27:$K$32,2,TRUE)</f>
        <v>Insignificante</v>
      </c>
      <c r="AT277" s="421" t="str">
        <f>IF(AND(AR277&lt;&gt;"",AS277&lt;&gt;""),VLOOKUP(AR277&amp;AS277,Listados!$M$3:$N$27,2,FALSE),"")</f>
        <v>Bajo</v>
      </c>
      <c r="AU277" s="421" t="str">
        <f>+VLOOKUP(AT277,Listados!$P$3:$Q$6,2,FALSE)</f>
        <v>Asumir el riesgo</v>
      </c>
      <c r="AV277" s="387"/>
      <c r="AW277" s="388"/>
      <c r="AX277" s="389"/>
      <c r="AY277" s="387"/>
      <c r="AZ277" s="388"/>
      <c r="BA277" s="389"/>
      <c r="BB277" s="387"/>
      <c r="BC277" s="388"/>
      <c r="BD277" s="389"/>
    </row>
    <row r="278" spans="1:56" ht="201" thickBot="1">
      <c r="A278" s="405"/>
      <c r="B278" s="407"/>
      <c r="C278" s="408"/>
      <c r="D278" s="409"/>
      <c r="E278" s="164"/>
      <c r="F278" s="164"/>
      <c r="G278" s="165" t="s">
        <v>561</v>
      </c>
      <c r="H278" s="165" t="s">
        <v>16</v>
      </c>
      <c r="I278" s="165" t="s">
        <v>562</v>
      </c>
      <c r="J278" s="407"/>
      <c r="K278" s="425"/>
      <c r="L278" s="428"/>
      <c r="M278" s="425"/>
      <c r="N278" s="435"/>
      <c r="O278" s="166" t="s">
        <v>560</v>
      </c>
      <c r="P278" s="164" t="s">
        <v>561</v>
      </c>
      <c r="Q278" s="165" t="s">
        <v>20</v>
      </c>
      <c r="R278" s="172"/>
      <c r="S278" s="27" t="str">
        <f t="shared" si="56"/>
        <v/>
      </c>
      <c r="T278" s="172"/>
      <c r="U278" s="27" t="str">
        <f t="shared" si="57"/>
        <v/>
      </c>
      <c r="V278" s="150"/>
      <c r="W278" s="27" t="str">
        <f t="shared" si="58"/>
        <v/>
      </c>
      <c r="X278" s="150"/>
      <c r="Y278" s="27" t="str">
        <f t="shared" si="59"/>
        <v/>
      </c>
      <c r="Z278" s="150"/>
      <c r="AA278" s="27" t="str">
        <f t="shared" si="60"/>
        <v/>
      </c>
      <c r="AB278" s="150"/>
      <c r="AC278" s="27" t="str">
        <f t="shared" si="61"/>
        <v/>
      </c>
      <c r="AD278" s="150"/>
      <c r="AE278" s="27" t="str">
        <f t="shared" si="62"/>
        <v/>
      </c>
      <c r="AF278" s="48" t="str">
        <f t="shared" si="63"/>
        <v/>
      </c>
      <c r="AG278" s="48" t="str">
        <f t="shared" si="64"/>
        <v/>
      </c>
      <c r="AH278" s="131"/>
      <c r="AI278" s="149" t="str">
        <f t="shared" si="65"/>
        <v>Débil</v>
      </c>
      <c r="AJ278" s="21" t="str">
        <f>IFERROR(VLOOKUP((CONCATENATE(AG278,AI278)),Listados!$U$3:$V$11,2,FALSE),"")</f>
        <v/>
      </c>
      <c r="AK278" s="48">
        <f t="shared" si="66"/>
        <v>100</v>
      </c>
      <c r="AL278" s="431"/>
      <c r="AM278" s="433"/>
      <c r="AN278" s="169">
        <f>+IF(AND(Q278="Preventivo",AM277="Fuerte"),2,IF(AND(Q278="Preventivo",AM277="Moderado"),1,0))</f>
        <v>2</v>
      </c>
      <c r="AO278" s="169">
        <f t="shared" si="67"/>
        <v>1</v>
      </c>
      <c r="AP278" s="169">
        <f>+K277-AN278</f>
        <v>0</v>
      </c>
      <c r="AQ278" s="169">
        <f>+M277-AO278</f>
        <v>1</v>
      </c>
      <c r="AR278" s="422"/>
      <c r="AS278" s="422"/>
      <c r="AT278" s="422"/>
      <c r="AU278" s="422"/>
      <c r="AV278" s="387"/>
      <c r="AW278" s="388"/>
      <c r="AX278" s="389"/>
      <c r="AY278" s="387"/>
      <c r="AZ278" s="388"/>
      <c r="BA278" s="389"/>
      <c r="BB278" s="387"/>
      <c r="BC278" s="388"/>
      <c r="BD278" s="389"/>
    </row>
    <row r="279" spans="1:56" ht="15.75" thickBot="1">
      <c r="A279" s="405"/>
      <c r="B279" s="407"/>
      <c r="C279" s="408"/>
      <c r="D279" s="409"/>
      <c r="E279" s="164"/>
      <c r="F279" s="164"/>
      <c r="G279" s="165"/>
      <c r="H279" s="165"/>
      <c r="I279" s="165" t="s">
        <v>402</v>
      </c>
      <c r="J279" s="407"/>
      <c r="K279" s="425"/>
      <c r="L279" s="428"/>
      <c r="M279" s="425"/>
      <c r="N279" s="435"/>
      <c r="O279" s="164"/>
      <c r="P279" s="166"/>
      <c r="Q279" s="166"/>
      <c r="R279" s="172"/>
      <c r="S279" s="27" t="str">
        <f t="shared" si="56"/>
        <v/>
      </c>
      <c r="T279" s="172"/>
      <c r="U279" s="27" t="str">
        <f t="shared" si="57"/>
        <v/>
      </c>
      <c r="V279" s="150"/>
      <c r="W279" s="27" t="str">
        <f t="shared" si="58"/>
        <v/>
      </c>
      <c r="X279" s="150"/>
      <c r="Y279" s="27" t="str">
        <f t="shared" si="59"/>
        <v/>
      </c>
      <c r="Z279" s="150"/>
      <c r="AA279" s="27" t="str">
        <f t="shared" si="60"/>
        <v/>
      </c>
      <c r="AB279" s="150"/>
      <c r="AC279" s="27" t="str">
        <f t="shared" si="61"/>
        <v/>
      </c>
      <c r="AD279" s="150"/>
      <c r="AE279" s="27" t="str">
        <f t="shared" si="62"/>
        <v/>
      </c>
      <c r="AF279" s="48" t="str">
        <f t="shared" si="63"/>
        <v/>
      </c>
      <c r="AG279" s="48" t="str">
        <f t="shared" si="64"/>
        <v/>
      </c>
      <c r="AH279" s="131"/>
      <c r="AI279" s="149" t="str">
        <f t="shared" si="65"/>
        <v>Débil</v>
      </c>
      <c r="AJ279" s="21" t="str">
        <f>IFERROR(VLOOKUP((CONCATENATE(AG279,AI279)),Listados!$U$3:$V$11,2,FALSE),"")</f>
        <v/>
      </c>
      <c r="AK279" s="48">
        <f t="shared" si="66"/>
        <v>100</v>
      </c>
      <c r="AL279" s="431"/>
      <c r="AM279" s="433"/>
      <c r="AN279" s="169">
        <f>+IF(AND(Q279="Preventivo",AM277="Fuerte"),2,IF(AND(Q279="Preventivo",AM277="Moderado"),1,0))</f>
        <v>0</v>
      </c>
      <c r="AO279" s="169">
        <f t="shared" si="67"/>
        <v>0</v>
      </c>
      <c r="AP279" s="169">
        <f>+K277-AN279</f>
        <v>2</v>
      </c>
      <c r="AQ279" s="169">
        <f>+M277-AO279</f>
        <v>2</v>
      </c>
      <c r="AR279" s="422"/>
      <c r="AS279" s="422"/>
      <c r="AT279" s="422"/>
      <c r="AU279" s="422"/>
      <c r="AV279" s="387"/>
      <c r="AW279" s="388"/>
      <c r="AX279" s="389"/>
      <c r="AY279" s="387"/>
      <c r="AZ279" s="388"/>
      <c r="BA279" s="389"/>
      <c r="BB279" s="387"/>
      <c r="BC279" s="388"/>
      <c r="BD279" s="389"/>
    </row>
    <row r="280" spans="1:56" ht="29.25" thickBot="1">
      <c r="A280" s="405"/>
      <c r="B280" s="407"/>
      <c r="C280" s="408"/>
      <c r="D280" s="409"/>
      <c r="E280" s="164"/>
      <c r="F280" s="164"/>
      <c r="G280" s="165"/>
      <c r="H280" s="165"/>
      <c r="I280" s="165" t="s">
        <v>563</v>
      </c>
      <c r="J280" s="407"/>
      <c r="K280" s="425"/>
      <c r="L280" s="428"/>
      <c r="M280" s="425"/>
      <c r="N280" s="435"/>
      <c r="O280" s="164"/>
      <c r="P280" s="166"/>
      <c r="Q280" s="166"/>
      <c r="R280" s="172"/>
      <c r="S280" s="27" t="str">
        <f t="shared" si="56"/>
        <v/>
      </c>
      <c r="T280" s="172"/>
      <c r="U280" s="27" t="str">
        <f t="shared" si="57"/>
        <v/>
      </c>
      <c r="V280" s="150"/>
      <c r="W280" s="27" t="str">
        <f t="shared" si="58"/>
        <v/>
      </c>
      <c r="X280" s="150"/>
      <c r="Y280" s="27" t="str">
        <f t="shared" si="59"/>
        <v/>
      </c>
      <c r="Z280" s="150"/>
      <c r="AA280" s="27" t="str">
        <f t="shared" si="60"/>
        <v/>
      </c>
      <c r="AB280" s="150"/>
      <c r="AC280" s="27" t="str">
        <f t="shared" si="61"/>
        <v/>
      </c>
      <c r="AD280" s="150"/>
      <c r="AE280" s="27" t="str">
        <f t="shared" si="62"/>
        <v/>
      </c>
      <c r="AF280" s="48" t="str">
        <f t="shared" si="63"/>
        <v/>
      </c>
      <c r="AG280" s="48" t="str">
        <f t="shared" si="64"/>
        <v/>
      </c>
      <c r="AH280" s="131"/>
      <c r="AI280" s="149" t="str">
        <f t="shared" si="65"/>
        <v>Débil</v>
      </c>
      <c r="AJ280" s="21" t="str">
        <f>IFERROR(VLOOKUP((CONCATENATE(AG280,AI280)),Listados!$U$3:$V$11,2,FALSE),"")</f>
        <v/>
      </c>
      <c r="AK280" s="48">
        <f t="shared" si="66"/>
        <v>100</v>
      </c>
      <c r="AL280" s="431"/>
      <c r="AM280" s="433"/>
      <c r="AN280" s="169">
        <f>+IF(AND(Q280="Preventivo",AM277="Fuerte"),2,IF(AND(Q280="Preventivo",AM277="Moderado"),1,0))</f>
        <v>0</v>
      </c>
      <c r="AO280" s="169">
        <f t="shared" si="67"/>
        <v>0</v>
      </c>
      <c r="AP280" s="169">
        <f>+K277-AN280</f>
        <v>2</v>
      </c>
      <c r="AQ280" s="169">
        <f>+M277-AO280</f>
        <v>2</v>
      </c>
      <c r="AR280" s="422"/>
      <c r="AS280" s="422"/>
      <c r="AT280" s="422"/>
      <c r="AU280" s="422"/>
      <c r="AV280" s="387"/>
      <c r="AW280" s="388"/>
      <c r="AX280" s="389"/>
      <c r="AY280" s="387"/>
      <c r="AZ280" s="388"/>
      <c r="BA280" s="389"/>
      <c r="BB280" s="387"/>
      <c r="BC280" s="388"/>
      <c r="BD280" s="389"/>
    </row>
    <row r="281" spans="1:56" ht="15.75" thickBot="1">
      <c r="A281" s="405"/>
      <c r="B281" s="407"/>
      <c r="C281" s="408"/>
      <c r="D281" s="409"/>
      <c r="E281" s="164"/>
      <c r="F281" s="164"/>
      <c r="G281" s="165"/>
      <c r="H281" s="165"/>
      <c r="I281" s="165"/>
      <c r="J281" s="407"/>
      <c r="K281" s="425"/>
      <c r="L281" s="428"/>
      <c r="M281" s="425"/>
      <c r="N281" s="435"/>
      <c r="O281" s="164"/>
      <c r="P281" s="166"/>
      <c r="Q281" s="166"/>
      <c r="R281" s="172"/>
      <c r="S281" s="27" t="str">
        <f t="shared" si="56"/>
        <v/>
      </c>
      <c r="T281" s="172"/>
      <c r="U281" s="27" t="str">
        <f t="shared" si="57"/>
        <v/>
      </c>
      <c r="V281" s="150"/>
      <c r="W281" s="27" t="str">
        <f t="shared" si="58"/>
        <v/>
      </c>
      <c r="X281" s="150"/>
      <c r="Y281" s="27" t="str">
        <f t="shared" si="59"/>
        <v/>
      </c>
      <c r="Z281" s="150"/>
      <c r="AA281" s="27" t="str">
        <f t="shared" si="60"/>
        <v/>
      </c>
      <c r="AB281" s="150"/>
      <c r="AC281" s="27" t="str">
        <f t="shared" si="61"/>
        <v/>
      </c>
      <c r="AD281" s="150"/>
      <c r="AE281" s="27" t="str">
        <f t="shared" si="62"/>
        <v/>
      </c>
      <c r="AF281" s="48" t="str">
        <f t="shared" si="63"/>
        <v/>
      </c>
      <c r="AG281" s="48" t="str">
        <f t="shared" si="64"/>
        <v/>
      </c>
      <c r="AH281" s="131"/>
      <c r="AI281" s="149" t="str">
        <f t="shared" si="65"/>
        <v>Débil</v>
      </c>
      <c r="AJ281" s="21" t="str">
        <f>IFERROR(VLOOKUP((CONCATENATE(AG281,AI281)),Listados!$U$3:$V$11,2,FALSE),"")</f>
        <v/>
      </c>
      <c r="AK281" s="48">
        <f t="shared" si="66"/>
        <v>100</v>
      </c>
      <c r="AL281" s="431"/>
      <c r="AM281" s="433"/>
      <c r="AN281" s="169">
        <f>+IF(AND(Q281="Preventivo",AM277="Fuerte"),2,IF(AND(Q281="Preventivo",AM277="Moderado"),1,0))</f>
        <v>0</v>
      </c>
      <c r="AO281" s="169">
        <f t="shared" si="67"/>
        <v>0</v>
      </c>
      <c r="AP281" s="169">
        <f>+K277-AN281</f>
        <v>2</v>
      </c>
      <c r="AQ281" s="169">
        <f>+M277-AO281</f>
        <v>2</v>
      </c>
      <c r="AR281" s="422"/>
      <c r="AS281" s="422"/>
      <c r="AT281" s="422"/>
      <c r="AU281" s="422"/>
      <c r="AV281" s="387"/>
      <c r="AW281" s="388"/>
      <c r="AX281" s="389"/>
      <c r="AY281" s="387"/>
      <c r="AZ281" s="388"/>
      <c r="BA281" s="389"/>
      <c r="BB281" s="387"/>
      <c r="BC281" s="388"/>
      <c r="BD281" s="389"/>
    </row>
    <row r="282" spans="1:56" ht="15.75" thickBot="1">
      <c r="A282" s="406"/>
      <c r="B282" s="407"/>
      <c r="C282" s="408"/>
      <c r="D282" s="409"/>
      <c r="E282" s="164"/>
      <c r="F282" s="164"/>
      <c r="G282" s="165"/>
      <c r="H282" s="165"/>
      <c r="I282" s="165"/>
      <c r="J282" s="407"/>
      <c r="K282" s="426"/>
      <c r="L282" s="428"/>
      <c r="M282" s="426"/>
      <c r="N282" s="435"/>
      <c r="O282" s="164"/>
      <c r="P282" s="166"/>
      <c r="Q282" s="166"/>
      <c r="R282" s="172"/>
      <c r="S282" s="27" t="str">
        <f t="shared" si="56"/>
        <v/>
      </c>
      <c r="T282" s="172"/>
      <c r="U282" s="27" t="str">
        <f t="shared" si="57"/>
        <v/>
      </c>
      <c r="V282" s="150"/>
      <c r="W282" s="27" t="str">
        <f t="shared" si="58"/>
        <v/>
      </c>
      <c r="X282" s="150"/>
      <c r="Y282" s="27" t="str">
        <f t="shared" si="59"/>
        <v/>
      </c>
      <c r="Z282" s="150"/>
      <c r="AA282" s="27" t="str">
        <f t="shared" si="60"/>
        <v/>
      </c>
      <c r="AB282" s="150"/>
      <c r="AC282" s="27" t="str">
        <f t="shared" si="61"/>
        <v/>
      </c>
      <c r="AD282" s="150"/>
      <c r="AE282" s="27" t="str">
        <f t="shared" si="62"/>
        <v/>
      </c>
      <c r="AF282" s="48" t="str">
        <f t="shared" si="63"/>
        <v/>
      </c>
      <c r="AG282" s="48" t="str">
        <f t="shared" si="64"/>
        <v/>
      </c>
      <c r="AH282" s="131"/>
      <c r="AI282" s="149" t="str">
        <f t="shared" si="65"/>
        <v>Débil</v>
      </c>
      <c r="AJ282" s="21" t="str">
        <f>IFERROR(VLOOKUP((CONCATENATE(AG282,AI282)),Listados!$U$3:$V$11,2,FALSE),"")</f>
        <v/>
      </c>
      <c r="AK282" s="48">
        <f t="shared" si="66"/>
        <v>100</v>
      </c>
      <c r="AL282" s="432"/>
      <c r="AM282" s="433"/>
      <c r="AN282" s="169">
        <f>+IF(AND(Q282="Preventivo",AM277="Fuerte"),2,IF(AND(Q282="Preventivo",AM277="Moderado"),1,0))</f>
        <v>0</v>
      </c>
      <c r="AO282" s="169">
        <f t="shared" si="67"/>
        <v>0</v>
      </c>
      <c r="AP282" s="169">
        <f>+K277-AN282</f>
        <v>2</v>
      </c>
      <c r="AQ282" s="169">
        <f>+M277-AO282</f>
        <v>2</v>
      </c>
      <c r="AR282" s="423"/>
      <c r="AS282" s="423"/>
      <c r="AT282" s="423"/>
      <c r="AU282" s="423"/>
      <c r="AV282" s="387"/>
      <c r="AW282" s="388"/>
      <c r="AX282" s="389"/>
      <c r="AY282" s="387"/>
      <c r="AZ282" s="388"/>
      <c r="BA282" s="389"/>
      <c r="BB282" s="387"/>
      <c r="BC282" s="388"/>
      <c r="BD282" s="389"/>
    </row>
    <row r="283" spans="1:56" ht="172.5" thickBot="1">
      <c r="A283" s="404">
        <v>47</v>
      </c>
      <c r="B283" s="407" t="s">
        <v>68</v>
      </c>
      <c r="C283" s="408" t="str">
        <f>IFERROR(VLOOKUP(B283,Listados!B$3:C$20,2,FALSE),"")</f>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
      <c r="D283" s="409" t="s">
        <v>564</v>
      </c>
      <c r="E283" s="164" t="s">
        <v>15</v>
      </c>
      <c r="F283" s="164" t="s">
        <v>178</v>
      </c>
      <c r="G283" s="165" t="s">
        <v>565</v>
      </c>
      <c r="H283" s="165" t="s">
        <v>30</v>
      </c>
      <c r="I283" s="165" t="s">
        <v>402</v>
      </c>
      <c r="J283" s="407" t="s">
        <v>31</v>
      </c>
      <c r="K283" s="424">
        <f>+VLOOKUP(J283,[4]Listados!$K$8:$L$12,2,0)</f>
        <v>2</v>
      </c>
      <c r="L283" s="427" t="s">
        <v>32</v>
      </c>
      <c r="M283" s="424">
        <f>+VLOOKUP(L283,Listados!$K$13:$L$17,2,0)</f>
        <v>2</v>
      </c>
      <c r="N283" s="434" t="str">
        <f>IF(AND(J283&lt;&gt;"",L283&lt;&gt;""),VLOOKUP(J283&amp;L283,Listados!$M$3:$N$27,2,FALSE),"")</f>
        <v>Bajo</v>
      </c>
      <c r="O283" s="183" t="s">
        <v>566</v>
      </c>
      <c r="P283" s="166" t="s">
        <v>565</v>
      </c>
      <c r="Q283" s="166" t="s">
        <v>20</v>
      </c>
      <c r="R283" s="172"/>
      <c r="S283" s="27" t="str">
        <f t="shared" si="56"/>
        <v/>
      </c>
      <c r="T283" s="172"/>
      <c r="U283" s="27" t="str">
        <f t="shared" si="57"/>
        <v/>
      </c>
      <c r="V283" s="150"/>
      <c r="W283" s="27" t="str">
        <f t="shared" si="58"/>
        <v/>
      </c>
      <c r="X283" s="150"/>
      <c r="Y283" s="27" t="str">
        <f t="shared" si="59"/>
        <v/>
      </c>
      <c r="Z283" s="150"/>
      <c r="AA283" s="27" t="str">
        <f t="shared" si="60"/>
        <v/>
      </c>
      <c r="AB283" s="150"/>
      <c r="AC283" s="27" t="str">
        <f t="shared" si="61"/>
        <v/>
      </c>
      <c r="AD283" s="150"/>
      <c r="AE283" s="27" t="str">
        <f t="shared" si="62"/>
        <v/>
      </c>
      <c r="AF283" s="48" t="str">
        <f t="shared" si="63"/>
        <v/>
      </c>
      <c r="AG283" s="48" t="str">
        <f t="shared" si="64"/>
        <v/>
      </c>
      <c r="AH283" s="131"/>
      <c r="AI283" s="149" t="str">
        <f t="shared" si="65"/>
        <v>Débil</v>
      </c>
      <c r="AJ283" s="21" t="str">
        <f>IFERROR(VLOOKUP((CONCATENATE(AG283,AI283)),Listados!$U$3:$V$11,2,FALSE),"")</f>
        <v/>
      </c>
      <c r="AK283" s="48">
        <f t="shared" si="66"/>
        <v>100</v>
      </c>
      <c r="AL283" s="430">
        <f>AVERAGE(AK283:AK288)</f>
        <v>100</v>
      </c>
      <c r="AM283" s="432" t="str">
        <f>IF(AL283&lt;=50, "Débil", IF(AL283&lt;=99,"Moderado","Fuerte"))</f>
        <v>Fuerte</v>
      </c>
      <c r="AN283" s="169">
        <f>+IF(AND(Q283="Preventivo",AM283="Fuerte"),2,IF(AND(Q283="Preventivo",AM283="Moderado"),1,0))</f>
        <v>2</v>
      </c>
      <c r="AO283" s="169">
        <f t="shared" si="67"/>
        <v>1</v>
      </c>
      <c r="AP283" s="169">
        <f>+K283-AN283</f>
        <v>0</v>
      </c>
      <c r="AQ283" s="169">
        <f>+M283-AO283</f>
        <v>1</v>
      </c>
      <c r="AR283" s="421" t="str">
        <f>+VLOOKUP(MIN(AP283,AP284,AP285,AP286,AP287,AP288),Listados!$J$18:$K$24,2,TRUE)</f>
        <v>Rara Vez</v>
      </c>
      <c r="AS283" s="421" t="str">
        <f>+VLOOKUP(MIN(AQ283,AQ284,AQ285,AQ286,AQ287,AQ288),Listados!$J$27:$K$32,2,TRUE)</f>
        <v>Insignificante</v>
      </c>
      <c r="AT283" s="421" t="str">
        <f>IF(AND(AR283&lt;&gt;"",AS283&lt;&gt;""),VLOOKUP(AR283&amp;AS283,Listados!$M$3:$N$27,2,FALSE),"")</f>
        <v>Bajo</v>
      </c>
      <c r="AU283" s="421" t="str">
        <f>+VLOOKUP(AT283,Listados!$P$3:$Q$6,2,FALSE)</f>
        <v>Asumir el riesgo</v>
      </c>
      <c r="AV283" s="387"/>
      <c r="AW283" s="388"/>
      <c r="AX283" s="389"/>
      <c r="AY283" s="387"/>
      <c r="AZ283" s="388"/>
      <c r="BA283" s="389"/>
      <c r="BB283" s="387"/>
      <c r="BC283" s="388"/>
      <c r="BD283" s="389"/>
    </row>
    <row r="284" spans="1:56" ht="225" customHeight="1" thickBot="1">
      <c r="A284" s="405"/>
      <c r="B284" s="407"/>
      <c r="C284" s="408"/>
      <c r="D284" s="409"/>
      <c r="E284" s="164"/>
      <c r="F284" s="164"/>
      <c r="G284" s="187" t="s">
        <v>567</v>
      </c>
      <c r="H284" s="165"/>
      <c r="I284" s="165" t="s">
        <v>563</v>
      </c>
      <c r="J284" s="407"/>
      <c r="K284" s="425"/>
      <c r="L284" s="428"/>
      <c r="M284" s="425"/>
      <c r="N284" s="435"/>
      <c r="O284" s="183" t="s">
        <v>568</v>
      </c>
      <c r="P284" s="166" t="s">
        <v>565</v>
      </c>
      <c r="Q284" s="166" t="s">
        <v>20</v>
      </c>
      <c r="R284" s="172"/>
      <c r="S284" s="27" t="str">
        <f t="shared" si="56"/>
        <v/>
      </c>
      <c r="T284" s="172"/>
      <c r="U284" s="27" t="str">
        <f t="shared" si="57"/>
        <v/>
      </c>
      <c r="V284" s="150"/>
      <c r="W284" s="27" t="str">
        <f t="shared" si="58"/>
        <v/>
      </c>
      <c r="X284" s="150"/>
      <c r="Y284" s="27" t="str">
        <f t="shared" si="59"/>
        <v/>
      </c>
      <c r="Z284" s="150"/>
      <c r="AA284" s="27" t="str">
        <f t="shared" si="60"/>
        <v/>
      </c>
      <c r="AB284" s="150"/>
      <c r="AC284" s="27" t="str">
        <f t="shared" si="61"/>
        <v/>
      </c>
      <c r="AD284" s="150"/>
      <c r="AE284" s="27" t="str">
        <f t="shared" si="62"/>
        <v/>
      </c>
      <c r="AF284" s="48" t="str">
        <f t="shared" si="63"/>
        <v/>
      </c>
      <c r="AG284" s="48" t="str">
        <f t="shared" si="64"/>
        <v/>
      </c>
      <c r="AH284" s="131"/>
      <c r="AI284" s="149" t="str">
        <f t="shared" si="65"/>
        <v>Débil</v>
      </c>
      <c r="AJ284" s="21" t="str">
        <f>IFERROR(VLOOKUP((CONCATENATE(AG284,AI284)),Listados!$U$3:$V$11,2,FALSE),"")</f>
        <v/>
      </c>
      <c r="AK284" s="48">
        <f t="shared" si="66"/>
        <v>100</v>
      </c>
      <c r="AL284" s="431"/>
      <c r="AM284" s="433"/>
      <c r="AN284" s="169">
        <f>+IF(AND(Q284="Preventivo",AM283="Fuerte"),2,IF(AND(Q284="Preventivo",AM283="Moderado"),1,0))</f>
        <v>2</v>
      </c>
      <c r="AO284" s="169">
        <f t="shared" si="67"/>
        <v>1</v>
      </c>
      <c r="AP284" s="169">
        <f>+K283-AN284</f>
        <v>0</v>
      </c>
      <c r="AQ284" s="169">
        <f>+M283-AO284</f>
        <v>1</v>
      </c>
      <c r="AR284" s="422"/>
      <c r="AS284" s="422"/>
      <c r="AT284" s="422"/>
      <c r="AU284" s="422"/>
      <c r="AV284" s="387"/>
      <c r="AW284" s="388"/>
      <c r="AX284" s="389"/>
      <c r="AY284" s="387"/>
      <c r="AZ284" s="388"/>
      <c r="BA284" s="389"/>
      <c r="BB284" s="387"/>
      <c r="BC284" s="388"/>
      <c r="BD284" s="389"/>
    </row>
    <row r="285" spans="1:56" ht="57.75" thickBot="1">
      <c r="A285" s="405"/>
      <c r="B285" s="407"/>
      <c r="C285" s="408"/>
      <c r="D285" s="409"/>
      <c r="E285" s="164"/>
      <c r="F285" s="164"/>
      <c r="G285" s="187" t="s">
        <v>569</v>
      </c>
      <c r="H285" s="165"/>
      <c r="I285" s="165"/>
      <c r="J285" s="407"/>
      <c r="K285" s="425"/>
      <c r="L285" s="428"/>
      <c r="M285" s="425"/>
      <c r="N285" s="435"/>
      <c r="O285" s="164"/>
      <c r="P285" s="166"/>
      <c r="Q285" s="166"/>
      <c r="R285" s="172"/>
      <c r="S285" s="27" t="str">
        <f t="shared" si="56"/>
        <v/>
      </c>
      <c r="T285" s="172"/>
      <c r="U285" s="27" t="str">
        <f t="shared" si="57"/>
        <v/>
      </c>
      <c r="V285" s="150"/>
      <c r="W285" s="27" t="str">
        <f t="shared" si="58"/>
        <v/>
      </c>
      <c r="X285" s="150"/>
      <c r="Y285" s="27" t="str">
        <f t="shared" si="59"/>
        <v/>
      </c>
      <c r="Z285" s="150"/>
      <c r="AA285" s="27" t="str">
        <f t="shared" si="60"/>
        <v/>
      </c>
      <c r="AB285" s="150"/>
      <c r="AC285" s="27" t="str">
        <f t="shared" si="61"/>
        <v/>
      </c>
      <c r="AD285" s="150"/>
      <c r="AE285" s="27" t="str">
        <f t="shared" si="62"/>
        <v/>
      </c>
      <c r="AF285" s="48" t="str">
        <f t="shared" si="63"/>
        <v/>
      </c>
      <c r="AG285" s="48" t="str">
        <f t="shared" si="64"/>
        <v/>
      </c>
      <c r="AH285" s="131"/>
      <c r="AI285" s="149" t="str">
        <f t="shared" si="65"/>
        <v>Débil</v>
      </c>
      <c r="AJ285" s="21" t="str">
        <f>IFERROR(VLOOKUP((CONCATENATE(AG285,AI285)),Listados!$U$3:$V$11,2,FALSE),"")</f>
        <v/>
      </c>
      <c r="AK285" s="48">
        <f t="shared" si="66"/>
        <v>100</v>
      </c>
      <c r="AL285" s="431"/>
      <c r="AM285" s="433"/>
      <c r="AN285" s="169">
        <f>+IF(AND(Q285="Preventivo",AM283="Fuerte"),2,IF(AND(Q285="Preventivo",AM283="Moderado"),1,0))</f>
        <v>0</v>
      </c>
      <c r="AO285" s="169">
        <f t="shared" si="67"/>
        <v>0</v>
      </c>
      <c r="AP285" s="169">
        <f>+K283-AN285</f>
        <v>2</v>
      </c>
      <c r="AQ285" s="169">
        <f>+M283-AO285</f>
        <v>2</v>
      </c>
      <c r="AR285" s="422"/>
      <c r="AS285" s="422"/>
      <c r="AT285" s="422"/>
      <c r="AU285" s="422"/>
      <c r="AV285" s="387"/>
      <c r="AW285" s="388"/>
      <c r="AX285" s="389"/>
      <c r="AY285" s="387"/>
      <c r="AZ285" s="388"/>
      <c r="BA285" s="389"/>
      <c r="BB285" s="387"/>
      <c r="BC285" s="388"/>
      <c r="BD285" s="389"/>
    </row>
    <row r="286" spans="1:56" ht="72" thickBot="1">
      <c r="A286" s="405"/>
      <c r="B286" s="407"/>
      <c r="C286" s="408"/>
      <c r="D286" s="409"/>
      <c r="E286" s="164"/>
      <c r="F286" s="164"/>
      <c r="G286" s="187" t="s">
        <v>570</v>
      </c>
      <c r="H286" s="165"/>
      <c r="I286" s="165"/>
      <c r="J286" s="407"/>
      <c r="K286" s="425"/>
      <c r="L286" s="428"/>
      <c r="M286" s="425"/>
      <c r="N286" s="435"/>
      <c r="O286" s="164"/>
      <c r="P286" s="166"/>
      <c r="Q286" s="166"/>
      <c r="R286" s="172"/>
      <c r="S286" s="27" t="str">
        <f t="shared" si="56"/>
        <v/>
      </c>
      <c r="T286" s="172"/>
      <c r="U286" s="27" t="str">
        <f t="shared" si="57"/>
        <v/>
      </c>
      <c r="V286" s="150"/>
      <c r="W286" s="27" t="str">
        <f t="shared" si="58"/>
        <v/>
      </c>
      <c r="X286" s="150"/>
      <c r="Y286" s="27" t="str">
        <f t="shared" si="59"/>
        <v/>
      </c>
      <c r="Z286" s="150"/>
      <c r="AA286" s="27" t="str">
        <f t="shared" si="60"/>
        <v/>
      </c>
      <c r="AB286" s="150"/>
      <c r="AC286" s="27" t="str">
        <f t="shared" si="61"/>
        <v/>
      </c>
      <c r="AD286" s="150"/>
      <c r="AE286" s="27" t="str">
        <f t="shared" si="62"/>
        <v/>
      </c>
      <c r="AF286" s="48" t="str">
        <f t="shared" si="63"/>
        <v/>
      </c>
      <c r="AG286" s="48" t="str">
        <f t="shared" si="64"/>
        <v/>
      </c>
      <c r="AH286" s="131"/>
      <c r="AI286" s="149" t="str">
        <f t="shared" si="65"/>
        <v>Débil</v>
      </c>
      <c r="AJ286" s="21" t="str">
        <f>IFERROR(VLOOKUP((CONCATENATE(AG286,AI286)),Listados!$U$3:$V$11,2,FALSE),"")</f>
        <v/>
      </c>
      <c r="AK286" s="48">
        <f t="shared" si="66"/>
        <v>100</v>
      </c>
      <c r="AL286" s="431"/>
      <c r="AM286" s="433"/>
      <c r="AN286" s="169">
        <f>+IF(AND(Q286="Preventivo",AM283="Fuerte"),2,IF(AND(Q286="Preventivo",AM283="Moderado"),1,0))</f>
        <v>0</v>
      </c>
      <c r="AO286" s="169">
        <f t="shared" si="67"/>
        <v>0</v>
      </c>
      <c r="AP286" s="169">
        <f>+K283-AN286</f>
        <v>2</v>
      </c>
      <c r="AQ286" s="169">
        <f>+M283-AO286</f>
        <v>2</v>
      </c>
      <c r="AR286" s="422"/>
      <c r="AS286" s="422"/>
      <c r="AT286" s="422"/>
      <c r="AU286" s="422"/>
      <c r="AV286" s="387"/>
      <c r="AW286" s="388"/>
      <c r="AX286" s="389"/>
      <c r="AY286" s="387"/>
      <c r="AZ286" s="388"/>
      <c r="BA286" s="389"/>
      <c r="BB286" s="387"/>
      <c r="BC286" s="388"/>
      <c r="BD286" s="389"/>
    </row>
    <row r="287" spans="1:56" ht="72" thickBot="1">
      <c r="A287" s="405"/>
      <c r="B287" s="407"/>
      <c r="C287" s="408"/>
      <c r="D287" s="409"/>
      <c r="E287" s="164"/>
      <c r="F287" s="164"/>
      <c r="G287" s="187" t="s">
        <v>571</v>
      </c>
      <c r="H287" s="165"/>
      <c r="I287" s="165"/>
      <c r="J287" s="407"/>
      <c r="K287" s="425"/>
      <c r="L287" s="428"/>
      <c r="M287" s="425"/>
      <c r="N287" s="435"/>
      <c r="O287" s="164"/>
      <c r="P287" s="166"/>
      <c r="Q287" s="166"/>
      <c r="R287" s="172"/>
      <c r="S287" s="27" t="str">
        <f t="shared" si="56"/>
        <v/>
      </c>
      <c r="T287" s="172"/>
      <c r="U287" s="27" t="str">
        <f t="shared" si="57"/>
        <v/>
      </c>
      <c r="V287" s="150"/>
      <c r="W287" s="27" t="str">
        <f t="shared" si="58"/>
        <v/>
      </c>
      <c r="X287" s="150"/>
      <c r="Y287" s="27" t="str">
        <f t="shared" si="59"/>
        <v/>
      </c>
      <c r="Z287" s="150"/>
      <c r="AA287" s="27" t="str">
        <f t="shared" si="60"/>
        <v/>
      </c>
      <c r="AB287" s="150"/>
      <c r="AC287" s="27" t="str">
        <f t="shared" si="61"/>
        <v/>
      </c>
      <c r="AD287" s="150"/>
      <c r="AE287" s="27" t="str">
        <f t="shared" si="62"/>
        <v/>
      </c>
      <c r="AF287" s="48" t="str">
        <f t="shared" si="63"/>
        <v/>
      </c>
      <c r="AG287" s="48" t="str">
        <f t="shared" si="64"/>
        <v/>
      </c>
      <c r="AH287" s="131"/>
      <c r="AI287" s="149" t="str">
        <f t="shared" si="65"/>
        <v>Débil</v>
      </c>
      <c r="AJ287" s="21" t="str">
        <f>IFERROR(VLOOKUP((CONCATENATE(AG287,AI287)),Listados!$U$3:$V$11,2,FALSE),"")</f>
        <v/>
      </c>
      <c r="AK287" s="48">
        <f t="shared" si="66"/>
        <v>100</v>
      </c>
      <c r="AL287" s="431"/>
      <c r="AM287" s="433"/>
      <c r="AN287" s="169">
        <f>+IF(AND(Q287="Preventivo",AM283="Fuerte"),2,IF(AND(Q287="Preventivo",AM283="Moderado"),1,0))</f>
        <v>0</v>
      </c>
      <c r="AO287" s="169">
        <f t="shared" si="67"/>
        <v>0</v>
      </c>
      <c r="AP287" s="169">
        <f>+K283-AN287</f>
        <v>2</v>
      </c>
      <c r="AQ287" s="169">
        <f>+M283-AO287</f>
        <v>2</v>
      </c>
      <c r="AR287" s="422"/>
      <c r="AS287" s="422"/>
      <c r="AT287" s="422"/>
      <c r="AU287" s="422"/>
      <c r="AV287" s="387"/>
      <c r="AW287" s="388"/>
      <c r="AX287" s="389"/>
      <c r="AY287" s="387"/>
      <c r="AZ287" s="388"/>
      <c r="BA287" s="389"/>
      <c r="BB287" s="387"/>
      <c r="BC287" s="388"/>
      <c r="BD287" s="389"/>
    </row>
    <row r="288" spans="1:56" ht="15.75" thickBot="1">
      <c r="A288" s="406"/>
      <c r="B288" s="407"/>
      <c r="C288" s="408"/>
      <c r="D288" s="409"/>
      <c r="E288" s="164"/>
      <c r="F288" s="164"/>
      <c r="G288" s="165"/>
      <c r="H288" s="165"/>
      <c r="I288" s="165"/>
      <c r="J288" s="407"/>
      <c r="K288" s="426"/>
      <c r="L288" s="428"/>
      <c r="M288" s="426"/>
      <c r="N288" s="435"/>
      <c r="O288" s="164"/>
      <c r="P288" s="166"/>
      <c r="Q288" s="166"/>
      <c r="R288" s="172"/>
      <c r="S288" s="27" t="str">
        <f t="shared" si="56"/>
        <v/>
      </c>
      <c r="T288" s="172"/>
      <c r="U288" s="27" t="str">
        <f t="shared" si="57"/>
        <v/>
      </c>
      <c r="V288" s="150"/>
      <c r="W288" s="27" t="str">
        <f t="shared" si="58"/>
        <v/>
      </c>
      <c r="X288" s="150"/>
      <c r="Y288" s="27" t="str">
        <f t="shared" si="59"/>
        <v/>
      </c>
      <c r="Z288" s="150"/>
      <c r="AA288" s="27" t="str">
        <f t="shared" si="60"/>
        <v/>
      </c>
      <c r="AB288" s="150"/>
      <c r="AC288" s="27" t="str">
        <f t="shared" si="61"/>
        <v/>
      </c>
      <c r="AD288" s="150"/>
      <c r="AE288" s="27" t="str">
        <f t="shared" si="62"/>
        <v/>
      </c>
      <c r="AF288" s="48" t="str">
        <f t="shared" si="63"/>
        <v/>
      </c>
      <c r="AG288" s="48" t="str">
        <f t="shared" si="64"/>
        <v/>
      </c>
      <c r="AH288" s="131"/>
      <c r="AI288" s="149" t="str">
        <f t="shared" si="65"/>
        <v>Débil</v>
      </c>
      <c r="AJ288" s="21" t="str">
        <f>IFERROR(VLOOKUP((CONCATENATE(AG288,AI288)),Listados!$U$3:$V$11,2,FALSE),"")</f>
        <v/>
      </c>
      <c r="AK288" s="48">
        <f t="shared" si="66"/>
        <v>100</v>
      </c>
      <c r="AL288" s="432"/>
      <c r="AM288" s="433"/>
      <c r="AN288" s="169">
        <f>+IF(AND(Q288="Preventivo",AM283="Fuerte"),2,IF(AND(Q288="Preventivo",AM283="Moderado"),1,0))</f>
        <v>0</v>
      </c>
      <c r="AO288" s="169">
        <f t="shared" si="67"/>
        <v>0</v>
      </c>
      <c r="AP288" s="169">
        <f>+K283-AN288</f>
        <v>2</v>
      </c>
      <c r="AQ288" s="169">
        <f>+M283-AO288</f>
        <v>2</v>
      </c>
      <c r="AR288" s="423"/>
      <c r="AS288" s="423"/>
      <c r="AT288" s="423"/>
      <c r="AU288" s="423"/>
      <c r="AV288" s="387"/>
      <c r="AW288" s="388"/>
      <c r="AX288" s="389"/>
      <c r="AY288" s="387"/>
      <c r="AZ288" s="388"/>
      <c r="BA288" s="389"/>
      <c r="BB288" s="387"/>
      <c r="BC288" s="388"/>
      <c r="BD288" s="389"/>
    </row>
    <row r="289" spans="1:56" ht="229.5" thickBot="1">
      <c r="A289" s="404">
        <v>48</v>
      </c>
      <c r="B289" s="407" t="s">
        <v>77</v>
      </c>
      <c r="C289" s="408" t="str">
        <f>IFERROR(VLOOKUP(B289,Listados!B$3:C$20,2,FALSE),"")</f>
        <v>Generar lineamientos, herramientas y acciones que propicien el acceso a la justicia a través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v>
      </c>
      <c r="D289" s="409" t="s">
        <v>572</v>
      </c>
      <c r="E289" s="164" t="s">
        <v>15</v>
      </c>
      <c r="F289" s="164" t="s">
        <v>178</v>
      </c>
      <c r="G289" s="165" t="s">
        <v>573</v>
      </c>
      <c r="H289" s="165" t="s">
        <v>16</v>
      </c>
      <c r="I289" s="165" t="s">
        <v>574</v>
      </c>
      <c r="J289" s="407" t="s">
        <v>44</v>
      </c>
      <c r="K289" s="424">
        <f>+VLOOKUP(J289,Listados!$K$8:$L$12,2,0)</f>
        <v>3</v>
      </c>
      <c r="L289" s="427" t="s">
        <v>64</v>
      </c>
      <c r="M289" s="424">
        <f>+VLOOKUP(L289,Listados!$K$13:$L$17,2,0)</f>
        <v>5</v>
      </c>
      <c r="N289" s="434" t="str">
        <f>IF(AND(J289&lt;&gt;"",L289&lt;&gt;""),VLOOKUP(J289&amp;L289,Listados!$M$3:$N$27,2,FALSE),"")</f>
        <v>Extremo</v>
      </c>
      <c r="O289" s="166" t="s">
        <v>575</v>
      </c>
      <c r="P289" s="164" t="s">
        <v>573</v>
      </c>
      <c r="Q289" s="165" t="s">
        <v>20</v>
      </c>
      <c r="R289" s="172"/>
      <c r="S289" s="27" t="str">
        <f t="shared" si="56"/>
        <v/>
      </c>
      <c r="T289" s="172"/>
      <c r="U289" s="27" t="str">
        <f t="shared" si="57"/>
        <v/>
      </c>
      <c r="V289" s="150"/>
      <c r="W289" s="27" t="str">
        <f t="shared" si="58"/>
        <v/>
      </c>
      <c r="X289" s="150"/>
      <c r="Y289" s="27" t="str">
        <f t="shared" si="59"/>
        <v/>
      </c>
      <c r="Z289" s="150"/>
      <c r="AA289" s="27" t="str">
        <f t="shared" si="60"/>
        <v/>
      </c>
      <c r="AB289" s="150"/>
      <c r="AC289" s="27" t="str">
        <f t="shared" si="61"/>
        <v/>
      </c>
      <c r="AD289" s="150"/>
      <c r="AE289" s="27" t="str">
        <f t="shared" si="62"/>
        <v/>
      </c>
      <c r="AF289" s="48" t="str">
        <f t="shared" si="63"/>
        <v/>
      </c>
      <c r="AG289" s="48" t="str">
        <f t="shared" si="64"/>
        <v/>
      </c>
      <c r="AH289" s="131"/>
      <c r="AI289" s="149" t="str">
        <f t="shared" si="65"/>
        <v>Débil</v>
      </c>
      <c r="AJ289" s="21" t="str">
        <f>IFERROR(VLOOKUP((CONCATENATE(AG289,AI289)),Listados!$U$3:$V$11,2,FALSE),"")</f>
        <v/>
      </c>
      <c r="AK289" s="48">
        <f t="shared" si="66"/>
        <v>100</v>
      </c>
      <c r="AL289" s="430">
        <f>AVERAGE(AK289:AK294)</f>
        <v>100</v>
      </c>
      <c r="AM289" s="432" t="str">
        <f>IF(AL289&lt;=50, "Débil", IF(AL289&lt;=99,"Moderado","Fuerte"))</f>
        <v>Fuerte</v>
      </c>
      <c r="AN289" s="169">
        <f>+IF(AND(Q289="Preventivo",AM289="Fuerte"),2,IF(AND(Q289="Preventivo",AM289="Moderado"),1,0))</f>
        <v>2</v>
      </c>
      <c r="AO289" s="169">
        <f t="shared" si="67"/>
        <v>1</v>
      </c>
      <c r="AP289" s="169">
        <f>+K289-AN289</f>
        <v>1</v>
      </c>
      <c r="AQ289" s="169">
        <f>+M289-AO289</f>
        <v>4</v>
      </c>
      <c r="AR289" s="421" t="str">
        <f>+VLOOKUP(MIN(AP289,AP290,AP291,AP292,AP293,AP294),Listados!$J$18:$K$24,2,TRUE)</f>
        <v>Rara Vez</v>
      </c>
      <c r="AS289" s="421" t="str">
        <f>+VLOOKUP(MIN(AQ289,AQ290,AQ291,AQ292,AQ293,AQ294),Listados!$J$27:$K$32,2,TRUE)</f>
        <v>Mayor</v>
      </c>
      <c r="AT289" s="421" t="str">
        <f>IF(AND(AR289&lt;&gt;"",AS289&lt;&gt;""),VLOOKUP(AR289&amp;AS289,Listados!$M$3:$N$27,2,FALSE),"")</f>
        <v>Alto</v>
      </c>
      <c r="AU289" s="421" t="str">
        <f>+VLOOKUP(AT289,Listados!$P$3:$Q$6,2,FALSE)</f>
        <v>Reducir el riesgo</v>
      </c>
      <c r="AV289" s="387"/>
      <c r="AW289" s="388"/>
      <c r="AX289" s="389"/>
      <c r="AY289" s="387"/>
      <c r="AZ289" s="388"/>
      <c r="BA289" s="389"/>
      <c r="BB289" s="387"/>
      <c r="BC289" s="388"/>
      <c r="BD289" s="389"/>
    </row>
    <row r="290" spans="1:56" ht="158.25" thickBot="1">
      <c r="A290" s="405"/>
      <c r="B290" s="407"/>
      <c r="C290" s="408"/>
      <c r="D290" s="409"/>
      <c r="E290" s="164"/>
      <c r="F290" s="164"/>
      <c r="G290" s="165" t="s">
        <v>576</v>
      </c>
      <c r="H290" s="165" t="s">
        <v>16</v>
      </c>
      <c r="I290" s="165" t="s">
        <v>437</v>
      </c>
      <c r="J290" s="407"/>
      <c r="K290" s="425"/>
      <c r="L290" s="428"/>
      <c r="M290" s="425"/>
      <c r="N290" s="435"/>
      <c r="O290" s="166" t="s">
        <v>577</v>
      </c>
      <c r="P290" s="164" t="s">
        <v>576</v>
      </c>
      <c r="Q290" s="165" t="s">
        <v>20</v>
      </c>
      <c r="R290" s="172"/>
      <c r="S290" s="27" t="str">
        <f t="shared" si="56"/>
        <v/>
      </c>
      <c r="T290" s="172"/>
      <c r="U290" s="27" t="str">
        <f t="shared" si="57"/>
        <v/>
      </c>
      <c r="V290" s="150"/>
      <c r="W290" s="27" t="str">
        <f t="shared" si="58"/>
        <v/>
      </c>
      <c r="X290" s="150"/>
      <c r="Y290" s="27" t="str">
        <f t="shared" si="59"/>
        <v/>
      </c>
      <c r="Z290" s="150"/>
      <c r="AA290" s="27" t="str">
        <f t="shared" si="60"/>
        <v/>
      </c>
      <c r="AB290" s="150"/>
      <c r="AC290" s="27" t="str">
        <f t="shared" si="61"/>
        <v/>
      </c>
      <c r="AD290" s="150"/>
      <c r="AE290" s="27" t="str">
        <f t="shared" si="62"/>
        <v/>
      </c>
      <c r="AF290" s="48" t="str">
        <f t="shared" si="63"/>
        <v/>
      </c>
      <c r="AG290" s="48" t="str">
        <f t="shared" si="64"/>
        <v/>
      </c>
      <c r="AH290" s="131"/>
      <c r="AI290" s="149" t="str">
        <f t="shared" si="65"/>
        <v>Débil</v>
      </c>
      <c r="AJ290" s="21" t="str">
        <f>IFERROR(VLOOKUP((CONCATENATE(AG290,AI290)),Listados!$U$3:$V$11,2,FALSE),"")</f>
        <v/>
      </c>
      <c r="AK290" s="48">
        <f t="shared" si="66"/>
        <v>100</v>
      </c>
      <c r="AL290" s="431"/>
      <c r="AM290" s="433"/>
      <c r="AN290" s="169">
        <f>+IF(AND(Q290="Preventivo",AM289="Fuerte"),2,IF(AND(Q290="Preventivo",AM289="Moderado"),1,0))</f>
        <v>2</v>
      </c>
      <c r="AO290" s="169">
        <f t="shared" si="67"/>
        <v>1</v>
      </c>
      <c r="AP290" s="169">
        <f>+K289-AN290</f>
        <v>1</v>
      </c>
      <c r="AQ290" s="169">
        <f>+M289-AO290</f>
        <v>4</v>
      </c>
      <c r="AR290" s="422"/>
      <c r="AS290" s="422"/>
      <c r="AT290" s="422"/>
      <c r="AU290" s="422"/>
      <c r="AV290" s="387"/>
      <c r="AW290" s="388"/>
      <c r="AX290" s="389"/>
      <c r="AY290" s="387"/>
      <c r="AZ290" s="388"/>
      <c r="BA290" s="389"/>
      <c r="BB290" s="387"/>
      <c r="BC290" s="388"/>
      <c r="BD290" s="389"/>
    </row>
    <row r="291" spans="1:56" ht="172.5" thickBot="1">
      <c r="A291" s="405"/>
      <c r="B291" s="407"/>
      <c r="C291" s="408"/>
      <c r="D291" s="409"/>
      <c r="E291" s="164"/>
      <c r="F291" s="164"/>
      <c r="G291" s="165" t="s">
        <v>578</v>
      </c>
      <c r="H291" s="165" t="s">
        <v>16</v>
      </c>
      <c r="I291" s="165" t="s">
        <v>579</v>
      </c>
      <c r="J291" s="407"/>
      <c r="K291" s="425"/>
      <c r="L291" s="428"/>
      <c r="M291" s="425"/>
      <c r="N291" s="435"/>
      <c r="O291" s="166" t="s">
        <v>580</v>
      </c>
      <c r="P291" s="164" t="s">
        <v>578</v>
      </c>
      <c r="Q291" s="165" t="s">
        <v>20</v>
      </c>
      <c r="R291" s="172"/>
      <c r="S291" s="27" t="str">
        <f t="shared" si="56"/>
        <v/>
      </c>
      <c r="T291" s="172"/>
      <c r="U291" s="27" t="str">
        <f t="shared" si="57"/>
        <v/>
      </c>
      <c r="V291" s="150"/>
      <c r="W291" s="27" t="str">
        <f t="shared" si="58"/>
        <v/>
      </c>
      <c r="X291" s="150"/>
      <c r="Y291" s="27" t="str">
        <f t="shared" si="59"/>
        <v/>
      </c>
      <c r="Z291" s="150"/>
      <c r="AA291" s="27" t="str">
        <f t="shared" si="60"/>
        <v/>
      </c>
      <c r="AB291" s="150"/>
      <c r="AC291" s="27" t="str">
        <f t="shared" si="61"/>
        <v/>
      </c>
      <c r="AD291" s="150"/>
      <c r="AE291" s="27" t="str">
        <f t="shared" si="62"/>
        <v/>
      </c>
      <c r="AF291" s="48" t="str">
        <f t="shared" si="63"/>
        <v/>
      </c>
      <c r="AG291" s="48" t="str">
        <f t="shared" si="64"/>
        <v/>
      </c>
      <c r="AH291" s="131"/>
      <c r="AI291" s="149" t="str">
        <f t="shared" si="65"/>
        <v>Débil</v>
      </c>
      <c r="AJ291" s="21" t="str">
        <f>IFERROR(VLOOKUP((CONCATENATE(AG291,AI291)),Listados!$U$3:$V$11,2,FALSE),"")</f>
        <v/>
      </c>
      <c r="AK291" s="48">
        <f t="shared" si="66"/>
        <v>100</v>
      </c>
      <c r="AL291" s="431"/>
      <c r="AM291" s="433"/>
      <c r="AN291" s="169">
        <f>+IF(AND(Q291="Preventivo",AM289="Fuerte"),2,IF(AND(Q291="Preventivo",AM289="Moderado"),1,0))</f>
        <v>2</v>
      </c>
      <c r="AO291" s="169">
        <f t="shared" si="67"/>
        <v>1</v>
      </c>
      <c r="AP291" s="169">
        <f>+K289-AN291</f>
        <v>1</v>
      </c>
      <c r="AQ291" s="169">
        <f>+M289-AO291</f>
        <v>4</v>
      </c>
      <c r="AR291" s="422"/>
      <c r="AS291" s="422"/>
      <c r="AT291" s="422"/>
      <c r="AU291" s="422"/>
      <c r="AV291" s="387"/>
      <c r="AW291" s="388"/>
      <c r="AX291" s="389"/>
      <c r="AY291" s="387"/>
      <c r="AZ291" s="388"/>
      <c r="BA291" s="389"/>
      <c r="BB291" s="387"/>
      <c r="BC291" s="388"/>
      <c r="BD291" s="389"/>
    </row>
    <row r="292" spans="1:56" ht="29.25" thickBot="1">
      <c r="A292" s="405"/>
      <c r="B292" s="407"/>
      <c r="C292" s="408"/>
      <c r="D292" s="409"/>
      <c r="E292" s="164"/>
      <c r="F292" s="164"/>
      <c r="G292" s="165"/>
      <c r="H292" s="165"/>
      <c r="I292" s="165" t="s">
        <v>399</v>
      </c>
      <c r="J292" s="407"/>
      <c r="K292" s="425"/>
      <c r="L292" s="428"/>
      <c r="M292" s="425"/>
      <c r="N292" s="435"/>
      <c r="O292" s="164"/>
      <c r="P292" s="166"/>
      <c r="Q292" s="166"/>
      <c r="R292" s="172"/>
      <c r="S292" s="27" t="str">
        <f t="shared" si="56"/>
        <v/>
      </c>
      <c r="T292" s="172"/>
      <c r="U292" s="27" t="str">
        <f t="shared" si="57"/>
        <v/>
      </c>
      <c r="V292" s="150"/>
      <c r="W292" s="27" t="str">
        <f t="shared" si="58"/>
        <v/>
      </c>
      <c r="X292" s="150"/>
      <c r="Y292" s="27" t="str">
        <f t="shared" si="59"/>
        <v/>
      </c>
      <c r="Z292" s="150"/>
      <c r="AA292" s="27" t="str">
        <f t="shared" si="60"/>
        <v/>
      </c>
      <c r="AB292" s="150"/>
      <c r="AC292" s="27" t="str">
        <f t="shared" si="61"/>
        <v/>
      </c>
      <c r="AD292" s="150"/>
      <c r="AE292" s="27" t="str">
        <f t="shared" si="62"/>
        <v/>
      </c>
      <c r="AF292" s="48" t="str">
        <f t="shared" si="63"/>
        <v/>
      </c>
      <c r="AG292" s="48" t="str">
        <f t="shared" si="64"/>
        <v/>
      </c>
      <c r="AH292" s="131"/>
      <c r="AI292" s="149" t="str">
        <f t="shared" si="65"/>
        <v>Débil</v>
      </c>
      <c r="AJ292" s="21" t="str">
        <f>IFERROR(VLOOKUP((CONCATENATE(AG292,AI292)),Listados!$U$3:$V$11,2,FALSE),"")</f>
        <v/>
      </c>
      <c r="AK292" s="48">
        <f t="shared" si="66"/>
        <v>100</v>
      </c>
      <c r="AL292" s="431"/>
      <c r="AM292" s="433"/>
      <c r="AN292" s="169">
        <f>+IF(AND(Q292="Preventivo",AM289="Fuerte"),2,IF(AND(Q292="Preventivo",AM289="Moderado"),1,0))</f>
        <v>0</v>
      </c>
      <c r="AO292" s="169">
        <f t="shared" si="67"/>
        <v>0</v>
      </c>
      <c r="AP292" s="169">
        <f>+K289-AN292</f>
        <v>3</v>
      </c>
      <c r="AQ292" s="169">
        <f>+M289-AO292</f>
        <v>5</v>
      </c>
      <c r="AR292" s="422"/>
      <c r="AS292" s="422"/>
      <c r="AT292" s="422"/>
      <c r="AU292" s="422"/>
      <c r="AV292" s="387"/>
      <c r="AW292" s="388"/>
      <c r="AX292" s="389"/>
      <c r="AY292" s="387"/>
      <c r="AZ292" s="388"/>
      <c r="BA292" s="389"/>
      <c r="BB292" s="387"/>
      <c r="BC292" s="388"/>
      <c r="BD292" s="389"/>
    </row>
    <row r="293" spans="1:56" ht="15.75" thickBot="1">
      <c r="A293" s="405"/>
      <c r="B293" s="407"/>
      <c r="C293" s="408"/>
      <c r="D293" s="409"/>
      <c r="E293" s="164"/>
      <c r="F293" s="164"/>
      <c r="G293" s="165"/>
      <c r="H293" s="165"/>
      <c r="I293" s="165"/>
      <c r="J293" s="407"/>
      <c r="K293" s="425"/>
      <c r="L293" s="428"/>
      <c r="M293" s="425"/>
      <c r="N293" s="435"/>
      <c r="O293" s="164"/>
      <c r="P293" s="166"/>
      <c r="Q293" s="166"/>
      <c r="R293" s="172"/>
      <c r="S293" s="27" t="str">
        <f t="shared" si="56"/>
        <v/>
      </c>
      <c r="T293" s="172"/>
      <c r="U293" s="27" t="str">
        <f t="shared" si="57"/>
        <v/>
      </c>
      <c r="V293" s="150"/>
      <c r="W293" s="27" t="str">
        <f t="shared" si="58"/>
        <v/>
      </c>
      <c r="X293" s="150"/>
      <c r="Y293" s="27" t="str">
        <f t="shared" si="59"/>
        <v/>
      </c>
      <c r="Z293" s="150"/>
      <c r="AA293" s="27" t="str">
        <f t="shared" si="60"/>
        <v/>
      </c>
      <c r="AB293" s="150"/>
      <c r="AC293" s="27" t="str">
        <f t="shared" si="61"/>
        <v/>
      </c>
      <c r="AD293" s="150"/>
      <c r="AE293" s="27" t="str">
        <f t="shared" si="62"/>
        <v/>
      </c>
      <c r="AF293" s="48" t="str">
        <f t="shared" si="63"/>
        <v/>
      </c>
      <c r="AG293" s="48" t="str">
        <f t="shared" si="64"/>
        <v/>
      </c>
      <c r="AH293" s="131"/>
      <c r="AI293" s="149" t="str">
        <f t="shared" si="65"/>
        <v>Débil</v>
      </c>
      <c r="AJ293" s="21" t="str">
        <f>IFERROR(VLOOKUP((CONCATENATE(AG293,AI293)),Listados!$U$3:$V$11,2,FALSE),"")</f>
        <v/>
      </c>
      <c r="AK293" s="48">
        <f t="shared" si="66"/>
        <v>100</v>
      </c>
      <c r="AL293" s="431"/>
      <c r="AM293" s="433"/>
      <c r="AN293" s="169">
        <f>+IF(AND(Q293="Preventivo",AM289="Fuerte"),2,IF(AND(Q293="Preventivo",AM289="Moderado"),1,0))</f>
        <v>0</v>
      </c>
      <c r="AO293" s="169">
        <f t="shared" si="67"/>
        <v>0</v>
      </c>
      <c r="AP293" s="169">
        <f>+K289-AN293</f>
        <v>3</v>
      </c>
      <c r="AQ293" s="169">
        <f>+M289-AO293</f>
        <v>5</v>
      </c>
      <c r="AR293" s="422"/>
      <c r="AS293" s="422"/>
      <c r="AT293" s="422"/>
      <c r="AU293" s="422"/>
      <c r="AV293" s="387"/>
      <c r="AW293" s="388"/>
      <c r="AX293" s="389"/>
      <c r="AY293" s="387"/>
      <c r="AZ293" s="388"/>
      <c r="BA293" s="389"/>
      <c r="BB293" s="387"/>
      <c r="BC293" s="388"/>
      <c r="BD293" s="389"/>
    </row>
    <row r="294" spans="1:56" ht="15.75" thickBot="1">
      <c r="A294" s="406"/>
      <c r="B294" s="407"/>
      <c r="C294" s="408"/>
      <c r="D294" s="409"/>
      <c r="E294" s="164"/>
      <c r="F294" s="164"/>
      <c r="G294" s="165"/>
      <c r="H294" s="165"/>
      <c r="I294" s="165"/>
      <c r="J294" s="407"/>
      <c r="K294" s="426"/>
      <c r="L294" s="428"/>
      <c r="M294" s="426"/>
      <c r="N294" s="435"/>
      <c r="O294" s="164"/>
      <c r="P294" s="166"/>
      <c r="Q294" s="166"/>
      <c r="R294" s="172"/>
      <c r="S294" s="27" t="str">
        <f t="shared" si="56"/>
        <v/>
      </c>
      <c r="T294" s="172"/>
      <c r="U294" s="27" t="str">
        <f t="shared" si="57"/>
        <v/>
      </c>
      <c r="V294" s="150"/>
      <c r="W294" s="27" t="str">
        <f t="shared" si="58"/>
        <v/>
      </c>
      <c r="X294" s="150"/>
      <c r="Y294" s="27" t="str">
        <f t="shared" si="59"/>
        <v/>
      </c>
      <c r="Z294" s="150"/>
      <c r="AA294" s="27" t="str">
        <f t="shared" si="60"/>
        <v/>
      </c>
      <c r="AB294" s="150"/>
      <c r="AC294" s="27" t="str">
        <f t="shared" si="61"/>
        <v/>
      </c>
      <c r="AD294" s="150"/>
      <c r="AE294" s="27" t="str">
        <f t="shared" si="62"/>
        <v/>
      </c>
      <c r="AF294" s="48" t="str">
        <f t="shared" si="63"/>
        <v/>
      </c>
      <c r="AG294" s="48" t="str">
        <f t="shared" si="64"/>
        <v/>
      </c>
      <c r="AH294" s="131"/>
      <c r="AI294" s="149" t="str">
        <f t="shared" si="65"/>
        <v>Débil</v>
      </c>
      <c r="AJ294" s="21" t="str">
        <f>IFERROR(VLOOKUP((CONCATENATE(AG294,AI294)),Listados!$U$3:$V$11,2,FALSE),"")</f>
        <v/>
      </c>
      <c r="AK294" s="48">
        <f t="shared" si="66"/>
        <v>100</v>
      </c>
      <c r="AL294" s="432"/>
      <c r="AM294" s="433"/>
      <c r="AN294" s="169">
        <f>+IF(AND(Q294="Preventivo",AM289="Fuerte"),2,IF(AND(Q294="Preventivo",AM289="Moderado"),1,0))</f>
        <v>0</v>
      </c>
      <c r="AO294" s="169">
        <f t="shared" si="67"/>
        <v>0</v>
      </c>
      <c r="AP294" s="169">
        <f>+K289-AN294</f>
        <v>3</v>
      </c>
      <c r="AQ294" s="169">
        <f>+M289-AO294</f>
        <v>5</v>
      </c>
      <c r="AR294" s="423"/>
      <c r="AS294" s="423"/>
      <c r="AT294" s="423"/>
      <c r="AU294" s="423"/>
      <c r="AV294" s="387"/>
      <c r="AW294" s="388"/>
      <c r="AX294" s="389"/>
      <c r="AY294" s="387"/>
      <c r="AZ294" s="388"/>
      <c r="BA294" s="389"/>
      <c r="BB294" s="387"/>
      <c r="BC294" s="388"/>
      <c r="BD294" s="389"/>
    </row>
    <row r="295" spans="1:56" ht="201" thickBot="1">
      <c r="A295" s="404">
        <v>49</v>
      </c>
      <c r="B295" s="407" t="s">
        <v>77</v>
      </c>
      <c r="C295" s="408" t="str">
        <f>IFERROR(VLOOKUP(B295,Listados!B$3:C$20,2,FALSE),"")</f>
        <v>Generar lineamientos, herramientas y acciones que propicien el acceso a la justicia a través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v>
      </c>
      <c r="D295" s="409" t="s">
        <v>581</v>
      </c>
      <c r="E295" s="164" t="s">
        <v>52</v>
      </c>
      <c r="F295" s="164"/>
      <c r="G295" s="165" t="s">
        <v>582</v>
      </c>
      <c r="H295" s="165" t="s">
        <v>16</v>
      </c>
      <c r="I295" s="165" t="s">
        <v>583</v>
      </c>
      <c r="J295" s="407" t="s">
        <v>44</v>
      </c>
      <c r="K295" s="424">
        <f>+VLOOKUP(J295,Listados!$K$8:$L$12,2,0)</f>
        <v>3</v>
      </c>
      <c r="L295" s="427" t="s">
        <v>36</v>
      </c>
      <c r="M295" s="424">
        <f>+VLOOKUP(L295,Listados!$K$13:$L$17,2,0)</f>
        <v>3</v>
      </c>
      <c r="N295" s="434" t="str">
        <f>IF(AND(J295&lt;&gt;"",L295&lt;&gt;""),VLOOKUP(J295&amp;L295,Listados!$M$3:$N$27,2,FALSE),"")</f>
        <v>Alto</v>
      </c>
      <c r="O295" s="166" t="s">
        <v>584</v>
      </c>
      <c r="P295" s="165" t="s">
        <v>582</v>
      </c>
      <c r="Q295" s="166" t="s">
        <v>20</v>
      </c>
      <c r="R295" s="172"/>
      <c r="S295" s="27" t="str">
        <f t="shared" si="56"/>
        <v/>
      </c>
      <c r="T295" s="172"/>
      <c r="U295" s="27" t="str">
        <f t="shared" si="57"/>
        <v/>
      </c>
      <c r="V295" s="150"/>
      <c r="W295" s="27" t="str">
        <f t="shared" si="58"/>
        <v/>
      </c>
      <c r="X295" s="150"/>
      <c r="Y295" s="27" t="str">
        <f t="shared" si="59"/>
        <v/>
      </c>
      <c r="Z295" s="150"/>
      <c r="AA295" s="27" t="str">
        <f t="shared" si="60"/>
        <v/>
      </c>
      <c r="AB295" s="150"/>
      <c r="AC295" s="27" t="str">
        <f t="shared" si="61"/>
        <v/>
      </c>
      <c r="AD295" s="150"/>
      <c r="AE295" s="27" t="str">
        <f t="shared" si="62"/>
        <v/>
      </c>
      <c r="AF295" s="48" t="str">
        <f t="shared" si="63"/>
        <v/>
      </c>
      <c r="AG295" s="48" t="str">
        <f t="shared" si="64"/>
        <v/>
      </c>
      <c r="AH295" s="131"/>
      <c r="AI295" s="149" t="str">
        <f t="shared" si="65"/>
        <v>Débil</v>
      </c>
      <c r="AJ295" s="21" t="str">
        <f>IFERROR(VLOOKUP((CONCATENATE(AG295,AI295)),Listados!$U$3:$V$11,2,FALSE),"")</f>
        <v/>
      </c>
      <c r="AK295" s="48">
        <f t="shared" si="66"/>
        <v>100</v>
      </c>
      <c r="AL295" s="430">
        <f>AVERAGE(AK295:AK300)</f>
        <v>100</v>
      </c>
      <c r="AM295" s="432" t="str">
        <f>IF(AL295&lt;=50, "Débil", IF(AL295&lt;=99,"Moderado","Fuerte"))</f>
        <v>Fuerte</v>
      </c>
      <c r="AN295" s="169">
        <f>+IF(AND(Q295="Preventivo",AM295="Fuerte"),2,IF(AND(Q295="Preventivo",AM295="Moderado"),1,0))</f>
        <v>2</v>
      </c>
      <c r="AO295" s="169">
        <f t="shared" si="67"/>
        <v>1</v>
      </c>
      <c r="AP295" s="169">
        <f>+K295-AN295</f>
        <v>1</v>
      </c>
      <c r="AQ295" s="169">
        <f>+M295-AO295</f>
        <v>2</v>
      </c>
      <c r="AR295" s="421" t="str">
        <f>+VLOOKUP(MIN(AP295,AP296,AP297,AP298,AP299,AP300),Listados!$J$18:$K$24,2,TRUE)</f>
        <v>Rara Vez</v>
      </c>
      <c r="AS295" s="421" t="str">
        <f>+VLOOKUP(MIN(AQ295,AQ296,AQ297,AQ298,AQ299,AQ300),Listados!$J$27:$K$32,2,TRUE)</f>
        <v>Menor</v>
      </c>
      <c r="AT295" s="421" t="str">
        <f>IF(AND(AR295&lt;&gt;"",AS295&lt;&gt;""),VLOOKUP(AR295&amp;AS295,Listados!$M$3:$N$27,2,FALSE),"")</f>
        <v>Bajo</v>
      </c>
      <c r="AU295" s="421" t="str">
        <f>+VLOOKUP(AT295,Listados!$P$3:$Q$6,2,FALSE)</f>
        <v>Asumir el riesgo</v>
      </c>
      <c r="AV295" s="387"/>
      <c r="AW295" s="388"/>
      <c r="AX295" s="389"/>
      <c r="AY295" s="387"/>
      <c r="AZ295" s="388"/>
      <c r="BA295" s="389"/>
      <c r="BB295" s="387"/>
      <c r="BC295" s="388"/>
      <c r="BD295" s="389"/>
    </row>
    <row r="296" spans="1:56" ht="57.75" thickBot="1">
      <c r="A296" s="405"/>
      <c r="B296" s="407"/>
      <c r="C296" s="408"/>
      <c r="D296" s="409"/>
      <c r="E296" s="164"/>
      <c r="F296" s="164"/>
      <c r="G296" s="165"/>
      <c r="H296" s="165" t="s">
        <v>16</v>
      </c>
      <c r="I296" s="165" t="s">
        <v>585</v>
      </c>
      <c r="J296" s="407"/>
      <c r="K296" s="425"/>
      <c r="L296" s="428"/>
      <c r="M296" s="425"/>
      <c r="N296" s="435"/>
      <c r="O296" s="164"/>
      <c r="P296" s="166"/>
      <c r="Q296" s="166"/>
      <c r="R296" s="172"/>
      <c r="S296" s="27" t="str">
        <f t="shared" si="56"/>
        <v/>
      </c>
      <c r="T296" s="172"/>
      <c r="U296" s="27" t="str">
        <f t="shared" si="57"/>
        <v/>
      </c>
      <c r="V296" s="150"/>
      <c r="W296" s="27" t="str">
        <f t="shared" si="58"/>
        <v/>
      </c>
      <c r="X296" s="150"/>
      <c r="Y296" s="27" t="str">
        <f t="shared" si="59"/>
        <v/>
      </c>
      <c r="Z296" s="150"/>
      <c r="AA296" s="27" t="str">
        <f t="shared" si="60"/>
        <v/>
      </c>
      <c r="AB296" s="150"/>
      <c r="AC296" s="27" t="str">
        <f t="shared" si="61"/>
        <v/>
      </c>
      <c r="AD296" s="150"/>
      <c r="AE296" s="27" t="str">
        <f t="shared" si="62"/>
        <v/>
      </c>
      <c r="AF296" s="48" t="str">
        <f t="shared" si="63"/>
        <v/>
      </c>
      <c r="AG296" s="48" t="str">
        <f t="shared" si="64"/>
        <v/>
      </c>
      <c r="AH296" s="131"/>
      <c r="AI296" s="149" t="str">
        <f t="shared" si="65"/>
        <v>Débil</v>
      </c>
      <c r="AJ296" s="21" t="str">
        <f>IFERROR(VLOOKUP((CONCATENATE(AG296,AI296)),Listados!$U$3:$V$11,2,FALSE),"")</f>
        <v/>
      </c>
      <c r="AK296" s="48">
        <f t="shared" si="66"/>
        <v>100</v>
      </c>
      <c r="AL296" s="431"/>
      <c r="AM296" s="433"/>
      <c r="AN296" s="169">
        <f>+IF(AND(Q296="Preventivo",AM295="Fuerte"),2,IF(AND(Q296="Preventivo",AM295="Moderado"),1,0))</f>
        <v>0</v>
      </c>
      <c r="AO296" s="169">
        <f t="shared" si="67"/>
        <v>0</v>
      </c>
      <c r="AP296" s="169">
        <f>+K295-AN296</f>
        <v>3</v>
      </c>
      <c r="AQ296" s="169">
        <f>+M295-AO296</f>
        <v>3</v>
      </c>
      <c r="AR296" s="422"/>
      <c r="AS296" s="422"/>
      <c r="AT296" s="422"/>
      <c r="AU296" s="422"/>
      <c r="AV296" s="387"/>
      <c r="AW296" s="388"/>
      <c r="AX296" s="389"/>
      <c r="AY296" s="387"/>
      <c r="AZ296" s="388"/>
      <c r="BA296" s="389"/>
      <c r="BB296" s="387"/>
      <c r="BC296" s="388"/>
      <c r="BD296" s="389"/>
    </row>
    <row r="297" spans="1:56" ht="29.25" thickBot="1">
      <c r="A297" s="405"/>
      <c r="B297" s="407"/>
      <c r="C297" s="408"/>
      <c r="D297" s="409"/>
      <c r="E297" s="164"/>
      <c r="F297" s="164"/>
      <c r="G297" s="165"/>
      <c r="H297" s="165" t="s">
        <v>16</v>
      </c>
      <c r="I297" s="165" t="s">
        <v>424</v>
      </c>
      <c r="J297" s="407"/>
      <c r="K297" s="425"/>
      <c r="L297" s="428"/>
      <c r="M297" s="425"/>
      <c r="N297" s="435"/>
      <c r="O297" s="164"/>
      <c r="P297" s="166"/>
      <c r="Q297" s="166"/>
      <c r="R297" s="172"/>
      <c r="S297" s="27" t="str">
        <f t="shared" si="56"/>
        <v/>
      </c>
      <c r="T297" s="172"/>
      <c r="U297" s="27" t="str">
        <f t="shared" si="57"/>
        <v/>
      </c>
      <c r="V297" s="150"/>
      <c r="W297" s="27" t="str">
        <f t="shared" si="58"/>
        <v/>
      </c>
      <c r="X297" s="150"/>
      <c r="Y297" s="27" t="str">
        <f t="shared" si="59"/>
        <v/>
      </c>
      <c r="Z297" s="150"/>
      <c r="AA297" s="27" t="str">
        <f t="shared" si="60"/>
        <v/>
      </c>
      <c r="AB297" s="150"/>
      <c r="AC297" s="27" t="str">
        <f t="shared" si="61"/>
        <v/>
      </c>
      <c r="AD297" s="150"/>
      <c r="AE297" s="27" t="str">
        <f t="shared" si="62"/>
        <v/>
      </c>
      <c r="AF297" s="48" t="str">
        <f t="shared" si="63"/>
        <v/>
      </c>
      <c r="AG297" s="48" t="str">
        <f t="shared" si="64"/>
        <v/>
      </c>
      <c r="AH297" s="131"/>
      <c r="AI297" s="149" t="str">
        <f t="shared" si="65"/>
        <v>Débil</v>
      </c>
      <c r="AJ297" s="21" t="str">
        <f>IFERROR(VLOOKUP((CONCATENATE(AG297,AI297)),Listados!$U$3:$V$11,2,FALSE),"")</f>
        <v/>
      </c>
      <c r="AK297" s="48">
        <f t="shared" si="66"/>
        <v>100</v>
      </c>
      <c r="AL297" s="431"/>
      <c r="AM297" s="433"/>
      <c r="AN297" s="169">
        <f>+IF(AND(Q297="Preventivo",AM295="Fuerte"),2,IF(AND(Q297="Preventivo",AM295="Moderado"),1,0))</f>
        <v>0</v>
      </c>
      <c r="AO297" s="169">
        <f t="shared" si="67"/>
        <v>0</v>
      </c>
      <c r="AP297" s="169">
        <f>+K295-AN297</f>
        <v>3</v>
      </c>
      <c r="AQ297" s="169">
        <f>+M295-AO297</f>
        <v>3</v>
      </c>
      <c r="AR297" s="422"/>
      <c r="AS297" s="422"/>
      <c r="AT297" s="422"/>
      <c r="AU297" s="422"/>
      <c r="AV297" s="387"/>
      <c r="AW297" s="388"/>
      <c r="AX297" s="389"/>
      <c r="AY297" s="387"/>
      <c r="AZ297" s="388"/>
      <c r="BA297" s="389"/>
      <c r="BB297" s="387"/>
      <c r="BC297" s="388"/>
      <c r="BD297" s="389"/>
    </row>
    <row r="298" spans="1:56" ht="15.75" thickBot="1">
      <c r="A298" s="405"/>
      <c r="B298" s="407"/>
      <c r="C298" s="408"/>
      <c r="D298" s="409"/>
      <c r="E298" s="164"/>
      <c r="F298" s="164"/>
      <c r="G298" s="165"/>
      <c r="H298" s="165"/>
      <c r="I298" s="165"/>
      <c r="J298" s="407"/>
      <c r="K298" s="425"/>
      <c r="L298" s="428"/>
      <c r="M298" s="425"/>
      <c r="N298" s="435"/>
      <c r="O298" s="164"/>
      <c r="P298" s="166"/>
      <c r="Q298" s="166"/>
      <c r="R298" s="172"/>
      <c r="S298" s="27" t="str">
        <f t="shared" si="56"/>
        <v/>
      </c>
      <c r="T298" s="172"/>
      <c r="U298" s="27" t="str">
        <f t="shared" si="57"/>
        <v/>
      </c>
      <c r="V298" s="150"/>
      <c r="W298" s="27" t="str">
        <f t="shared" si="58"/>
        <v/>
      </c>
      <c r="X298" s="150"/>
      <c r="Y298" s="27" t="str">
        <f t="shared" si="59"/>
        <v/>
      </c>
      <c r="Z298" s="150"/>
      <c r="AA298" s="27" t="str">
        <f t="shared" si="60"/>
        <v/>
      </c>
      <c r="AB298" s="150"/>
      <c r="AC298" s="27" t="str">
        <f t="shared" si="61"/>
        <v/>
      </c>
      <c r="AD298" s="150"/>
      <c r="AE298" s="27" t="str">
        <f t="shared" si="62"/>
        <v/>
      </c>
      <c r="AF298" s="48" t="str">
        <f t="shared" si="63"/>
        <v/>
      </c>
      <c r="AG298" s="48" t="str">
        <f t="shared" si="64"/>
        <v/>
      </c>
      <c r="AH298" s="131"/>
      <c r="AI298" s="149" t="str">
        <f t="shared" si="65"/>
        <v>Débil</v>
      </c>
      <c r="AJ298" s="21" t="str">
        <f>IFERROR(VLOOKUP((CONCATENATE(AG298,AI298)),Listados!$U$3:$V$11,2,FALSE),"")</f>
        <v/>
      </c>
      <c r="AK298" s="48">
        <f t="shared" si="66"/>
        <v>100</v>
      </c>
      <c r="AL298" s="431"/>
      <c r="AM298" s="433"/>
      <c r="AN298" s="169">
        <f>+IF(AND(Q298="Preventivo",AM295="Fuerte"),2,IF(AND(Q298="Preventivo",AM295="Moderado"),1,0))</f>
        <v>0</v>
      </c>
      <c r="AO298" s="169">
        <f t="shared" si="67"/>
        <v>0</v>
      </c>
      <c r="AP298" s="169">
        <f>+K295-AN298</f>
        <v>3</v>
      </c>
      <c r="AQ298" s="169">
        <f>+M295-AO298</f>
        <v>3</v>
      </c>
      <c r="AR298" s="422"/>
      <c r="AS298" s="422"/>
      <c r="AT298" s="422"/>
      <c r="AU298" s="422"/>
      <c r="AV298" s="387"/>
      <c r="AW298" s="388"/>
      <c r="AX298" s="389"/>
      <c r="AY298" s="387"/>
      <c r="AZ298" s="388"/>
      <c r="BA298" s="389"/>
      <c r="BB298" s="387"/>
      <c r="BC298" s="388"/>
      <c r="BD298" s="389"/>
    </row>
    <row r="299" spans="1:56" ht="15.75" thickBot="1">
      <c r="A299" s="405"/>
      <c r="B299" s="407"/>
      <c r="C299" s="408"/>
      <c r="D299" s="409"/>
      <c r="E299" s="164"/>
      <c r="F299" s="164"/>
      <c r="G299" s="165"/>
      <c r="H299" s="165"/>
      <c r="I299" s="165"/>
      <c r="J299" s="407"/>
      <c r="K299" s="425"/>
      <c r="L299" s="428"/>
      <c r="M299" s="425"/>
      <c r="N299" s="435"/>
      <c r="O299" s="164"/>
      <c r="P299" s="166"/>
      <c r="Q299" s="166"/>
      <c r="R299" s="172"/>
      <c r="S299" s="27" t="str">
        <f t="shared" si="56"/>
        <v/>
      </c>
      <c r="T299" s="172"/>
      <c r="U299" s="27" t="str">
        <f t="shared" si="57"/>
        <v/>
      </c>
      <c r="V299" s="150"/>
      <c r="W299" s="27" t="str">
        <f t="shared" si="58"/>
        <v/>
      </c>
      <c r="X299" s="150"/>
      <c r="Y299" s="27" t="str">
        <f t="shared" si="59"/>
        <v/>
      </c>
      <c r="Z299" s="150"/>
      <c r="AA299" s="27" t="str">
        <f t="shared" si="60"/>
        <v/>
      </c>
      <c r="AB299" s="150"/>
      <c r="AC299" s="27" t="str">
        <f t="shared" si="61"/>
        <v/>
      </c>
      <c r="AD299" s="150"/>
      <c r="AE299" s="27" t="str">
        <f t="shared" si="62"/>
        <v/>
      </c>
      <c r="AF299" s="48" t="str">
        <f t="shared" si="63"/>
        <v/>
      </c>
      <c r="AG299" s="48" t="str">
        <f t="shared" si="64"/>
        <v/>
      </c>
      <c r="AH299" s="131"/>
      <c r="AI299" s="149" t="str">
        <f t="shared" si="65"/>
        <v>Débil</v>
      </c>
      <c r="AJ299" s="21" t="str">
        <f>IFERROR(VLOOKUP((CONCATENATE(AG299,AI299)),Listados!$U$3:$V$11,2,FALSE),"")</f>
        <v/>
      </c>
      <c r="AK299" s="48">
        <f t="shared" si="66"/>
        <v>100</v>
      </c>
      <c r="AL299" s="431"/>
      <c r="AM299" s="433"/>
      <c r="AN299" s="169">
        <f>+IF(AND(Q299="Preventivo",AM295="Fuerte"),2,IF(AND(Q299="Preventivo",AM295="Moderado"),1,0))</f>
        <v>0</v>
      </c>
      <c r="AO299" s="169">
        <f t="shared" si="67"/>
        <v>0</v>
      </c>
      <c r="AP299" s="169">
        <f>+K295-AN299</f>
        <v>3</v>
      </c>
      <c r="AQ299" s="169">
        <f>+M295-AO299</f>
        <v>3</v>
      </c>
      <c r="AR299" s="422"/>
      <c r="AS299" s="422"/>
      <c r="AT299" s="422"/>
      <c r="AU299" s="422"/>
      <c r="AV299" s="387"/>
      <c r="AW299" s="388"/>
      <c r="AX299" s="389"/>
      <c r="AY299" s="387"/>
      <c r="AZ299" s="388"/>
      <c r="BA299" s="389"/>
      <c r="BB299" s="387"/>
      <c r="BC299" s="388"/>
      <c r="BD299" s="389"/>
    </row>
    <row r="300" spans="1:56" ht="15.75" thickBot="1">
      <c r="A300" s="406"/>
      <c r="B300" s="407"/>
      <c r="C300" s="408"/>
      <c r="D300" s="409"/>
      <c r="E300" s="164"/>
      <c r="F300" s="164"/>
      <c r="G300" s="165"/>
      <c r="H300" s="165"/>
      <c r="I300" s="165"/>
      <c r="J300" s="407"/>
      <c r="K300" s="426"/>
      <c r="L300" s="428"/>
      <c r="M300" s="426"/>
      <c r="N300" s="435"/>
      <c r="O300" s="164"/>
      <c r="P300" s="166"/>
      <c r="Q300" s="166"/>
      <c r="R300" s="172"/>
      <c r="S300" s="27" t="str">
        <f t="shared" si="56"/>
        <v/>
      </c>
      <c r="T300" s="172"/>
      <c r="U300" s="27" t="str">
        <f t="shared" si="57"/>
        <v/>
      </c>
      <c r="V300" s="150"/>
      <c r="W300" s="27" t="str">
        <f t="shared" si="58"/>
        <v/>
      </c>
      <c r="X300" s="150"/>
      <c r="Y300" s="27" t="str">
        <f t="shared" si="59"/>
        <v/>
      </c>
      <c r="Z300" s="150"/>
      <c r="AA300" s="27" t="str">
        <f t="shared" si="60"/>
        <v/>
      </c>
      <c r="AB300" s="150"/>
      <c r="AC300" s="27" t="str">
        <f t="shared" si="61"/>
        <v/>
      </c>
      <c r="AD300" s="150"/>
      <c r="AE300" s="27" t="str">
        <f t="shared" si="62"/>
        <v/>
      </c>
      <c r="AF300" s="48" t="str">
        <f t="shared" si="63"/>
        <v/>
      </c>
      <c r="AG300" s="48" t="str">
        <f t="shared" si="64"/>
        <v/>
      </c>
      <c r="AH300" s="131"/>
      <c r="AI300" s="149" t="str">
        <f t="shared" si="65"/>
        <v>Débil</v>
      </c>
      <c r="AJ300" s="21" t="str">
        <f>IFERROR(VLOOKUP((CONCATENATE(AG300,AI300)),Listados!$U$3:$V$11,2,FALSE),"")</f>
        <v/>
      </c>
      <c r="AK300" s="48">
        <f t="shared" si="66"/>
        <v>100</v>
      </c>
      <c r="AL300" s="432"/>
      <c r="AM300" s="433"/>
      <c r="AN300" s="169">
        <f>+IF(AND(Q300="Preventivo",AM295="Fuerte"),2,IF(AND(Q300="Preventivo",AM295="Moderado"),1,0))</f>
        <v>0</v>
      </c>
      <c r="AO300" s="169">
        <f t="shared" si="67"/>
        <v>0</v>
      </c>
      <c r="AP300" s="169">
        <f>+K295-AN300</f>
        <v>3</v>
      </c>
      <c r="AQ300" s="169">
        <f>+M295-AO300</f>
        <v>3</v>
      </c>
      <c r="AR300" s="423"/>
      <c r="AS300" s="423"/>
      <c r="AT300" s="423"/>
      <c r="AU300" s="423"/>
      <c r="AV300" s="387"/>
      <c r="AW300" s="388"/>
      <c r="AX300" s="389"/>
      <c r="AY300" s="387"/>
      <c r="AZ300" s="388"/>
      <c r="BA300" s="389"/>
      <c r="BB300" s="387"/>
      <c r="BC300" s="388"/>
      <c r="BD300" s="389"/>
    </row>
    <row r="301" spans="1:56" ht="129.75" thickBot="1">
      <c r="A301" s="404">
        <v>50</v>
      </c>
      <c r="B301" s="439" t="s">
        <v>83</v>
      </c>
      <c r="C301" s="440" t="str">
        <f>IFERROR(VLOOKUP(B301,Listados!B$3:C$20,2,FALSE),"")</f>
        <v>Fijar los lineamientos, parámetros y actividades requeridas para garantizar la gestión de los servicios administrativos, logísticos y la administración de los bienes necesario para la operación del Ministerio de Justicia y del Derecho.</v>
      </c>
      <c r="D301" s="442" t="s">
        <v>586</v>
      </c>
      <c r="E301" s="105" t="s">
        <v>29</v>
      </c>
      <c r="F301" s="105"/>
      <c r="G301" s="165" t="s">
        <v>587</v>
      </c>
      <c r="H301" s="165" t="s">
        <v>16</v>
      </c>
      <c r="I301" s="165" t="s">
        <v>588</v>
      </c>
      <c r="J301" s="445" t="s">
        <v>21</v>
      </c>
      <c r="K301" s="424">
        <f>+VLOOKUP(J301,Listados!$K$8:$L$12,2,0)</f>
        <v>1</v>
      </c>
      <c r="L301" s="427" t="s">
        <v>64</v>
      </c>
      <c r="M301" s="424">
        <f>+VLOOKUP(L301,Listados!$K$13:$L$17,2,0)</f>
        <v>5</v>
      </c>
      <c r="N301" s="423" t="str">
        <f>IF(AND(J301&lt;&gt;"",L301&lt;&gt;""),VLOOKUP(J301&amp;L301,Listados!$M$3:$N$27,2,FALSE),"")</f>
        <v>Extremo</v>
      </c>
      <c r="O301" s="166" t="s">
        <v>589</v>
      </c>
      <c r="P301" s="188" t="s">
        <v>587</v>
      </c>
      <c r="Q301" s="189" t="s">
        <v>123</v>
      </c>
      <c r="R301" s="172"/>
      <c r="S301" s="27" t="str">
        <f t="shared" si="56"/>
        <v/>
      </c>
      <c r="T301" s="172"/>
      <c r="U301" s="27" t="str">
        <f t="shared" si="57"/>
        <v/>
      </c>
      <c r="V301" s="150"/>
      <c r="W301" s="27" t="str">
        <f t="shared" si="58"/>
        <v/>
      </c>
      <c r="X301" s="150"/>
      <c r="Y301" s="27" t="str">
        <f t="shared" si="59"/>
        <v/>
      </c>
      <c r="Z301" s="150"/>
      <c r="AA301" s="27" t="str">
        <f t="shared" si="60"/>
        <v/>
      </c>
      <c r="AB301" s="150"/>
      <c r="AC301" s="27" t="str">
        <f t="shared" si="61"/>
        <v/>
      </c>
      <c r="AD301" s="150"/>
      <c r="AE301" s="27" t="str">
        <f t="shared" si="62"/>
        <v/>
      </c>
      <c r="AF301" s="48" t="str">
        <f t="shared" si="63"/>
        <v/>
      </c>
      <c r="AG301" s="48" t="str">
        <f t="shared" si="64"/>
        <v/>
      </c>
      <c r="AH301" s="131"/>
      <c r="AI301" s="149" t="str">
        <f t="shared" si="65"/>
        <v>Débil</v>
      </c>
      <c r="AJ301" s="21" t="str">
        <f>IFERROR(VLOOKUP((CONCATENATE(AG301,AI301)),Listados!$U$3:$V$11,2,FALSE),"")</f>
        <v/>
      </c>
      <c r="AK301" s="48">
        <f t="shared" si="66"/>
        <v>100</v>
      </c>
      <c r="AL301" s="430">
        <f>AVERAGE(AK301:AK306)</f>
        <v>100</v>
      </c>
      <c r="AM301" s="432" t="str">
        <f>IF(AL301&lt;=50, "Débil", IF(AL301&lt;=99,"Moderado","Fuerte"))</f>
        <v>Fuerte</v>
      </c>
      <c r="AN301" s="169">
        <f>+IF(AND(Q301="Preventivo",AM301="Fuerte"),2,IF(AND(Q301="Preventivo",AM301="Moderado"),1,0))</f>
        <v>0</v>
      </c>
      <c r="AO301" s="169">
        <f t="shared" si="67"/>
        <v>2</v>
      </c>
      <c r="AP301" s="169">
        <f>+K301-AN301</f>
        <v>1</v>
      </c>
      <c r="AQ301" s="169">
        <f>+M301-AO301</f>
        <v>3</v>
      </c>
      <c r="AR301" s="421" t="str">
        <f>+VLOOKUP(MIN(AP301,AP302,AP303,AP304,AP305,AP306),Listados!$J$18:$K$24,2,TRUE)</f>
        <v>Rara Vez</v>
      </c>
      <c r="AS301" s="421" t="str">
        <f>+VLOOKUP(MIN(AQ301,AQ302,AQ303,AQ304,AQ305,AQ306),Listados!$J$27:$K$32,2,TRUE)</f>
        <v>Moderado</v>
      </c>
      <c r="AT301" s="421" t="str">
        <f>IF(AND(AR301&lt;&gt;"",AS301&lt;&gt;""),VLOOKUP(AR301&amp;AS301,Listados!$M$3:$N$27,2,FALSE),"")</f>
        <v>Moderado</v>
      </c>
      <c r="AU301" s="421" t="str">
        <f>+VLOOKUP(AT301,Listados!$P$3:$Q$6,2,FALSE)</f>
        <v xml:space="preserve"> Reducir el riesgo</v>
      </c>
      <c r="AV301" s="387"/>
      <c r="AW301" s="388"/>
      <c r="AX301" s="389"/>
      <c r="AY301" s="387"/>
      <c r="AZ301" s="388"/>
      <c r="BA301" s="389"/>
      <c r="BB301" s="387"/>
      <c r="BC301" s="388"/>
      <c r="BD301" s="389"/>
    </row>
    <row r="302" spans="1:56" ht="158.25" thickBot="1">
      <c r="A302" s="405"/>
      <c r="B302" s="439"/>
      <c r="C302" s="440"/>
      <c r="D302" s="443"/>
      <c r="E302" s="152"/>
      <c r="F302" s="152"/>
      <c r="G302" s="165" t="s">
        <v>590</v>
      </c>
      <c r="H302" s="165" t="s">
        <v>16</v>
      </c>
      <c r="I302" s="165" t="s">
        <v>591</v>
      </c>
      <c r="J302" s="446"/>
      <c r="K302" s="425"/>
      <c r="L302" s="428"/>
      <c r="M302" s="425"/>
      <c r="N302" s="429"/>
      <c r="O302" s="166" t="s">
        <v>592</v>
      </c>
      <c r="P302" s="188" t="s">
        <v>590</v>
      </c>
      <c r="Q302" s="189" t="s">
        <v>20</v>
      </c>
      <c r="R302" s="172"/>
      <c r="S302" s="27" t="str">
        <f t="shared" si="56"/>
        <v/>
      </c>
      <c r="T302" s="172"/>
      <c r="U302" s="27" t="str">
        <f t="shared" si="57"/>
        <v/>
      </c>
      <c r="V302" s="150"/>
      <c r="W302" s="27" t="str">
        <f t="shared" si="58"/>
        <v/>
      </c>
      <c r="X302" s="150"/>
      <c r="Y302" s="27" t="str">
        <f t="shared" si="59"/>
        <v/>
      </c>
      <c r="Z302" s="150"/>
      <c r="AA302" s="27" t="str">
        <f t="shared" si="60"/>
        <v/>
      </c>
      <c r="AB302" s="150"/>
      <c r="AC302" s="27" t="str">
        <f t="shared" si="61"/>
        <v/>
      </c>
      <c r="AD302" s="150"/>
      <c r="AE302" s="27" t="str">
        <f t="shared" si="62"/>
        <v/>
      </c>
      <c r="AF302" s="48" t="str">
        <f t="shared" si="63"/>
        <v/>
      </c>
      <c r="AG302" s="48" t="str">
        <f t="shared" si="64"/>
        <v/>
      </c>
      <c r="AH302" s="131"/>
      <c r="AI302" s="149" t="str">
        <f t="shared" si="65"/>
        <v>Débil</v>
      </c>
      <c r="AJ302" s="21" t="str">
        <f>IFERROR(VLOOKUP((CONCATENATE(AG302,AI302)),Listados!$U$3:$V$11,2,FALSE),"")</f>
        <v/>
      </c>
      <c r="AK302" s="48">
        <f t="shared" si="66"/>
        <v>100</v>
      </c>
      <c r="AL302" s="431"/>
      <c r="AM302" s="433"/>
      <c r="AN302" s="169">
        <f>+IF(AND(Q302="Preventivo",AM301="Fuerte"),2,IF(AND(Q302="Preventivo",AM301="Moderado"),1,0))</f>
        <v>2</v>
      </c>
      <c r="AO302" s="169">
        <f t="shared" si="67"/>
        <v>1</v>
      </c>
      <c r="AP302" s="169">
        <f>+K301-AN302</f>
        <v>-1</v>
      </c>
      <c r="AQ302" s="169">
        <f>+M301-AO302</f>
        <v>4</v>
      </c>
      <c r="AR302" s="422"/>
      <c r="AS302" s="422"/>
      <c r="AT302" s="422"/>
      <c r="AU302" s="422"/>
      <c r="AV302" s="387"/>
      <c r="AW302" s="388"/>
      <c r="AX302" s="389"/>
      <c r="AY302" s="387"/>
      <c r="AZ302" s="388"/>
      <c r="BA302" s="389"/>
      <c r="BB302" s="387"/>
      <c r="BC302" s="388"/>
      <c r="BD302" s="389"/>
    </row>
    <row r="303" spans="1:56" ht="72" thickBot="1">
      <c r="A303" s="405"/>
      <c r="B303" s="439"/>
      <c r="C303" s="440"/>
      <c r="D303" s="443"/>
      <c r="E303" s="152"/>
      <c r="F303" s="152"/>
      <c r="G303" s="165"/>
      <c r="H303" s="165"/>
      <c r="I303" s="165" t="s">
        <v>593</v>
      </c>
      <c r="J303" s="446"/>
      <c r="K303" s="425"/>
      <c r="L303" s="428"/>
      <c r="M303" s="425"/>
      <c r="N303" s="429"/>
      <c r="O303" s="47"/>
      <c r="P303" s="172"/>
      <c r="Q303" s="172"/>
      <c r="R303" s="172"/>
      <c r="S303" s="27" t="str">
        <f t="shared" si="56"/>
        <v/>
      </c>
      <c r="T303" s="172"/>
      <c r="U303" s="27" t="str">
        <f t="shared" si="57"/>
        <v/>
      </c>
      <c r="V303" s="150"/>
      <c r="W303" s="27" t="str">
        <f t="shared" si="58"/>
        <v/>
      </c>
      <c r="X303" s="150"/>
      <c r="Y303" s="27" t="str">
        <f t="shared" si="59"/>
        <v/>
      </c>
      <c r="Z303" s="150"/>
      <c r="AA303" s="27" t="str">
        <f t="shared" si="60"/>
        <v/>
      </c>
      <c r="AB303" s="150"/>
      <c r="AC303" s="27" t="str">
        <f t="shared" si="61"/>
        <v/>
      </c>
      <c r="AD303" s="150"/>
      <c r="AE303" s="27" t="str">
        <f t="shared" si="62"/>
        <v/>
      </c>
      <c r="AF303" s="48" t="str">
        <f t="shared" si="63"/>
        <v/>
      </c>
      <c r="AG303" s="48" t="str">
        <f t="shared" si="64"/>
        <v/>
      </c>
      <c r="AH303" s="131"/>
      <c r="AI303" s="149" t="str">
        <f t="shared" si="65"/>
        <v>Débil</v>
      </c>
      <c r="AJ303" s="21" t="str">
        <f>IFERROR(VLOOKUP((CONCATENATE(AG303,AI303)),Listados!$U$3:$V$11,2,FALSE),"")</f>
        <v/>
      </c>
      <c r="AK303" s="48">
        <f t="shared" si="66"/>
        <v>100</v>
      </c>
      <c r="AL303" s="431"/>
      <c r="AM303" s="433"/>
      <c r="AN303" s="169">
        <f>+IF(AND(Q303="Preventivo",AM301="Fuerte"),2,IF(AND(Q303="Preventivo",AM301="Moderado"),1,0))</f>
        <v>0</v>
      </c>
      <c r="AO303" s="169">
        <f t="shared" si="67"/>
        <v>0</v>
      </c>
      <c r="AP303" s="169">
        <f>+K301-AN303</f>
        <v>1</v>
      </c>
      <c r="AQ303" s="169">
        <f>+M301-AO303</f>
        <v>5</v>
      </c>
      <c r="AR303" s="422"/>
      <c r="AS303" s="422"/>
      <c r="AT303" s="422"/>
      <c r="AU303" s="422"/>
      <c r="AV303" s="387"/>
      <c r="AW303" s="388"/>
      <c r="AX303" s="389"/>
      <c r="AY303" s="387"/>
      <c r="AZ303" s="388"/>
      <c r="BA303" s="389"/>
      <c r="BB303" s="387"/>
      <c r="BC303" s="388"/>
      <c r="BD303" s="389"/>
    </row>
    <row r="304" spans="1:56" ht="15.75" thickBot="1">
      <c r="A304" s="405"/>
      <c r="B304" s="439"/>
      <c r="C304" s="440"/>
      <c r="D304" s="443"/>
      <c r="E304" s="152"/>
      <c r="F304" s="152"/>
      <c r="G304" s="190"/>
      <c r="H304" s="147"/>
      <c r="I304" s="129"/>
      <c r="J304" s="446"/>
      <c r="K304" s="425"/>
      <c r="L304" s="428"/>
      <c r="M304" s="425"/>
      <c r="N304" s="429"/>
      <c r="O304" s="47"/>
      <c r="P304" s="172"/>
      <c r="Q304" s="172"/>
      <c r="R304" s="172"/>
      <c r="S304" s="27" t="str">
        <f t="shared" si="56"/>
        <v/>
      </c>
      <c r="T304" s="172"/>
      <c r="U304" s="27" t="str">
        <f t="shared" si="57"/>
        <v/>
      </c>
      <c r="V304" s="150"/>
      <c r="W304" s="27" t="str">
        <f t="shared" si="58"/>
        <v/>
      </c>
      <c r="X304" s="150"/>
      <c r="Y304" s="27" t="str">
        <f t="shared" si="59"/>
        <v/>
      </c>
      <c r="Z304" s="150"/>
      <c r="AA304" s="27" t="str">
        <f t="shared" si="60"/>
        <v/>
      </c>
      <c r="AB304" s="150"/>
      <c r="AC304" s="27" t="str">
        <f t="shared" si="61"/>
        <v/>
      </c>
      <c r="AD304" s="150"/>
      <c r="AE304" s="27" t="str">
        <f t="shared" si="62"/>
        <v/>
      </c>
      <c r="AF304" s="48" t="str">
        <f t="shared" si="63"/>
        <v/>
      </c>
      <c r="AG304" s="48" t="str">
        <f t="shared" si="64"/>
        <v/>
      </c>
      <c r="AH304" s="131"/>
      <c r="AI304" s="149" t="str">
        <f t="shared" si="65"/>
        <v>Débil</v>
      </c>
      <c r="AJ304" s="21" t="str">
        <f>IFERROR(VLOOKUP((CONCATENATE(AG304,AI304)),Listados!$U$3:$V$11,2,FALSE),"")</f>
        <v/>
      </c>
      <c r="AK304" s="48">
        <f t="shared" si="66"/>
        <v>100</v>
      </c>
      <c r="AL304" s="431"/>
      <c r="AM304" s="433"/>
      <c r="AN304" s="169">
        <f>+IF(AND(Q304="Preventivo",AM301="Fuerte"),2,IF(AND(Q304="Preventivo",AM301="Moderado"),1,0))</f>
        <v>0</v>
      </c>
      <c r="AO304" s="169">
        <f t="shared" si="67"/>
        <v>0</v>
      </c>
      <c r="AP304" s="169">
        <f>+K301-AN304</f>
        <v>1</v>
      </c>
      <c r="AQ304" s="169">
        <f>+M301-AO304</f>
        <v>5</v>
      </c>
      <c r="AR304" s="422"/>
      <c r="AS304" s="422"/>
      <c r="AT304" s="422"/>
      <c r="AU304" s="422"/>
      <c r="AV304" s="387"/>
      <c r="AW304" s="388"/>
      <c r="AX304" s="389"/>
      <c r="AY304" s="387"/>
      <c r="AZ304" s="388"/>
      <c r="BA304" s="389"/>
      <c r="BB304" s="387"/>
      <c r="BC304" s="388"/>
      <c r="BD304" s="389"/>
    </row>
    <row r="305" spans="1:56" ht="15.75" thickBot="1">
      <c r="A305" s="405"/>
      <c r="B305" s="439"/>
      <c r="C305" s="440"/>
      <c r="D305" s="443"/>
      <c r="E305" s="109"/>
      <c r="F305" s="109"/>
      <c r="G305" s="28"/>
      <c r="H305" s="29"/>
      <c r="I305" s="129"/>
      <c r="J305" s="446"/>
      <c r="K305" s="425"/>
      <c r="L305" s="428"/>
      <c r="M305" s="425"/>
      <c r="N305" s="429"/>
      <c r="O305" s="47"/>
      <c r="P305" s="172"/>
      <c r="Q305" s="172"/>
      <c r="R305" s="172"/>
      <c r="S305" s="27" t="str">
        <f t="shared" si="56"/>
        <v/>
      </c>
      <c r="T305" s="172"/>
      <c r="U305" s="27" t="str">
        <f t="shared" si="57"/>
        <v/>
      </c>
      <c r="V305" s="150"/>
      <c r="W305" s="27" t="str">
        <f t="shared" si="58"/>
        <v/>
      </c>
      <c r="X305" s="150"/>
      <c r="Y305" s="27" t="str">
        <f t="shared" si="59"/>
        <v/>
      </c>
      <c r="Z305" s="150"/>
      <c r="AA305" s="27" t="str">
        <f t="shared" si="60"/>
        <v/>
      </c>
      <c r="AB305" s="150"/>
      <c r="AC305" s="27" t="str">
        <f t="shared" si="61"/>
        <v/>
      </c>
      <c r="AD305" s="150"/>
      <c r="AE305" s="27" t="str">
        <f t="shared" si="62"/>
        <v/>
      </c>
      <c r="AF305" s="48" t="str">
        <f t="shared" si="63"/>
        <v/>
      </c>
      <c r="AG305" s="48" t="str">
        <f t="shared" si="64"/>
        <v/>
      </c>
      <c r="AH305" s="131"/>
      <c r="AI305" s="149" t="str">
        <f t="shared" si="65"/>
        <v>Débil</v>
      </c>
      <c r="AJ305" s="21" t="str">
        <f>IFERROR(VLOOKUP((CONCATENATE(AG305,AI305)),Listados!$U$3:$V$11,2,FALSE),"")</f>
        <v/>
      </c>
      <c r="AK305" s="48">
        <f t="shared" si="66"/>
        <v>100</v>
      </c>
      <c r="AL305" s="431"/>
      <c r="AM305" s="433"/>
      <c r="AN305" s="169">
        <f>+IF(AND(Q305="Preventivo",AM301="Fuerte"),2,IF(AND(Q305="Preventivo",AM301="Moderado"),1,0))</f>
        <v>0</v>
      </c>
      <c r="AO305" s="169">
        <f t="shared" si="67"/>
        <v>0</v>
      </c>
      <c r="AP305" s="169">
        <f>+K301-AN305</f>
        <v>1</v>
      </c>
      <c r="AQ305" s="169">
        <f>+M301-AO305</f>
        <v>5</v>
      </c>
      <c r="AR305" s="422"/>
      <c r="AS305" s="422"/>
      <c r="AT305" s="422"/>
      <c r="AU305" s="422"/>
      <c r="AV305" s="387"/>
      <c r="AW305" s="388"/>
      <c r="AX305" s="389"/>
      <c r="AY305" s="387"/>
      <c r="AZ305" s="388"/>
      <c r="BA305" s="389"/>
      <c r="BB305" s="387"/>
      <c r="BC305" s="388"/>
      <c r="BD305" s="389"/>
    </row>
    <row r="306" spans="1:56" ht="15.75" thickBot="1">
      <c r="A306" s="406"/>
      <c r="B306" s="439"/>
      <c r="C306" s="441"/>
      <c r="D306" s="444"/>
      <c r="E306" s="106"/>
      <c r="F306" s="106"/>
      <c r="G306" s="30"/>
      <c r="H306" s="31"/>
      <c r="I306" s="129"/>
      <c r="J306" s="446"/>
      <c r="K306" s="426"/>
      <c r="L306" s="428"/>
      <c r="M306" s="426"/>
      <c r="N306" s="429"/>
      <c r="O306" s="47"/>
      <c r="P306" s="172"/>
      <c r="Q306" s="172"/>
      <c r="R306" s="172"/>
      <c r="S306" s="27" t="str">
        <f t="shared" si="56"/>
        <v/>
      </c>
      <c r="T306" s="172"/>
      <c r="U306" s="27" t="str">
        <f t="shared" si="57"/>
        <v/>
      </c>
      <c r="V306" s="150"/>
      <c r="W306" s="27" t="str">
        <f t="shared" si="58"/>
        <v/>
      </c>
      <c r="X306" s="150"/>
      <c r="Y306" s="27" t="str">
        <f t="shared" si="59"/>
        <v/>
      </c>
      <c r="Z306" s="150"/>
      <c r="AA306" s="27" t="str">
        <f t="shared" si="60"/>
        <v/>
      </c>
      <c r="AB306" s="150"/>
      <c r="AC306" s="27" t="str">
        <f t="shared" si="61"/>
        <v/>
      </c>
      <c r="AD306" s="150"/>
      <c r="AE306" s="27" t="str">
        <f t="shared" si="62"/>
        <v/>
      </c>
      <c r="AF306" s="48" t="str">
        <f t="shared" si="63"/>
        <v/>
      </c>
      <c r="AG306" s="48" t="str">
        <f t="shared" si="64"/>
        <v/>
      </c>
      <c r="AH306" s="131"/>
      <c r="AI306" s="149" t="str">
        <f t="shared" si="65"/>
        <v>Débil</v>
      </c>
      <c r="AJ306" s="21" t="str">
        <f>IFERROR(VLOOKUP((CONCATENATE(AG306,AI306)),Listados!$U$3:$V$11,2,FALSE),"")</f>
        <v/>
      </c>
      <c r="AK306" s="48">
        <f t="shared" si="66"/>
        <v>100</v>
      </c>
      <c r="AL306" s="432"/>
      <c r="AM306" s="433"/>
      <c r="AN306" s="169">
        <f>+IF(AND(Q306="Preventivo",AM301="Fuerte"),2,IF(AND(Q306="Preventivo",AM301="Moderado"),1,0))</f>
        <v>0</v>
      </c>
      <c r="AO306" s="169">
        <f t="shared" si="67"/>
        <v>0</v>
      </c>
      <c r="AP306" s="169">
        <f>+K301-AN306</f>
        <v>1</v>
      </c>
      <c r="AQ306" s="169">
        <f>+M301-AO306</f>
        <v>5</v>
      </c>
      <c r="AR306" s="423"/>
      <c r="AS306" s="423"/>
      <c r="AT306" s="423"/>
      <c r="AU306" s="423"/>
      <c r="AV306" s="387"/>
      <c r="AW306" s="388"/>
      <c r="AX306" s="389"/>
      <c r="AY306" s="387"/>
      <c r="AZ306" s="388"/>
      <c r="BA306" s="389"/>
      <c r="BB306" s="387"/>
      <c r="BC306" s="388"/>
      <c r="BD306" s="389"/>
    </row>
    <row r="307" spans="1:56" ht="144" thickBot="1">
      <c r="A307" s="404">
        <v>51</v>
      </c>
      <c r="B307" s="439" t="s">
        <v>83</v>
      </c>
      <c r="C307" s="447" t="str">
        <f>IFERROR(VLOOKUP(B307,Listados!B$3:C$20,2,FALSE),"")</f>
        <v>Fijar los lineamientos, parámetros y actividades requeridas para garantizar la gestión de los servicios administrativos, logísticos y la administración de los bienes necesario para la operación del Ministerio de Justicia y del Derecho.</v>
      </c>
      <c r="D307" s="448" t="s">
        <v>594</v>
      </c>
      <c r="E307" s="107" t="s">
        <v>29</v>
      </c>
      <c r="F307" s="107"/>
      <c r="G307" s="165" t="s">
        <v>595</v>
      </c>
      <c r="H307" s="103" t="s">
        <v>16</v>
      </c>
      <c r="I307" s="165" t="s">
        <v>596</v>
      </c>
      <c r="J307" s="445" t="s">
        <v>21</v>
      </c>
      <c r="K307" s="424">
        <f>+VLOOKUP(J307,Listados!$K$8:$L$12,2,0)</f>
        <v>1</v>
      </c>
      <c r="L307" s="427" t="s">
        <v>64</v>
      </c>
      <c r="M307" s="424">
        <f>+VLOOKUP(L307,Listados!$K$13:$L$17,2,0)</f>
        <v>5</v>
      </c>
      <c r="N307" s="423" t="str">
        <f>IF(AND(J307&lt;&gt;"",L307&lt;&gt;""),VLOOKUP(J307&amp;L307,Listados!$M$3:$N$27,2,FALSE),"")</f>
        <v>Extremo</v>
      </c>
      <c r="O307" s="166" t="s">
        <v>597</v>
      </c>
      <c r="P307" s="191" t="s">
        <v>595</v>
      </c>
      <c r="Q307" s="172"/>
      <c r="R307" s="172"/>
      <c r="S307" s="27" t="str">
        <f t="shared" si="56"/>
        <v/>
      </c>
      <c r="T307" s="172"/>
      <c r="U307" s="27" t="str">
        <f t="shared" si="57"/>
        <v/>
      </c>
      <c r="V307" s="150"/>
      <c r="W307" s="27" t="str">
        <f t="shared" si="58"/>
        <v/>
      </c>
      <c r="X307" s="150"/>
      <c r="Y307" s="27" t="str">
        <f t="shared" si="59"/>
        <v/>
      </c>
      <c r="Z307" s="150"/>
      <c r="AA307" s="27" t="str">
        <f t="shared" si="60"/>
        <v/>
      </c>
      <c r="AB307" s="150"/>
      <c r="AC307" s="27" t="str">
        <f t="shared" si="61"/>
        <v/>
      </c>
      <c r="AD307" s="150"/>
      <c r="AE307" s="27" t="str">
        <f t="shared" si="62"/>
        <v/>
      </c>
      <c r="AF307" s="48" t="str">
        <f t="shared" si="63"/>
        <v/>
      </c>
      <c r="AG307" s="48" t="str">
        <f t="shared" si="64"/>
        <v/>
      </c>
      <c r="AH307" s="131"/>
      <c r="AI307" s="149" t="str">
        <f t="shared" si="65"/>
        <v>Débil</v>
      </c>
      <c r="AJ307" s="21" t="str">
        <f>IFERROR(VLOOKUP((CONCATENATE(AG307,AI307)),Listados!$U$3:$V$11,2,FALSE),"")</f>
        <v/>
      </c>
      <c r="AK307" s="48">
        <f t="shared" si="66"/>
        <v>100</v>
      </c>
      <c r="AL307" s="430">
        <f>AVERAGE(AK307:AK312)</f>
        <v>100</v>
      </c>
      <c r="AM307" s="432" t="str">
        <f>IF(AL307&lt;=50, "Débil", IF(AL307&lt;=99,"Moderado","Fuerte"))</f>
        <v>Fuerte</v>
      </c>
      <c r="AN307" s="169">
        <f>+IF(AND(Q307="Preventivo",AM307="Fuerte"),2,IF(AND(Q307="Preventivo",AM307="Moderado"),1,0))</f>
        <v>0</v>
      </c>
      <c r="AO307" s="169">
        <f t="shared" si="67"/>
        <v>0</v>
      </c>
      <c r="AP307" s="169">
        <f>+K307-AN307</f>
        <v>1</v>
      </c>
      <c r="AQ307" s="169">
        <f>+M307-AO307</f>
        <v>5</v>
      </c>
      <c r="AR307" s="421" t="str">
        <f>+VLOOKUP(MIN(AP307,AP308,AP309,AP310,AP311,AP312),Listados!$J$18:$K$24,2,TRUE)</f>
        <v>Rara Vez</v>
      </c>
      <c r="AS307" s="421" t="str">
        <f>+VLOOKUP(MIN(AQ307,AQ308,AQ309,AQ310,AQ311,AQ312),Listados!$J$27:$K$32,2,TRUE)</f>
        <v>Catastrófico</v>
      </c>
      <c r="AT307" s="421" t="str">
        <f>IF(AND(AR307&lt;&gt;"",AS307&lt;&gt;""),VLOOKUP(AR307&amp;AS307,Listados!$M$3:$N$27,2,FALSE),"")</f>
        <v>Extremo</v>
      </c>
      <c r="AU307" s="421" t="str">
        <f>+VLOOKUP(AT307,Listados!$P$3:$Q$6,2,FALSE)</f>
        <v>Evitar el riesgo</v>
      </c>
      <c r="AV307" s="387"/>
      <c r="AW307" s="388"/>
      <c r="AX307" s="389"/>
      <c r="AY307" s="387"/>
      <c r="AZ307" s="388"/>
      <c r="BA307" s="389"/>
      <c r="BB307" s="387"/>
      <c r="BC307" s="388"/>
      <c r="BD307" s="389"/>
    </row>
    <row r="308" spans="1:56" ht="201" thickBot="1">
      <c r="A308" s="405"/>
      <c r="B308" s="439"/>
      <c r="C308" s="440"/>
      <c r="D308" s="443"/>
      <c r="E308" s="152"/>
      <c r="F308" s="152"/>
      <c r="G308" s="165" t="s">
        <v>598</v>
      </c>
      <c r="H308" s="147" t="s">
        <v>16</v>
      </c>
      <c r="I308" s="165" t="s">
        <v>599</v>
      </c>
      <c r="J308" s="446"/>
      <c r="K308" s="425"/>
      <c r="L308" s="428"/>
      <c r="M308" s="425"/>
      <c r="N308" s="429"/>
      <c r="O308" s="166" t="s">
        <v>600</v>
      </c>
      <c r="P308" s="191" t="s">
        <v>598</v>
      </c>
      <c r="Q308" s="172"/>
      <c r="R308" s="172"/>
      <c r="S308" s="27" t="str">
        <f t="shared" si="56"/>
        <v/>
      </c>
      <c r="T308" s="172"/>
      <c r="U308" s="27" t="str">
        <f t="shared" si="57"/>
        <v/>
      </c>
      <c r="V308" s="150"/>
      <c r="W308" s="27" t="str">
        <f t="shared" si="58"/>
        <v/>
      </c>
      <c r="X308" s="150"/>
      <c r="Y308" s="27" t="str">
        <f t="shared" si="59"/>
        <v/>
      </c>
      <c r="Z308" s="150"/>
      <c r="AA308" s="27" t="str">
        <f t="shared" si="60"/>
        <v/>
      </c>
      <c r="AB308" s="150"/>
      <c r="AC308" s="27" t="str">
        <f t="shared" si="61"/>
        <v/>
      </c>
      <c r="AD308" s="150"/>
      <c r="AE308" s="27" t="str">
        <f t="shared" si="62"/>
        <v/>
      </c>
      <c r="AF308" s="48" t="str">
        <f t="shared" si="63"/>
        <v/>
      </c>
      <c r="AG308" s="48" t="str">
        <f t="shared" si="64"/>
        <v/>
      </c>
      <c r="AH308" s="131"/>
      <c r="AI308" s="149" t="str">
        <f t="shared" si="65"/>
        <v>Débil</v>
      </c>
      <c r="AJ308" s="21" t="str">
        <f>IFERROR(VLOOKUP((CONCATENATE(AG308,AI308)),Listados!$U$3:$V$11,2,FALSE),"")</f>
        <v/>
      </c>
      <c r="AK308" s="48">
        <f t="shared" si="66"/>
        <v>100</v>
      </c>
      <c r="AL308" s="431"/>
      <c r="AM308" s="433"/>
      <c r="AN308" s="169">
        <f>+IF(AND(Q308="Preventivo",AM307="Fuerte"),2,IF(AND(Q308="Preventivo",AM307="Moderado"),1,0))</f>
        <v>0</v>
      </c>
      <c r="AO308" s="169">
        <f t="shared" si="67"/>
        <v>0</v>
      </c>
      <c r="AP308" s="169">
        <f>+K307-AN308</f>
        <v>1</v>
      </c>
      <c r="AQ308" s="169">
        <f>+M307-AO308</f>
        <v>5</v>
      </c>
      <c r="AR308" s="422"/>
      <c r="AS308" s="422"/>
      <c r="AT308" s="422"/>
      <c r="AU308" s="422"/>
      <c r="AV308" s="387"/>
      <c r="AW308" s="388"/>
      <c r="AX308" s="389"/>
      <c r="AY308" s="387"/>
      <c r="AZ308" s="388"/>
      <c r="BA308" s="389"/>
      <c r="BB308" s="387"/>
      <c r="BC308" s="388"/>
      <c r="BD308" s="389"/>
    </row>
    <row r="309" spans="1:56" ht="115.5" thickBot="1">
      <c r="A309" s="405"/>
      <c r="B309" s="439"/>
      <c r="C309" s="440"/>
      <c r="D309" s="443"/>
      <c r="E309" s="152"/>
      <c r="F309" s="152"/>
      <c r="G309" s="165" t="s">
        <v>601</v>
      </c>
      <c r="H309" s="147" t="s">
        <v>16</v>
      </c>
      <c r="I309" s="165" t="s">
        <v>602</v>
      </c>
      <c r="J309" s="446"/>
      <c r="K309" s="425"/>
      <c r="L309" s="428"/>
      <c r="M309" s="425"/>
      <c r="N309" s="429"/>
      <c r="O309" s="166" t="s">
        <v>603</v>
      </c>
      <c r="P309" s="191" t="s">
        <v>601</v>
      </c>
      <c r="Q309" s="172"/>
      <c r="R309" s="172"/>
      <c r="S309" s="27" t="str">
        <f t="shared" si="56"/>
        <v/>
      </c>
      <c r="T309" s="172"/>
      <c r="U309" s="27" t="str">
        <f t="shared" si="57"/>
        <v/>
      </c>
      <c r="V309" s="150"/>
      <c r="W309" s="27" t="str">
        <f t="shared" si="58"/>
        <v/>
      </c>
      <c r="X309" s="150"/>
      <c r="Y309" s="27" t="str">
        <f t="shared" si="59"/>
        <v/>
      </c>
      <c r="Z309" s="150"/>
      <c r="AA309" s="27" t="str">
        <f t="shared" si="60"/>
        <v/>
      </c>
      <c r="AB309" s="150"/>
      <c r="AC309" s="27" t="str">
        <f t="shared" si="61"/>
        <v/>
      </c>
      <c r="AD309" s="150"/>
      <c r="AE309" s="27" t="str">
        <f t="shared" si="62"/>
        <v/>
      </c>
      <c r="AF309" s="48" t="str">
        <f t="shared" si="63"/>
        <v/>
      </c>
      <c r="AG309" s="48" t="str">
        <f t="shared" si="64"/>
        <v/>
      </c>
      <c r="AH309" s="131"/>
      <c r="AI309" s="149" t="str">
        <f t="shared" si="65"/>
        <v>Débil</v>
      </c>
      <c r="AJ309" s="21" t="str">
        <f>IFERROR(VLOOKUP((CONCATENATE(AG309,AI309)),Listados!$U$3:$V$11,2,FALSE),"")</f>
        <v/>
      </c>
      <c r="AK309" s="48">
        <f t="shared" si="66"/>
        <v>100</v>
      </c>
      <c r="AL309" s="431"/>
      <c r="AM309" s="433"/>
      <c r="AN309" s="169">
        <f>+IF(AND(Q309="Preventivo",AM307="Fuerte"),2,IF(AND(Q309="Preventivo",AM307="Moderado"),1,0))</f>
        <v>0</v>
      </c>
      <c r="AO309" s="169">
        <f t="shared" si="67"/>
        <v>0</v>
      </c>
      <c r="AP309" s="169">
        <f>+K307-AN309</f>
        <v>1</v>
      </c>
      <c r="AQ309" s="169">
        <f>+M307-AO309</f>
        <v>5</v>
      </c>
      <c r="AR309" s="422"/>
      <c r="AS309" s="422"/>
      <c r="AT309" s="422"/>
      <c r="AU309" s="422"/>
      <c r="AV309" s="387"/>
      <c r="AW309" s="388"/>
      <c r="AX309" s="389"/>
      <c r="AY309" s="387"/>
      <c r="AZ309" s="388"/>
      <c r="BA309" s="389"/>
      <c r="BB309" s="387"/>
      <c r="BC309" s="388"/>
      <c r="BD309" s="389"/>
    </row>
    <row r="310" spans="1:56" ht="25.5" customHeight="1" thickBot="1">
      <c r="A310" s="405"/>
      <c r="B310" s="439"/>
      <c r="C310" s="440"/>
      <c r="D310" s="443"/>
      <c r="E310" s="152"/>
      <c r="F310" s="152"/>
      <c r="G310" s="190"/>
      <c r="H310" s="147"/>
      <c r="I310" s="129"/>
      <c r="J310" s="446"/>
      <c r="K310" s="425"/>
      <c r="L310" s="428"/>
      <c r="M310" s="425"/>
      <c r="N310" s="429"/>
      <c r="O310" s="47"/>
      <c r="P310" s="172"/>
      <c r="Q310" s="172"/>
      <c r="R310" s="172"/>
      <c r="S310" s="27" t="str">
        <f t="shared" si="56"/>
        <v/>
      </c>
      <c r="T310" s="172"/>
      <c r="U310" s="27" t="str">
        <f t="shared" si="57"/>
        <v/>
      </c>
      <c r="V310" s="150"/>
      <c r="W310" s="27" t="str">
        <f t="shared" si="58"/>
        <v/>
      </c>
      <c r="X310" s="150"/>
      <c r="Y310" s="27" t="str">
        <f t="shared" si="59"/>
        <v/>
      </c>
      <c r="Z310" s="150"/>
      <c r="AA310" s="27" t="str">
        <f t="shared" si="60"/>
        <v/>
      </c>
      <c r="AB310" s="150"/>
      <c r="AC310" s="27" t="str">
        <f t="shared" si="61"/>
        <v/>
      </c>
      <c r="AD310" s="150"/>
      <c r="AE310" s="27" t="str">
        <f t="shared" si="62"/>
        <v/>
      </c>
      <c r="AF310" s="48" t="str">
        <f t="shared" si="63"/>
        <v/>
      </c>
      <c r="AG310" s="48" t="str">
        <f t="shared" si="64"/>
        <v/>
      </c>
      <c r="AH310" s="131"/>
      <c r="AI310" s="149" t="str">
        <f t="shared" si="65"/>
        <v>Débil</v>
      </c>
      <c r="AJ310" s="21" t="str">
        <f>IFERROR(VLOOKUP((CONCATENATE(AG310,AI310)),Listados!$U$3:$V$11,2,FALSE),"")</f>
        <v/>
      </c>
      <c r="AK310" s="48">
        <f t="shared" si="66"/>
        <v>100</v>
      </c>
      <c r="AL310" s="431"/>
      <c r="AM310" s="433"/>
      <c r="AN310" s="169">
        <f>+IF(AND(Q310="Preventivo",AM307="Fuerte"),2,IF(AND(Q310="Preventivo",AM307="Moderado"),1,0))</f>
        <v>0</v>
      </c>
      <c r="AO310" s="169">
        <f t="shared" si="67"/>
        <v>0</v>
      </c>
      <c r="AP310" s="169">
        <f>+K307-AN310</f>
        <v>1</v>
      </c>
      <c r="AQ310" s="169">
        <f>+M307-AO310</f>
        <v>5</v>
      </c>
      <c r="AR310" s="422"/>
      <c r="AS310" s="422"/>
      <c r="AT310" s="422"/>
      <c r="AU310" s="422"/>
      <c r="AV310" s="387"/>
      <c r="AW310" s="388"/>
      <c r="AX310" s="389"/>
      <c r="AY310" s="387"/>
      <c r="AZ310" s="388"/>
      <c r="BA310" s="389"/>
      <c r="BB310" s="387"/>
      <c r="BC310" s="388"/>
      <c r="BD310" s="389"/>
    </row>
    <row r="311" spans="1:56" ht="25.5" customHeight="1" thickBot="1">
      <c r="A311" s="405"/>
      <c r="B311" s="439"/>
      <c r="C311" s="440"/>
      <c r="D311" s="443"/>
      <c r="E311" s="109"/>
      <c r="F311" s="109"/>
      <c r="G311" s="28"/>
      <c r="H311" s="29"/>
      <c r="I311" s="129"/>
      <c r="J311" s="446"/>
      <c r="K311" s="425"/>
      <c r="L311" s="428"/>
      <c r="M311" s="425"/>
      <c r="N311" s="429"/>
      <c r="O311" s="47"/>
      <c r="P311" s="172"/>
      <c r="Q311" s="172"/>
      <c r="R311" s="172"/>
      <c r="S311" s="27" t="str">
        <f t="shared" si="56"/>
        <v/>
      </c>
      <c r="T311" s="172"/>
      <c r="U311" s="27" t="str">
        <f t="shared" si="57"/>
        <v/>
      </c>
      <c r="V311" s="150"/>
      <c r="W311" s="27" t="str">
        <f t="shared" si="58"/>
        <v/>
      </c>
      <c r="X311" s="150"/>
      <c r="Y311" s="27" t="str">
        <f t="shared" si="59"/>
        <v/>
      </c>
      <c r="Z311" s="150"/>
      <c r="AA311" s="27" t="str">
        <f t="shared" si="60"/>
        <v/>
      </c>
      <c r="AB311" s="150"/>
      <c r="AC311" s="27" t="str">
        <f t="shared" si="61"/>
        <v/>
      </c>
      <c r="AD311" s="150"/>
      <c r="AE311" s="27" t="str">
        <f t="shared" si="62"/>
        <v/>
      </c>
      <c r="AF311" s="48" t="str">
        <f t="shared" si="63"/>
        <v/>
      </c>
      <c r="AG311" s="48" t="str">
        <f t="shared" si="64"/>
        <v/>
      </c>
      <c r="AH311" s="131"/>
      <c r="AI311" s="149" t="str">
        <f t="shared" si="65"/>
        <v>Débil</v>
      </c>
      <c r="AJ311" s="21" t="str">
        <f>IFERROR(VLOOKUP((CONCATENATE(AG311,AI311)),Listados!$U$3:$V$11,2,FALSE),"")</f>
        <v/>
      </c>
      <c r="AK311" s="48">
        <f t="shared" si="66"/>
        <v>100</v>
      </c>
      <c r="AL311" s="431"/>
      <c r="AM311" s="433"/>
      <c r="AN311" s="169">
        <f>+IF(AND(Q311="Preventivo",AM307="Fuerte"),2,IF(AND(Q311="Preventivo",AM307="Moderado"),1,0))</f>
        <v>0</v>
      </c>
      <c r="AO311" s="169">
        <f t="shared" si="67"/>
        <v>0</v>
      </c>
      <c r="AP311" s="169">
        <f>+K307-AN311</f>
        <v>1</v>
      </c>
      <c r="AQ311" s="169">
        <f>+M307-AO311</f>
        <v>5</v>
      </c>
      <c r="AR311" s="422"/>
      <c r="AS311" s="422"/>
      <c r="AT311" s="422"/>
      <c r="AU311" s="422"/>
      <c r="AV311" s="387"/>
      <c r="AW311" s="388"/>
      <c r="AX311" s="389"/>
      <c r="AY311" s="387"/>
      <c r="AZ311" s="388"/>
      <c r="BA311" s="389"/>
      <c r="BB311" s="387"/>
      <c r="BC311" s="388"/>
      <c r="BD311" s="389"/>
    </row>
    <row r="312" spans="1:56" ht="26.25" customHeight="1" thickBot="1">
      <c r="A312" s="406"/>
      <c r="B312" s="439"/>
      <c r="C312" s="441"/>
      <c r="D312" s="444"/>
      <c r="E312" s="106"/>
      <c r="F312" s="106"/>
      <c r="G312" s="30"/>
      <c r="H312" s="31"/>
      <c r="I312" s="129"/>
      <c r="J312" s="446"/>
      <c r="K312" s="426"/>
      <c r="L312" s="428"/>
      <c r="M312" s="426"/>
      <c r="N312" s="429"/>
      <c r="O312" s="47"/>
      <c r="P312" s="172"/>
      <c r="Q312" s="172"/>
      <c r="R312" s="172"/>
      <c r="S312" s="27" t="str">
        <f t="shared" si="56"/>
        <v/>
      </c>
      <c r="T312" s="172"/>
      <c r="U312" s="27" t="str">
        <f t="shared" si="57"/>
        <v/>
      </c>
      <c r="V312" s="150"/>
      <c r="W312" s="27" t="str">
        <f t="shared" si="58"/>
        <v/>
      </c>
      <c r="X312" s="150"/>
      <c r="Y312" s="27" t="str">
        <f t="shared" si="59"/>
        <v/>
      </c>
      <c r="Z312" s="150"/>
      <c r="AA312" s="27" t="str">
        <f t="shared" si="60"/>
        <v/>
      </c>
      <c r="AB312" s="150"/>
      <c r="AC312" s="27" t="str">
        <f t="shared" si="61"/>
        <v/>
      </c>
      <c r="AD312" s="150"/>
      <c r="AE312" s="27" t="str">
        <f t="shared" si="62"/>
        <v/>
      </c>
      <c r="AF312" s="48" t="str">
        <f t="shared" si="63"/>
        <v/>
      </c>
      <c r="AG312" s="48" t="str">
        <f t="shared" si="64"/>
        <v/>
      </c>
      <c r="AH312" s="131"/>
      <c r="AI312" s="149" t="str">
        <f t="shared" si="65"/>
        <v>Débil</v>
      </c>
      <c r="AJ312" s="21" t="str">
        <f>IFERROR(VLOOKUP((CONCATENATE(AG312,AI312)),Listados!$U$3:$V$11,2,FALSE),"")</f>
        <v/>
      </c>
      <c r="AK312" s="48">
        <f t="shared" si="66"/>
        <v>100</v>
      </c>
      <c r="AL312" s="432"/>
      <c r="AM312" s="433"/>
      <c r="AN312" s="169">
        <f>+IF(AND(Q312="Preventivo",AM307="Fuerte"),2,IF(AND(Q312="Preventivo",AM307="Moderado"),1,0))</f>
        <v>0</v>
      </c>
      <c r="AO312" s="169">
        <f t="shared" si="67"/>
        <v>0</v>
      </c>
      <c r="AP312" s="169">
        <f>+K307-AN312</f>
        <v>1</v>
      </c>
      <c r="AQ312" s="169">
        <f>+M307-AO312</f>
        <v>5</v>
      </c>
      <c r="AR312" s="423"/>
      <c r="AS312" s="423"/>
      <c r="AT312" s="423"/>
      <c r="AU312" s="423"/>
      <c r="AV312" s="387"/>
      <c r="AW312" s="388"/>
      <c r="AX312" s="389"/>
      <c r="AY312" s="387"/>
      <c r="AZ312" s="388"/>
      <c r="BA312" s="389"/>
      <c r="BB312" s="387"/>
      <c r="BC312" s="388"/>
      <c r="BD312" s="389"/>
    </row>
    <row r="313" spans="1:56" ht="158.25" thickBot="1">
      <c r="A313" s="404">
        <v>52</v>
      </c>
      <c r="B313" s="439" t="s">
        <v>83</v>
      </c>
      <c r="C313" s="447" t="str">
        <f>IFERROR(VLOOKUP(B313,Listados!B$3:C$20,2,FALSE),"")</f>
        <v>Fijar los lineamientos, parámetros y actividades requeridas para garantizar la gestión de los servicios administrativos, logísticos y la administración de los bienes necesario para la operación del Ministerio de Justicia y del Derecho.</v>
      </c>
      <c r="D313" s="448" t="s">
        <v>604</v>
      </c>
      <c r="E313" s="107" t="s">
        <v>29</v>
      </c>
      <c r="F313" s="107"/>
      <c r="G313" s="165" t="s">
        <v>605</v>
      </c>
      <c r="H313" s="103" t="s">
        <v>16</v>
      </c>
      <c r="I313" s="165" t="s">
        <v>606</v>
      </c>
      <c r="J313" s="445" t="s">
        <v>53</v>
      </c>
      <c r="K313" s="424">
        <f>+VLOOKUP(J313,Listados!$K$8:$L$12,2,0)</f>
        <v>4</v>
      </c>
      <c r="L313" s="427" t="s">
        <v>54</v>
      </c>
      <c r="M313" s="424">
        <f>+VLOOKUP(L313,Listados!$K$13:$L$17,2,0)</f>
        <v>4</v>
      </c>
      <c r="N313" s="423" t="str">
        <f>IF(AND(J313&lt;&gt;"",L313&lt;&gt;""),VLOOKUP(J313&amp;L313,Listados!$M$3:$N$27,2,FALSE),"")</f>
        <v>Extremo</v>
      </c>
      <c r="O313" s="166" t="s">
        <v>607</v>
      </c>
      <c r="P313" s="166" t="s">
        <v>608</v>
      </c>
      <c r="Q313" s="172"/>
      <c r="R313" s="172"/>
      <c r="S313" s="27" t="str">
        <f t="shared" si="56"/>
        <v/>
      </c>
      <c r="T313" s="172"/>
      <c r="U313" s="27" t="str">
        <f t="shared" si="57"/>
        <v/>
      </c>
      <c r="V313" s="150"/>
      <c r="W313" s="27" t="str">
        <f t="shared" si="58"/>
        <v/>
      </c>
      <c r="X313" s="150"/>
      <c r="Y313" s="27" t="str">
        <f t="shared" si="59"/>
        <v/>
      </c>
      <c r="Z313" s="150"/>
      <c r="AA313" s="27" t="str">
        <f t="shared" si="60"/>
        <v/>
      </c>
      <c r="AB313" s="150"/>
      <c r="AC313" s="27" t="str">
        <f t="shared" si="61"/>
        <v/>
      </c>
      <c r="AD313" s="150"/>
      <c r="AE313" s="27" t="str">
        <f t="shared" si="62"/>
        <v/>
      </c>
      <c r="AF313" s="48" t="str">
        <f t="shared" si="63"/>
        <v/>
      </c>
      <c r="AG313" s="48" t="str">
        <f t="shared" si="64"/>
        <v/>
      </c>
      <c r="AH313" s="131"/>
      <c r="AI313" s="149" t="str">
        <f t="shared" si="65"/>
        <v>Débil</v>
      </c>
      <c r="AJ313" s="21" t="str">
        <f>IFERROR(VLOOKUP((CONCATENATE(AG313,AI313)),Listados!$U$3:$V$11,2,FALSE),"")</f>
        <v/>
      </c>
      <c r="AK313" s="48">
        <f t="shared" si="66"/>
        <v>100</v>
      </c>
      <c r="AL313" s="430">
        <f>AVERAGE(AK313:AK318)</f>
        <v>100</v>
      </c>
      <c r="AM313" s="432" t="str">
        <f>IF(AL313&lt;=50, "Débil", IF(AL313&lt;=99,"Moderado","Fuerte"))</f>
        <v>Fuerte</v>
      </c>
      <c r="AN313" s="169">
        <f>+IF(AND(Q313="Preventivo",AM313="Fuerte"),2,IF(AND(Q313="Preventivo",AM313="Moderado"),1,0))</f>
        <v>0</v>
      </c>
      <c r="AO313" s="169">
        <f t="shared" si="67"/>
        <v>0</v>
      </c>
      <c r="AP313" s="169">
        <f>+K313-AN313</f>
        <v>4</v>
      </c>
      <c r="AQ313" s="169">
        <f>+M313-AO313</f>
        <v>4</v>
      </c>
      <c r="AR313" s="421" t="str">
        <f>+VLOOKUP(MIN(AP313,AP314,AP315,AP316,AP317,AP318),Listados!$J$18:$K$24,2,TRUE)</f>
        <v>Probable</v>
      </c>
      <c r="AS313" s="421" t="str">
        <f>+VLOOKUP(MIN(AQ313,AQ314,AQ315,AQ316,AQ317,AQ318),Listados!$J$27:$K$32,2,TRUE)</f>
        <v>Mayor</v>
      </c>
      <c r="AT313" s="421" t="str">
        <f>IF(AND(AR313&lt;&gt;"",AS313&lt;&gt;""),VLOOKUP(AR313&amp;AS313,Listados!$M$3:$N$27,2,FALSE),"")</f>
        <v>Extremo</v>
      </c>
      <c r="AU313" s="421" t="str">
        <f>+VLOOKUP(AT313,Listados!$P$3:$Q$6,2,FALSE)</f>
        <v>Evitar el riesgo</v>
      </c>
      <c r="AV313" s="387"/>
      <c r="AW313" s="388"/>
      <c r="AX313" s="389"/>
      <c r="AY313" s="387"/>
      <c r="AZ313" s="388"/>
      <c r="BA313" s="389"/>
      <c r="BB313" s="387"/>
      <c r="BC313" s="388"/>
      <c r="BD313" s="389"/>
    </row>
    <row r="314" spans="1:56" ht="115.5" thickBot="1">
      <c r="A314" s="405"/>
      <c r="B314" s="439"/>
      <c r="C314" s="440"/>
      <c r="D314" s="443"/>
      <c r="E314" s="152"/>
      <c r="F314" s="152"/>
      <c r="G314" s="165" t="s">
        <v>609</v>
      </c>
      <c r="H314" s="147" t="s">
        <v>30</v>
      </c>
      <c r="I314" s="165" t="s">
        <v>610</v>
      </c>
      <c r="J314" s="446"/>
      <c r="K314" s="425"/>
      <c r="L314" s="428"/>
      <c r="M314" s="425"/>
      <c r="N314" s="429"/>
      <c r="O314" s="166" t="s">
        <v>611</v>
      </c>
      <c r="P314" s="166" t="s">
        <v>609</v>
      </c>
      <c r="Q314" s="172"/>
      <c r="R314" s="172"/>
      <c r="S314" s="27" t="str">
        <f t="shared" si="56"/>
        <v/>
      </c>
      <c r="T314" s="172"/>
      <c r="U314" s="27" t="str">
        <f t="shared" si="57"/>
        <v/>
      </c>
      <c r="V314" s="150"/>
      <c r="W314" s="27" t="str">
        <f t="shared" si="58"/>
        <v/>
      </c>
      <c r="X314" s="150"/>
      <c r="Y314" s="27" t="str">
        <f t="shared" si="59"/>
        <v/>
      </c>
      <c r="Z314" s="150"/>
      <c r="AA314" s="27" t="str">
        <f t="shared" si="60"/>
        <v/>
      </c>
      <c r="AB314" s="150"/>
      <c r="AC314" s="27" t="str">
        <f t="shared" si="61"/>
        <v/>
      </c>
      <c r="AD314" s="150"/>
      <c r="AE314" s="27" t="str">
        <f t="shared" si="62"/>
        <v/>
      </c>
      <c r="AF314" s="48" t="str">
        <f t="shared" si="63"/>
        <v/>
      </c>
      <c r="AG314" s="48" t="str">
        <f t="shared" si="64"/>
        <v/>
      </c>
      <c r="AH314" s="131"/>
      <c r="AI314" s="149" t="str">
        <f t="shared" si="65"/>
        <v>Débil</v>
      </c>
      <c r="AJ314" s="21" t="str">
        <f>IFERROR(VLOOKUP((CONCATENATE(AG314,AI314)),Listados!$U$3:$V$11,2,FALSE),"")</f>
        <v/>
      </c>
      <c r="AK314" s="48">
        <f t="shared" si="66"/>
        <v>100</v>
      </c>
      <c r="AL314" s="431"/>
      <c r="AM314" s="433"/>
      <c r="AN314" s="169">
        <f>+IF(AND(Q314="Preventivo",AM313="Fuerte"),2,IF(AND(Q314="Preventivo",AM313="Moderado"),1,0))</f>
        <v>0</v>
      </c>
      <c r="AO314" s="169">
        <f t="shared" si="67"/>
        <v>0</v>
      </c>
      <c r="AP314" s="169">
        <f>+K313-AN314</f>
        <v>4</v>
      </c>
      <c r="AQ314" s="169">
        <f>+M313-AO314</f>
        <v>4</v>
      </c>
      <c r="AR314" s="422"/>
      <c r="AS314" s="422"/>
      <c r="AT314" s="422"/>
      <c r="AU314" s="422"/>
      <c r="AV314" s="387"/>
      <c r="AW314" s="388"/>
      <c r="AX314" s="389"/>
      <c r="AY314" s="387"/>
      <c r="AZ314" s="388"/>
      <c r="BA314" s="389"/>
      <c r="BB314" s="387"/>
      <c r="BC314" s="388"/>
      <c r="BD314" s="389"/>
    </row>
    <row r="315" spans="1:56" ht="158.25" thickBot="1">
      <c r="A315" s="405"/>
      <c r="B315" s="439"/>
      <c r="C315" s="440"/>
      <c r="D315" s="443"/>
      <c r="E315" s="152"/>
      <c r="F315" s="152"/>
      <c r="G315" s="165" t="s">
        <v>612</v>
      </c>
      <c r="H315" s="147" t="s">
        <v>16</v>
      </c>
      <c r="I315" s="165" t="s">
        <v>613</v>
      </c>
      <c r="J315" s="446"/>
      <c r="K315" s="425"/>
      <c r="L315" s="428"/>
      <c r="M315" s="425"/>
      <c r="N315" s="429"/>
      <c r="O315" s="166" t="s">
        <v>614</v>
      </c>
      <c r="P315" s="166" t="s">
        <v>612</v>
      </c>
      <c r="Q315" s="172"/>
      <c r="R315" s="172"/>
      <c r="S315" s="27" t="str">
        <f t="shared" si="56"/>
        <v/>
      </c>
      <c r="T315" s="172"/>
      <c r="U315" s="27" t="str">
        <f t="shared" si="57"/>
        <v/>
      </c>
      <c r="V315" s="150"/>
      <c r="W315" s="27" t="str">
        <f t="shared" si="58"/>
        <v/>
      </c>
      <c r="X315" s="150"/>
      <c r="Y315" s="27" t="str">
        <f t="shared" si="59"/>
        <v/>
      </c>
      <c r="Z315" s="150"/>
      <c r="AA315" s="27" t="str">
        <f t="shared" si="60"/>
        <v/>
      </c>
      <c r="AB315" s="150"/>
      <c r="AC315" s="27" t="str">
        <f t="shared" si="61"/>
        <v/>
      </c>
      <c r="AD315" s="150"/>
      <c r="AE315" s="27" t="str">
        <f t="shared" si="62"/>
        <v/>
      </c>
      <c r="AF315" s="48" t="str">
        <f t="shared" si="63"/>
        <v/>
      </c>
      <c r="AG315" s="48" t="str">
        <f t="shared" si="64"/>
        <v/>
      </c>
      <c r="AH315" s="131"/>
      <c r="AI315" s="149" t="str">
        <f t="shared" si="65"/>
        <v>Débil</v>
      </c>
      <c r="AJ315" s="21" t="str">
        <f>IFERROR(VLOOKUP((CONCATENATE(AG315,AI315)),Listados!$U$3:$V$11,2,FALSE),"")</f>
        <v/>
      </c>
      <c r="AK315" s="48">
        <f t="shared" si="66"/>
        <v>100</v>
      </c>
      <c r="AL315" s="431"/>
      <c r="AM315" s="433"/>
      <c r="AN315" s="169">
        <f>+IF(AND(Q315="Preventivo",AM313="Fuerte"),2,IF(AND(Q315="Preventivo",AM313="Moderado"),1,0))</f>
        <v>0</v>
      </c>
      <c r="AO315" s="169">
        <f t="shared" si="67"/>
        <v>0</v>
      </c>
      <c r="AP315" s="169">
        <f>+K313-AN315</f>
        <v>4</v>
      </c>
      <c r="AQ315" s="169">
        <f>+M313-AO315</f>
        <v>4</v>
      </c>
      <c r="AR315" s="422"/>
      <c r="AS315" s="422"/>
      <c r="AT315" s="422"/>
      <c r="AU315" s="422"/>
      <c r="AV315" s="387"/>
      <c r="AW315" s="388"/>
      <c r="AX315" s="389"/>
      <c r="AY315" s="387"/>
      <c r="AZ315" s="388"/>
      <c r="BA315" s="389"/>
      <c r="BB315" s="387"/>
      <c r="BC315" s="388"/>
      <c r="BD315" s="389"/>
    </row>
    <row r="316" spans="1:56" ht="25.5" customHeight="1" thickBot="1">
      <c r="A316" s="405"/>
      <c r="B316" s="439"/>
      <c r="C316" s="440"/>
      <c r="D316" s="443"/>
      <c r="E316" s="152"/>
      <c r="F316" s="152"/>
      <c r="G316" s="190"/>
      <c r="H316" s="147"/>
      <c r="I316" s="129"/>
      <c r="J316" s="446"/>
      <c r="K316" s="425"/>
      <c r="L316" s="428"/>
      <c r="M316" s="425"/>
      <c r="N316" s="429"/>
      <c r="O316" s="47"/>
      <c r="P316" s="172"/>
      <c r="Q316" s="172"/>
      <c r="R316" s="172"/>
      <c r="S316" s="27" t="str">
        <f t="shared" si="56"/>
        <v/>
      </c>
      <c r="T316" s="172"/>
      <c r="U316" s="27" t="str">
        <f t="shared" si="57"/>
        <v/>
      </c>
      <c r="V316" s="150"/>
      <c r="W316" s="27" t="str">
        <f t="shared" si="58"/>
        <v/>
      </c>
      <c r="X316" s="150"/>
      <c r="Y316" s="27" t="str">
        <f t="shared" si="59"/>
        <v/>
      </c>
      <c r="Z316" s="150"/>
      <c r="AA316" s="27" t="str">
        <f t="shared" si="60"/>
        <v/>
      </c>
      <c r="AB316" s="150"/>
      <c r="AC316" s="27" t="str">
        <f t="shared" si="61"/>
        <v/>
      </c>
      <c r="AD316" s="150"/>
      <c r="AE316" s="27" t="str">
        <f t="shared" si="62"/>
        <v/>
      </c>
      <c r="AF316" s="48" t="str">
        <f t="shared" si="63"/>
        <v/>
      </c>
      <c r="AG316" s="48" t="str">
        <f t="shared" si="64"/>
        <v/>
      </c>
      <c r="AH316" s="131"/>
      <c r="AI316" s="149" t="str">
        <f t="shared" si="65"/>
        <v>Débil</v>
      </c>
      <c r="AJ316" s="21" t="str">
        <f>IFERROR(VLOOKUP((CONCATENATE(AG316,AI316)),Listados!$U$3:$V$11,2,FALSE),"")</f>
        <v/>
      </c>
      <c r="AK316" s="48">
        <f t="shared" si="66"/>
        <v>100</v>
      </c>
      <c r="AL316" s="431"/>
      <c r="AM316" s="433"/>
      <c r="AN316" s="169">
        <f>+IF(AND(Q316="Preventivo",AM313="Fuerte"),2,IF(AND(Q316="Preventivo",AM313="Moderado"),1,0))</f>
        <v>0</v>
      </c>
      <c r="AO316" s="169">
        <f t="shared" si="67"/>
        <v>0</v>
      </c>
      <c r="AP316" s="169">
        <f>+K313-AN316</f>
        <v>4</v>
      </c>
      <c r="AQ316" s="169">
        <f>+M313-AO316</f>
        <v>4</v>
      </c>
      <c r="AR316" s="422"/>
      <c r="AS316" s="422"/>
      <c r="AT316" s="422"/>
      <c r="AU316" s="422"/>
      <c r="AV316" s="387"/>
      <c r="AW316" s="388"/>
      <c r="AX316" s="389"/>
      <c r="AY316" s="387"/>
      <c r="AZ316" s="388"/>
      <c r="BA316" s="389"/>
      <c r="BB316" s="387"/>
      <c r="BC316" s="388"/>
      <c r="BD316" s="389"/>
    </row>
    <row r="317" spans="1:56" ht="25.5" customHeight="1" thickBot="1">
      <c r="A317" s="405"/>
      <c r="B317" s="439"/>
      <c r="C317" s="440"/>
      <c r="D317" s="443"/>
      <c r="E317" s="109"/>
      <c r="F317" s="109"/>
      <c r="G317" s="28"/>
      <c r="H317" s="29"/>
      <c r="I317" s="129"/>
      <c r="J317" s="446"/>
      <c r="K317" s="425"/>
      <c r="L317" s="428"/>
      <c r="M317" s="425"/>
      <c r="N317" s="429"/>
      <c r="O317" s="47"/>
      <c r="P317" s="172"/>
      <c r="Q317" s="172"/>
      <c r="R317" s="172"/>
      <c r="S317" s="27" t="str">
        <f t="shared" si="56"/>
        <v/>
      </c>
      <c r="T317" s="172"/>
      <c r="U317" s="27" t="str">
        <f t="shared" si="57"/>
        <v/>
      </c>
      <c r="V317" s="150"/>
      <c r="W317" s="27" t="str">
        <f t="shared" si="58"/>
        <v/>
      </c>
      <c r="X317" s="150"/>
      <c r="Y317" s="27" t="str">
        <f t="shared" si="59"/>
        <v/>
      </c>
      <c r="Z317" s="150"/>
      <c r="AA317" s="27" t="str">
        <f t="shared" si="60"/>
        <v/>
      </c>
      <c r="AB317" s="150"/>
      <c r="AC317" s="27" t="str">
        <f t="shared" si="61"/>
        <v/>
      </c>
      <c r="AD317" s="150"/>
      <c r="AE317" s="27" t="str">
        <f t="shared" si="62"/>
        <v/>
      </c>
      <c r="AF317" s="48" t="str">
        <f t="shared" si="63"/>
        <v/>
      </c>
      <c r="AG317" s="48" t="str">
        <f t="shared" si="64"/>
        <v/>
      </c>
      <c r="AH317" s="131"/>
      <c r="AI317" s="149" t="str">
        <f t="shared" si="65"/>
        <v>Débil</v>
      </c>
      <c r="AJ317" s="21" t="str">
        <f>IFERROR(VLOOKUP((CONCATENATE(AG317,AI317)),Listados!$U$3:$V$11,2,FALSE),"")</f>
        <v/>
      </c>
      <c r="AK317" s="48">
        <f t="shared" si="66"/>
        <v>100</v>
      </c>
      <c r="AL317" s="431"/>
      <c r="AM317" s="433"/>
      <c r="AN317" s="169">
        <f>+IF(AND(Q317="Preventivo",AM313="Fuerte"),2,IF(AND(Q317="Preventivo",AM313="Moderado"),1,0))</f>
        <v>0</v>
      </c>
      <c r="AO317" s="169">
        <f t="shared" si="67"/>
        <v>0</v>
      </c>
      <c r="AP317" s="169">
        <f>+K313-AN317</f>
        <v>4</v>
      </c>
      <c r="AQ317" s="169">
        <f>+M313-AO317</f>
        <v>4</v>
      </c>
      <c r="AR317" s="422"/>
      <c r="AS317" s="422"/>
      <c r="AT317" s="422"/>
      <c r="AU317" s="422"/>
      <c r="AV317" s="387"/>
      <c r="AW317" s="388"/>
      <c r="AX317" s="389"/>
      <c r="AY317" s="387"/>
      <c r="AZ317" s="388"/>
      <c r="BA317" s="389"/>
      <c r="BB317" s="387"/>
      <c r="BC317" s="388"/>
      <c r="BD317" s="389"/>
    </row>
    <row r="318" spans="1:56" ht="26.25" customHeight="1" thickBot="1">
      <c r="A318" s="406"/>
      <c r="B318" s="439"/>
      <c r="C318" s="441"/>
      <c r="D318" s="444"/>
      <c r="E318" s="106"/>
      <c r="F318" s="106"/>
      <c r="G318" s="30"/>
      <c r="H318" s="31"/>
      <c r="I318" s="129"/>
      <c r="J318" s="446"/>
      <c r="K318" s="426"/>
      <c r="L318" s="428"/>
      <c r="M318" s="426"/>
      <c r="N318" s="429"/>
      <c r="O318" s="47"/>
      <c r="P318" s="172"/>
      <c r="Q318" s="172"/>
      <c r="R318" s="172"/>
      <c r="S318" s="27" t="str">
        <f t="shared" si="56"/>
        <v/>
      </c>
      <c r="T318" s="172"/>
      <c r="U318" s="27" t="str">
        <f t="shared" si="57"/>
        <v/>
      </c>
      <c r="V318" s="150"/>
      <c r="W318" s="27" t="str">
        <f t="shared" si="58"/>
        <v/>
      </c>
      <c r="X318" s="150"/>
      <c r="Y318" s="27" t="str">
        <f t="shared" si="59"/>
        <v/>
      </c>
      <c r="Z318" s="150"/>
      <c r="AA318" s="27" t="str">
        <f t="shared" si="60"/>
        <v/>
      </c>
      <c r="AB318" s="150"/>
      <c r="AC318" s="27" t="str">
        <f t="shared" si="61"/>
        <v/>
      </c>
      <c r="AD318" s="150"/>
      <c r="AE318" s="27" t="str">
        <f t="shared" si="62"/>
        <v/>
      </c>
      <c r="AF318" s="48" t="str">
        <f t="shared" si="63"/>
        <v/>
      </c>
      <c r="AG318" s="48" t="str">
        <f t="shared" si="64"/>
        <v/>
      </c>
      <c r="AH318" s="131"/>
      <c r="AI318" s="149" t="str">
        <f t="shared" si="65"/>
        <v>Débil</v>
      </c>
      <c r="AJ318" s="21" t="str">
        <f>IFERROR(VLOOKUP((CONCATENATE(AG318,AI318)),Listados!$U$3:$V$11,2,FALSE),"")</f>
        <v/>
      </c>
      <c r="AK318" s="48">
        <f t="shared" si="66"/>
        <v>100</v>
      </c>
      <c r="AL318" s="432"/>
      <c r="AM318" s="433"/>
      <c r="AN318" s="169">
        <f>+IF(AND(Q318="Preventivo",AM313="Fuerte"),2,IF(AND(Q318="Preventivo",AM313="Moderado"),1,0))</f>
        <v>0</v>
      </c>
      <c r="AO318" s="169">
        <f t="shared" si="67"/>
        <v>0</v>
      </c>
      <c r="AP318" s="169">
        <f>+K313-AN318</f>
        <v>4</v>
      </c>
      <c r="AQ318" s="169">
        <f>+M313-AO318</f>
        <v>4</v>
      </c>
      <c r="AR318" s="423"/>
      <c r="AS318" s="423"/>
      <c r="AT318" s="423"/>
      <c r="AU318" s="423"/>
      <c r="AV318" s="387"/>
      <c r="AW318" s="388"/>
      <c r="AX318" s="389"/>
      <c r="AY318" s="387"/>
      <c r="AZ318" s="388"/>
      <c r="BA318" s="389"/>
      <c r="BB318" s="387"/>
      <c r="BC318" s="388"/>
      <c r="BD318" s="389"/>
    </row>
    <row r="319" spans="1:56" ht="158.25" thickBot="1">
      <c r="A319" s="404">
        <v>53</v>
      </c>
      <c r="B319" s="449" t="s">
        <v>95</v>
      </c>
      <c r="C319" s="447" t="str">
        <f>IFERROR(VLOOKUP(B319,Listados!B$3:C$20,2,FALSE),"")</f>
        <v>Apoyar a las diferentes dependencias de la Entidad y del Sector Justicia en el cumplimiento de su función administrativa, emitir conceptos jurídicos, defender y representar jurídicamente al Ministerio de Justicia y del Derecho</v>
      </c>
      <c r="D319" s="448" t="s">
        <v>615</v>
      </c>
      <c r="E319" s="107" t="s">
        <v>15</v>
      </c>
      <c r="F319" s="107" t="s">
        <v>178</v>
      </c>
      <c r="G319" s="100" t="s">
        <v>616</v>
      </c>
      <c r="H319" s="103" t="s">
        <v>16</v>
      </c>
      <c r="I319" s="17" t="s">
        <v>390</v>
      </c>
      <c r="J319" s="445" t="s">
        <v>44</v>
      </c>
      <c r="K319" s="424">
        <f>+VLOOKUP(J319,Listados!$K$8:$L$12,2,0)</f>
        <v>3</v>
      </c>
      <c r="L319" s="427" t="s">
        <v>18</v>
      </c>
      <c r="M319" s="424">
        <f>+VLOOKUP(L319,Listados!$K$13:$L$17,2,0)</f>
        <v>1</v>
      </c>
      <c r="N319" s="423" t="str">
        <f>IF(AND(J319&lt;&gt;"",L319&lt;&gt;""),VLOOKUP(J319&amp;L319,Listados!$M$3:$N$27,2,FALSE),"")</f>
        <v>Bajo</v>
      </c>
      <c r="O319" s="166" t="s">
        <v>617</v>
      </c>
      <c r="P319" s="100" t="s">
        <v>616</v>
      </c>
      <c r="Q319" s="172" t="s">
        <v>20</v>
      </c>
      <c r="R319" s="172"/>
      <c r="S319" s="27" t="str">
        <f t="shared" si="56"/>
        <v/>
      </c>
      <c r="T319" s="172"/>
      <c r="U319" s="27" t="str">
        <f t="shared" si="57"/>
        <v/>
      </c>
      <c r="V319" s="150"/>
      <c r="W319" s="27" t="str">
        <f t="shared" si="58"/>
        <v/>
      </c>
      <c r="X319" s="150"/>
      <c r="Y319" s="27" t="str">
        <f t="shared" si="59"/>
        <v/>
      </c>
      <c r="Z319" s="150"/>
      <c r="AA319" s="27" t="str">
        <f t="shared" si="60"/>
        <v/>
      </c>
      <c r="AB319" s="150"/>
      <c r="AC319" s="27" t="str">
        <f t="shared" si="61"/>
        <v/>
      </c>
      <c r="AD319" s="150"/>
      <c r="AE319" s="27" t="str">
        <f t="shared" si="62"/>
        <v/>
      </c>
      <c r="AF319" s="48" t="str">
        <f t="shared" si="63"/>
        <v/>
      </c>
      <c r="AG319" s="48" t="str">
        <f t="shared" si="64"/>
        <v/>
      </c>
      <c r="AH319" s="131"/>
      <c r="AI319" s="149" t="str">
        <f t="shared" si="65"/>
        <v>Débil</v>
      </c>
      <c r="AJ319" s="21" t="str">
        <f>IFERROR(VLOOKUP((CONCATENATE(AG319,AI319)),Listados!$U$3:$V$11,2,FALSE),"")</f>
        <v/>
      </c>
      <c r="AK319" s="48">
        <f t="shared" si="66"/>
        <v>100</v>
      </c>
      <c r="AL319" s="430">
        <f>AVERAGE(AK319:AK324)</f>
        <v>100</v>
      </c>
      <c r="AM319" s="432" t="str">
        <f>IF(AL319&lt;=50, "Débil", IF(AL319&lt;=99,"Moderado","Fuerte"))</f>
        <v>Fuerte</v>
      </c>
      <c r="AN319" s="169">
        <f>+IF(AND(Q319="Preventivo",AM319="Fuerte"),2,IF(AND(Q319="Preventivo",AM319="Moderado"),1,0))</f>
        <v>2</v>
      </c>
      <c r="AO319" s="169">
        <f t="shared" si="67"/>
        <v>1</v>
      </c>
      <c r="AP319" s="169">
        <f>+K319-AN319</f>
        <v>1</v>
      </c>
      <c r="AQ319" s="169">
        <f>+M319-AO319</f>
        <v>0</v>
      </c>
      <c r="AR319" s="421" t="str">
        <f>+VLOOKUP(MIN(AP319,AP320,AP321,AP322,AP323,AP324),Listados!$J$18:$K$24,2,TRUE)</f>
        <v>Rara Vez</v>
      </c>
      <c r="AS319" s="421" t="e">
        <f>+VLOOKUP(MIN(AQ319,AQ320,AQ321,AQ322,AQ323,AQ324),Listados!$J$27:$K$32,2,TRUE)</f>
        <v>#N/A</v>
      </c>
      <c r="AT319" s="421" t="e">
        <f>IF(AND(AR319&lt;&gt;"",AS319&lt;&gt;""),VLOOKUP(AR319&amp;AS319,Listados!$M$3:$N$27,2,FALSE),"")</f>
        <v>#N/A</v>
      </c>
      <c r="AU319" s="421" t="e">
        <f>+VLOOKUP(AT319,Listados!$P$3:$Q$6,2,FALSE)</f>
        <v>#N/A</v>
      </c>
      <c r="AV319" s="387"/>
      <c r="AW319" s="388"/>
      <c r="AX319" s="389"/>
      <c r="AY319" s="387"/>
      <c r="AZ319" s="388"/>
      <c r="BA319" s="389"/>
      <c r="BB319" s="387"/>
      <c r="BC319" s="388"/>
      <c r="BD319" s="389"/>
    </row>
    <row r="320" spans="1:56" ht="144" thickBot="1">
      <c r="A320" s="405"/>
      <c r="B320" s="439"/>
      <c r="C320" s="440"/>
      <c r="D320" s="443"/>
      <c r="E320" s="152"/>
      <c r="F320" s="152"/>
      <c r="G320" s="128" t="s">
        <v>618</v>
      </c>
      <c r="H320" s="147" t="s">
        <v>16</v>
      </c>
      <c r="I320" s="129"/>
      <c r="J320" s="446"/>
      <c r="K320" s="425"/>
      <c r="L320" s="428"/>
      <c r="M320" s="425"/>
      <c r="N320" s="429"/>
      <c r="O320" s="166" t="s">
        <v>619</v>
      </c>
      <c r="P320" s="128" t="s">
        <v>618</v>
      </c>
      <c r="Q320" s="172" t="s">
        <v>123</v>
      </c>
      <c r="R320" s="172"/>
      <c r="S320" s="27" t="str">
        <f t="shared" si="56"/>
        <v/>
      </c>
      <c r="T320" s="172"/>
      <c r="U320" s="27" t="str">
        <f t="shared" si="57"/>
        <v/>
      </c>
      <c r="V320" s="150"/>
      <c r="W320" s="27" t="str">
        <f t="shared" si="58"/>
        <v/>
      </c>
      <c r="X320" s="150"/>
      <c r="Y320" s="27" t="str">
        <f t="shared" si="59"/>
        <v/>
      </c>
      <c r="Z320" s="150"/>
      <c r="AA320" s="27" t="str">
        <f t="shared" si="60"/>
        <v/>
      </c>
      <c r="AB320" s="150"/>
      <c r="AC320" s="27" t="str">
        <f t="shared" si="61"/>
        <v/>
      </c>
      <c r="AD320" s="150"/>
      <c r="AE320" s="27" t="str">
        <f t="shared" si="62"/>
        <v/>
      </c>
      <c r="AF320" s="48" t="str">
        <f t="shared" si="63"/>
        <v/>
      </c>
      <c r="AG320" s="48" t="str">
        <f t="shared" si="64"/>
        <v/>
      </c>
      <c r="AH320" s="131"/>
      <c r="AI320" s="149" t="str">
        <f t="shared" si="65"/>
        <v>Débil</v>
      </c>
      <c r="AJ320" s="21" t="str">
        <f>IFERROR(VLOOKUP((CONCATENATE(AG320,AI320)),Listados!$U$3:$V$11,2,FALSE),"")</f>
        <v/>
      </c>
      <c r="AK320" s="48">
        <f t="shared" si="66"/>
        <v>100</v>
      </c>
      <c r="AL320" s="431"/>
      <c r="AM320" s="433"/>
      <c r="AN320" s="169">
        <f>+IF(AND(Q320="Preventivo",AM319="Fuerte"),2,IF(AND(Q320="Preventivo",AM319="Moderado"),1,0))</f>
        <v>0</v>
      </c>
      <c r="AO320" s="169">
        <f t="shared" si="67"/>
        <v>2</v>
      </c>
      <c r="AP320" s="169">
        <f>+K319-AN320</f>
        <v>3</v>
      </c>
      <c r="AQ320" s="169">
        <f>+M319-AO320</f>
        <v>-1</v>
      </c>
      <c r="AR320" s="422"/>
      <c r="AS320" s="422"/>
      <c r="AT320" s="422"/>
      <c r="AU320" s="422"/>
      <c r="AV320" s="387"/>
      <c r="AW320" s="388"/>
      <c r="AX320" s="389"/>
      <c r="AY320" s="387"/>
      <c r="AZ320" s="388"/>
      <c r="BA320" s="389"/>
      <c r="BB320" s="387"/>
      <c r="BC320" s="388"/>
      <c r="BD320" s="389"/>
    </row>
    <row r="321" spans="1:56" ht="15.75" thickBot="1">
      <c r="A321" s="405"/>
      <c r="B321" s="439"/>
      <c r="C321" s="440"/>
      <c r="D321" s="443"/>
      <c r="E321" s="152"/>
      <c r="F321" s="152"/>
      <c r="G321" s="128"/>
      <c r="H321" s="147"/>
      <c r="I321" s="129"/>
      <c r="J321" s="446"/>
      <c r="K321" s="425"/>
      <c r="L321" s="428"/>
      <c r="M321" s="425"/>
      <c r="N321" s="429"/>
      <c r="O321" s="47"/>
      <c r="P321" s="172"/>
      <c r="Q321" s="172"/>
      <c r="R321" s="172"/>
      <c r="S321" s="27" t="str">
        <f t="shared" si="56"/>
        <v/>
      </c>
      <c r="T321" s="172"/>
      <c r="U321" s="27" t="str">
        <f t="shared" si="57"/>
        <v/>
      </c>
      <c r="V321" s="150"/>
      <c r="W321" s="27" t="str">
        <f t="shared" si="58"/>
        <v/>
      </c>
      <c r="X321" s="150"/>
      <c r="Y321" s="27" t="str">
        <f t="shared" si="59"/>
        <v/>
      </c>
      <c r="Z321" s="150"/>
      <c r="AA321" s="27" t="str">
        <f t="shared" si="60"/>
        <v/>
      </c>
      <c r="AB321" s="150"/>
      <c r="AC321" s="27" t="str">
        <f t="shared" si="61"/>
        <v/>
      </c>
      <c r="AD321" s="150"/>
      <c r="AE321" s="27" t="str">
        <f t="shared" si="62"/>
        <v/>
      </c>
      <c r="AF321" s="48" t="str">
        <f t="shared" si="63"/>
        <v/>
      </c>
      <c r="AG321" s="48" t="str">
        <f t="shared" si="64"/>
        <v/>
      </c>
      <c r="AH321" s="131"/>
      <c r="AI321" s="149" t="str">
        <f t="shared" si="65"/>
        <v>Débil</v>
      </c>
      <c r="AJ321" s="21" t="str">
        <f>IFERROR(VLOOKUP((CONCATENATE(AG321,AI321)),Listados!$U$3:$V$11,2,FALSE),"")</f>
        <v/>
      </c>
      <c r="AK321" s="48">
        <f t="shared" si="66"/>
        <v>100</v>
      </c>
      <c r="AL321" s="431"/>
      <c r="AM321" s="433"/>
      <c r="AN321" s="169">
        <f>+IF(AND(Q321="Preventivo",AM319="Fuerte"),2,IF(AND(Q321="Preventivo",AM319="Moderado"),1,0))</f>
        <v>0</v>
      </c>
      <c r="AO321" s="169">
        <f t="shared" si="67"/>
        <v>0</v>
      </c>
      <c r="AP321" s="169">
        <f>+K319-AN321</f>
        <v>3</v>
      </c>
      <c r="AQ321" s="169">
        <f>+M319-AO321</f>
        <v>1</v>
      </c>
      <c r="AR321" s="422"/>
      <c r="AS321" s="422"/>
      <c r="AT321" s="422"/>
      <c r="AU321" s="422"/>
      <c r="AV321" s="387"/>
      <c r="AW321" s="388"/>
      <c r="AX321" s="389"/>
      <c r="AY321" s="387"/>
      <c r="AZ321" s="388"/>
      <c r="BA321" s="389"/>
      <c r="BB321" s="387"/>
      <c r="BC321" s="388"/>
      <c r="BD321" s="389"/>
    </row>
    <row r="322" spans="1:56" ht="15.75" thickBot="1">
      <c r="A322" s="405"/>
      <c r="B322" s="439"/>
      <c r="C322" s="440"/>
      <c r="D322" s="443"/>
      <c r="E322" s="152"/>
      <c r="F322" s="152"/>
      <c r="G322" s="190"/>
      <c r="H322" s="147"/>
      <c r="I322" s="129"/>
      <c r="J322" s="446"/>
      <c r="K322" s="425"/>
      <c r="L322" s="428"/>
      <c r="M322" s="425"/>
      <c r="N322" s="429"/>
      <c r="O322" s="47"/>
      <c r="P322" s="172"/>
      <c r="Q322" s="172"/>
      <c r="R322" s="172"/>
      <c r="S322" s="27" t="str">
        <f t="shared" si="56"/>
        <v/>
      </c>
      <c r="T322" s="172"/>
      <c r="U322" s="27" t="str">
        <f t="shared" si="57"/>
        <v/>
      </c>
      <c r="V322" s="150"/>
      <c r="W322" s="27" t="str">
        <f t="shared" si="58"/>
        <v/>
      </c>
      <c r="X322" s="150"/>
      <c r="Y322" s="27" t="str">
        <f t="shared" si="59"/>
        <v/>
      </c>
      <c r="Z322" s="150"/>
      <c r="AA322" s="27" t="str">
        <f t="shared" si="60"/>
        <v/>
      </c>
      <c r="AB322" s="150"/>
      <c r="AC322" s="27" t="str">
        <f t="shared" si="61"/>
        <v/>
      </c>
      <c r="AD322" s="150"/>
      <c r="AE322" s="27" t="str">
        <f t="shared" si="62"/>
        <v/>
      </c>
      <c r="AF322" s="48" t="str">
        <f t="shared" si="63"/>
        <v/>
      </c>
      <c r="AG322" s="48" t="str">
        <f t="shared" si="64"/>
        <v/>
      </c>
      <c r="AH322" s="131"/>
      <c r="AI322" s="149" t="str">
        <f t="shared" si="65"/>
        <v>Débil</v>
      </c>
      <c r="AJ322" s="21" t="str">
        <f>IFERROR(VLOOKUP((CONCATENATE(AG322,AI322)),Listados!$U$3:$V$11,2,FALSE),"")</f>
        <v/>
      </c>
      <c r="AK322" s="48">
        <f t="shared" si="66"/>
        <v>100</v>
      </c>
      <c r="AL322" s="431"/>
      <c r="AM322" s="433"/>
      <c r="AN322" s="169">
        <f>+IF(AND(Q322="Preventivo",AM319="Fuerte"),2,IF(AND(Q322="Preventivo",AM319="Moderado"),1,0))</f>
        <v>0</v>
      </c>
      <c r="AO322" s="169">
        <f t="shared" si="67"/>
        <v>0</v>
      </c>
      <c r="AP322" s="169">
        <f>+K319-AN322</f>
        <v>3</v>
      </c>
      <c r="AQ322" s="169">
        <f>+M319-AO322</f>
        <v>1</v>
      </c>
      <c r="AR322" s="422"/>
      <c r="AS322" s="422"/>
      <c r="AT322" s="422"/>
      <c r="AU322" s="422"/>
      <c r="AV322" s="387"/>
      <c r="AW322" s="388"/>
      <c r="AX322" s="389"/>
      <c r="AY322" s="387"/>
      <c r="AZ322" s="388"/>
      <c r="BA322" s="389"/>
      <c r="BB322" s="387"/>
      <c r="BC322" s="388"/>
      <c r="BD322" s="389"/>
    </row>
    <row r="323" spans="1:56" ht="15.75" thickBot="1">
      <c r="A323" s="405"/>
      <c r="B323" s="439"/>
      <c r="C323" s="440"/>
      <c r="D323" s="443"/>
      <c r="E323" s="109"/>
      <c r="F323" s="109"/>
      <c r="G323" s="28"/>
      <c r="H323" s="29"/>
      <c r="I323" s="129"/>
      <c r="J323" s="446"/>
      <c r="K323" s="425"/>
      <c r="L323" s="428"/>
      <c r="M323" s="425"/>
      <c r="N323" s="429"/>
      <c r="O323" s="47"/>
      <c r="P323" s="172"/>
      <c r="Q323" s="172"/>
      <c r="R323" s="172"/>
      <c r="S323" s="27" t="str">
        <f t="shared" si="56"/>
        <v/>
      </c>
      <c r="T323" s="172"/>
      <c r="U323" s="27" t="str">
        <f t="shared" si="57"/>
        <v/>
      </c>
      <c r="V323" s="150"/>
      <c r="W323" s="27" t="str">
        <f t="shared" si="58"/>
        <v/>
      </c>
      <c r="X323" s="150"/>
      <c r="Y323" s="27" t="str">
        <f t="shared" si="59"/>
        <v/>
      </c>
      <c r="Z323" s="150"/>
      <c r="AA323" s="27" t="str">
        <f t="shared" si="60"/>
        <v/>
      </c>
      <c r="AB323" s="150"/>
      <c r="AC323" s="27" t="str">
        <f t="shared" si="61"/>
        <v/>
      </c>
      <c r="AD323" s="150"/>
      <c r="AE323" s="27" t="str">
        <f t="shared" si="62"/>
        <v/>
      </c>
      <c r="AF323" s="48" t="str">
        <f t="shared" si="63"/>
        <v/>
      </c>
      <c r="AG323" s="48" t="str">
        <f t="shared" si="64"/>
        <v/>
      </c>
      <c r="AH323" s="131"/>
      <c r="AI323" s="149" t="str">
        <f t="shared" si="65"/>
        <v>Débil</v>
      </c>
      <c r="AJ323" s="21" t="str">
        <f>IFERROR(VLOOKUP((CONCATENATE(AG323,AI323)),Listados!$U$3:$V$11,2,FALSE),"")</f>
        <v/>
      </c>
      <c r="AK323" s="48">
        <f t="shared" si="66"/>
        <v>100</v>
      </c>
      <c r="AL323" s="431"/>
      <c r="AM323" s="433"/>
      <c r="AN323" s="169">
        <f>+IF(AND(Q323="Preventivo",AM319="Fuerte"),2,IF(AND(Q323="Preventivo",AM319="Moderado"),1,0))</f>
        <v>0</v>
      </c>
      <c r="AO323" s="169">
        <f t="shared" si="67"/>
        <v>0</v>
      </c>
      <c r="AP323" s="169">
        <f>+K319-AN323</f>
        <v>3</v>
      </c>
      <c r="AQ323" s="169">
        <f>+M319-AO323</f>
        <v>1</v>
      </c>
      <c r="AR323" s="422"/>
      <c r="AS323" s="422"/>
      <c r="AT323" s="422"/>
      <c r="AU323" s="422"/>
      <c r="AV323" s="387"/>
      <c r="AW323" s="388"/>
      <c r="AX323" s="389"/>
      <c r="AY323" s="387"/>
      <c r="AZ323" s="388"/>
      <c r="BA323" s="389"/>
      <c r="BB323" s="387"/>
      <c r="BC323" s="388"/>
      <c r="BD323" s="389"/>
    </row>
    <row r="324" spans="1:56" ht="15.75" thickBot="1">
      <c r="A324" s="406"/>
      <c r="B324" s="439"/>
      <c r="C324" s="441"/>
      <c r="D324" s="444"/>
      <c r="E324" s="106"/>
      <c r="F324" s="106"/>
      <c r="G324" s="30"/>
      <c r="H324" s="31"/>
      <c r="I324" s="129"/>
      <c r="J324" s="446"/>
      <c r="K324" s="426"/>
      <c r="L324" s="428"/>
      <c r="M324" s="426"/>
      <c r="N324" s="429"/>
      <c r="O324" s="47"/>
      <c r="P324" s="172"/>
      <c r="Q324" s="172"/>
      <c r="R324" s="172"/>
      <c r="S324" s="27" t="str">
        <f t="shared" si="56"/>
        <v/>
      </c>
      <c r="T324" s="172"/>
      <c r="U324" s="27" t="str">
        <f t="shared" si="57"/>
        <v/>
      </c>
      <c r="V324" s="150"/>
      <c r="W324" s="27" t="str">
        <f t="shared" si="58"/>
        <v/>
      </c>
      <c r="X324" s="150"/>
      <c r="Y324" s="27" t="str">
        <f t="shared" si="59"/>
        <v/>
      </c>
      <c r="Z324" s="150"/>
      <c r="AA324" s="27" t="str">
        <f t="shared" si="60"/>
        <v/>
      </c>
      <c r="AB324" s="150"/>
      <c r="AC324" s="27" t="str">
        <f t="shared" si="61"/>
        <v/>
      </c>
      <c r="AD324" s="150"/>
      <c r="AE324" s="27" t="str">
        <f t="shared" si="62"/>
        <v/>
      </c>
      <c r="AF324" s="48" t="str">
        <f t="shared" si="63"/>
        <v/>
      </c>
      <c r="AG324" s="48" t="str">
        <f t="shared" si="64"/>
        <v/>
      </c>
      <c r="AH324" s="131"/>
      <c r="AI324" s="149" t="str">
        <f t="shared" si="65"/>
        <v>Débil</v>
      </c>
      <c r="AJ324" s="21" t="str">
        <f>IFERROR(VLOOKUP((CONCATENATE(AG324,AI324)),Listados!$U$3:$V$11,2,FALSE),"")</f>
        <v/>
      </c>
      <c r="AK324" s="48">
        <f t="shared" si="66"/>
        <v>100</v>
      </c>
      <c r="AL324" s="432"/>
      <c r="AM324" s="433"/>
      <c r="AN324" s="169">
        <f>+IF(AND(Q324="Preventivo",AM319="Fuerte"),2,IF(AND(Q324="Preventivo",AM319="Moderado"),1,0))</f>
        <v>0</v>
      </c>
      <c r="AO324" s="169">
        <f t="shared" si="67"/>
        <v>0</v>
      </c>
      <c r="AP324" s="169">
        <f>+K319-AN324</f>
        <v>3</v>
      </c>
      <c r="AQ324" s="169">
        <f>+M319-AO324</f>
        <v>1</v>
      </c>
      <c r="AR324" s="423"/>
      <c r="AS324" s="423"/>
      <c r="AT324" s="423"/>
      <c r="AU324" s="423"/>
      <c r="AV324" s="387"/>
      <c r="AW324" s="388"/>
      <c r="AX324" s="389"/>
      <c r="AY324" s="387"/>
      <c r="AZ324" s="388"/>
      <c r="BA324" s="389"/>
      <c r="BB324" s="387"/>
      <c r="BC324" s="388"/>
      <c r="BD324" s="389"/>
    </row>
    <row r="325" spans="1:56" ht="115.5" thickBot="1">
      <c r="A325" s="404">
        <v>54</v>
      </c>
      <c r="B325" s="449" t="s">
        <v>101</v>
      </c>
      <c r="C325" s="447" t="str">
        <f>IFERROR(VLOOKUP(B325,Listados!B$3:C$20,2,FALSE),"")</f>
        <v>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v>
      </c>
      <c r="D325" s="448" t="s">
        <v>620</v>
      </c>
      <c r="E325" s="107" t="s">
        <v>29</v>
      </c>
      <c r="F325" s="107" t="s">
        <v>209</v>
      </c>
      <c r="G325" s="100" t="s">
        <v>621</v>
      </c>
      <c r="H325" s="103" t="s">
        <v>16</v>
      </c>
      <c r="I325" s="17" t="s">
        <v>622</v>
      </c>
      <c r="J325" s="445" t="s">
        <v>31</v>
      </c>
      <c r="K325" s="424">
        <f>+VLOOKUP(J325,Listados!$K$8:$L$12,2,0)</f>
        <v>2</v>
      </c>
      <c r="L325" s="427" t="s">
        <v>36</v>
      </c>
      <c r="M325" s="424">
        <f>+VLOOKUP(L325,Listados!$K$13:$L$17,2,0)</f>
        <v>3</v>
      </c>
      <c r="N325" s="423" t="str">
        <f>IF(AND(J325&lt;&gt;"",L325&lt;&gt;""),VLOOKUP(J325&amp;L325,Listados!$M$3:$N$27,2,FALSE),"")</f>
        <v>Moderado</v>
      </c>
      <c r="O325" s="47" t="s">
        <v>623</v>
      </c>
      <c r="P325" s="145" t="s">
        <v>199</v>
      </c>
      <c r="Q325" s="172" t="s">
        <v>20</v>
      </c>
      <c r="R325" s="172" t="s">
        <v>116</v>
      </c>
      <c r="S325" s="27">
        <f t="shared" si="56"/>
        <v>15</v>
      </c>
      <c r="T325" s="172" t="s">
        <v>116</v>
      </c>
      <c r="U325" s="27">
        <f t="shared" si="57"/>
        <v>15</v>
      </c>
      <c r="V325" s="150" t="s">
        <v>116</v>
      </c>
      <c r="W325" s="27">
        <f t="shared" si="58"/>
        <v>15</v>
      </c>
      <c r="X325" s="150" t="s">
        <v>20</v>
      </c>
      <c r="Y325" s="27">
        <f t="shared" si="59"/>
        <v>15</v>
      </c>
      <c r="Z325" s="150" t="s">
        <v>116</v>
      </c>
      <c r="AA325" s="27">
        <f t="shared" si="60"/>
        <v>15</v>
      </c>
      <c r="AB325" s="150" t="s">
        <v>116</v>
      </c>
      <c r="AC325" s="27">
        <f t="shared" si="61"/>
        <v>15</v>
      </c>
      <c r="AD325" s="150"/>
      <c r="AE325" s="27" t="str">
        <f t="shared" si="62"/>
        <v/>
      </c>
      <c r="AF325" s="48">
        <f t="shared" si="63"/>
        <v>90</v>
      </c>
      <c r="AG325" s="48" t="str">
        <f t="shared" si="64"/>
        <v>Moderado</v>
      </c>
      <c r="AH325" s="131" t="s">
        <v>118</v>
      </c>
      <c r="AI325" s="149" t="str">
        <f t="shared" si="65"/>
        <v>Fuerte</v>
      </c>
      <c r="AJ325" s="21" t="str">
        <f>IFERROR(VLOOKUP((CONCATENATE(AG325,AI325)),Listados!$U$3:$V$11,2,FALSE),"")</f>
        <v>Moderado</v>
      </c>
      <c r="AK325" s="48">
        <f t="shared" si="66"/>
        <v>50</v>
      </c>
      <c r="AL325" s="430">
        <f>AVERAGE(AK325:AK330)</f>
        <v>75</v>
      </c>
      <c r="AM325" s="432" t="str">
        <f>IF(AL325&lt;=50, "Débil", IF(AL325&lt;=99,"Moderado","Fuerte"))</f>
        <v>Moderado</v>
      </c>
      <c r="AN325" s="169">
        <f>+IF(AND(Q325="Preventivo",AM325="Fuerte"),2,IF(AND(Q325="Preventivo",AM325="Moderado"),1,0))</f>
        <v>1</v>
      </c>
      <c r="AO325" s="169">
        <f t="shared" si="67"/>
        <v>1</v>
      </c>
      <c r="AP325" s="169">
        <f>+K325-AN325</f>
        <v>1</v>
      </c>
      <c r="AQ325" s="169">
        <f>+M325-AO325</f>
        <v>2</v>
      </c>
      <c r="AR325" s="421" t="str">
        <f>+VLOOKUP(MIN(AP325,AP326,AP327,AP328,AP329,AP330),Listados!$J$18:$K$24,2,TRUE)</f>
        <v>Rara Vez</v>
      </c>
      <c r="AS325" s="421" t="str">
        <f>+VLOOKUP(MIN(AQ325,AQ326,AQ327,AQ328,AQ329,AQ330),Listados!$J$27:$K$32,2,TRUE)</f>
        <v>Insignificante</v>
      </c>
      <c r="AT325" s="421" t="str">
        <f>IF(AND(AR325&lt;&gt;"",AS325&lt;&gt;""),VLOOKUP(AR325&amp;AS325,Listados!$M$3:$N$27,2,FALSE),"")</f>
        <v>Bajo</v>
      </c>
      <c r="AU325" s="421" t="str">
        <f>+VLOOKUP(AT325,Listados!$P$3:$Q$6,2,FALSE)</f>
        <v>Asumir el riesgo</v>
      </c>
      <c r="AV325" s="387"/>
      <c r="AW325" s="388"/>
      <c r="AX325" s="389"/>
      <c r="AY325" s="387"/>
      <c r="AZ325" s="388"/>
      <c r="BA325" s="389"/>
      <c r="BB325" s="387"/>
      <c r="BC325" s="388"/>
      <c r="BD325" s="389"/>
    </row>
    <row r="326" spans="1:56" ht="102.75" thickBot="1">
      <c r="A326" s="405"/>
      <c r="B326" s="439"/>
      <c r="C326" s="440"/>
      <c r="D326" s="443"/>
      <c r="E326" s="152"/>
      <c r="F326" s="152"/>
      <c r="G326" s="128" t="s">
        <v>624</v>
      </c>
      <c r="H326" s="147" t="s">
        <v>16</v>
      </c>
      <c r="I326" s="129" t="s">
        <v>625</v>
      </c>
      <c r="J326" s="446"/>
      <c r="K326" s="425"/>
      <c r="L326" s="428"/>
      <c r="M326" s="425"/>
      <c r="N326" s="429"/>
      <c r="O326" s="47" t="s">
        <v>626</v>
      </c>
      <c r="P326" s="145" t="s">
        <v>202</v>
      </c>
      <c r="Q326" s="172" t="s">
        <v>123</v>
      </c>
      <c r="R326" s="172" t="s">
        <v>116</v>
      </c>
      <c r="S326" s="27">
        <f t="shared" si="56"/>
        <v>15</v>
      </c>
      <c r="T326" s="172" t="s">
        <v>116</v>
      </c>
      <c r="U326" s="27">
        <f t="shared" si="57"/>
        <v>15</v>
      </c>
      <c r="V326" s="150" t="s">
        <v>116</v>
      </c>
      <c r="W326" s="27">
        <f t="shared" si="58"/>
        <v>15</v>
      </c>
      <c r="X326" s="150" t="s">
        <v>123</v>
      </c>
      <c r="Y326" s="27">
        <f t="shared" si="59"/>
        <v>10</v>
      </c>
      <c r="Z326" s="150" t="s">
        <v>116</v>
      </c>
      <c r="AA326" s="27">
        <f t="shared" si="60"/>
        <v>15</v>
      </c>
      <c r="AB326" s="150" t="s">
        <v>116</v>
      </c>
      <c r="AC326" s="27">
        <f t="shared" si="61"/>
        <v>15</v>
      </c>
      <c r="AD326" s="150"/>
      <c r="AE326" s="27" t="str">
        <f t="shared" si="62"/>
        <v/>
      </c>
      <c r="AF326" s="48">
        <f t="shared" si="63"/>
        <v>85</v>
      </c>
      <c r="AG326" s="48" t="str">
        <f t="shared" si="64"/>
        <v>Débil</v>
      </c>
      <c r="AH326" s="131" t="s">
        <v>118</v>
      </c>
      <c r="AI326" s="149" t="str">
        <f t="shared" si="65"/>
        <v>Fuerte</v>
      </c>
      <c r="AJ326" s="21" t="str">
        <f>IFERROR(VLOOKUP((CONCATENATE(AG326,AI326)),Listados!$U$3:$V$11,2,FALSE),"")</f>
        <v>Débil</v>
      </c>
      <c r="AK326" s="48">
        <f t="shared" si="66"/>
        <v>0</v>
      </c>
      <c r="AL326" s="431"/>
      <c r="AM326" s="433"/>
      <c r="AN326" s="169">
        <f>+IF(AND(Q326="Preventivo",AM325="Fuerte"),2,IF(AND(Q326="Preventivo",AM325="Moderado"),1,0))</f>
        <v>0</v>
      </c>
      <c r="AO326" s="169">
        <f t="shared" si="67"/>
        <v>2</v>
      </c>
      <c r="AP326" s="169">
        <f>+K325-AN326</f>
        <v>2</v>
      </c>
      <c r="AQ326" s="169">
        <f>+M325-AO326</f>
        <v>1</v>
      </c>
      <c r="AR326" s="422"/>
      <c r="AS326" s="422"/>
      <c r="AT326" s="422"/>
      <c r="AU326" s="422"/>
      <c r="AV326" s="387"/>
      <c r="AW326" s="388"/>
      <c r="AX326" s="389"/>
      <c r="AY326" s="387"/>
      <c r="AZ326" s="388"/>
      <c r="BA326" s="389"/>
      <c r="BB326" s="387"/>
      <c r="BC326" s="388"/>
      <c r="BD326" s="389"/>
    </row>
    <row r="327" spans="1:56" ht="15.75" thickBot="1">
      <c r="A327" s="405"/>
      <c r="B327" s="439"/>
      <c r="C327" s="440"/>
      <c r="D327" s="443"/>
      <c r="E327" s="152"/>
      <c r="F327" s="152"/>
      <c r="G327" s="128"/>
      <c r="H327" s="147"/>
      <c r="I327" s="129"/>
      <c r="J327" s="446"/>
      <c r="K327" s="425"/>
      <c r="L327" s="428"/>
      <c r="M327" s="425"/>
      <c r="N327" s="429"/>
      <c r="O327" s="47" t="s">
        <v>627</v>
      </c>
      <c r="P327" s="172"/>
      <c r="Q327" s="172"/>
      <c r="R327" s="172"/>
      <c r="S327" s="27" t="str">
        <f t="shared" si="56"/>
        <v/>
      </c>
      <c r="T327" s="172"/>
      <c r="U327" s="27" t="str">
        <f t="shared" si="57"/>
        <v/>
      </c>
      <c r="V327" s="150"/>
      <c r="W327" s="27" t="str">
        <f t="shared" si="58"/>
        <v/>
      </c>
      <c r="X327" s="150"/>
      <c r="Y327" s="27" t="str">
        <f t="shared" si="59"/>
        <v/>
      </c>
      <c r="Z327" s="150"/>
      <c r="AA327" s="27" t="str">
        <f t="shared" si="60"/>
        <v/>
      </c>
      <c r="AB327" s="150"/>
      <c r="AC327" s="27" t="str">
        <f t="shared" si="61"/>
        <v/>
      </c>
      <c r="AD327" s="150"/>
      <c r="AE327" s="27" t="str">
        <f t="shared" si="62"/>
        <v/>
      </c>
      <c r="AF327" s="48" t="str">
        <f t="shared" si="63"/>
        <v/>
      </c>
      <c r="AG327" s="48" t="str">
        <f t="shared" si="64"/>
        <v/>
      </c>
      <c r="AH327" s="131"/>
      <c r="AI327" s="149" t="str">
        <f t="shared" si="65"/>
        <v>Débil</v>
      </c>
      <c r="AJ327" s="21" t="str">
        <f>IFERROR(VLOOKUP((CONCATENATE(AG327,AI327)),Listados!$U$3:$V$11,2,FALSE),"")</f>
        <v/>
      </c>
      <c r="AK327" s="48">
        <f t="shared" si="66"/>
        <v>100</v>
      </c>
      <c r="AL327" s="431"/>
      <c r="AM327" s="433"/>
      <c r="AN327" s="169">
        <f>+IF(AND(Q327="Preventivo",AM325="Fuerte"),2,IF(AND(Q327="Preventivo",AM325="Moderado"),1,0))</f>
        <v>0</v>
      </c>
      <c r="AO327" s="169">
        <f t="shared" si="67"/>
        <v>0</v>
      </c>
      <c r="AP327" s="169">
        <f>+K325-AN327</f>
        <v>2</v>
      </c>
      <c r="AQ327" s="169">
        <f>+M325-AO327</f>
        <v>3</v>
      </c>
      <c r="AR327" s="422"/>
      <c r="AS327" s="422"/>
      <c r="AT327" s="422"/>
      <c r="AU327" s="422"/>
      <c r="AV327" s="387"/>
      <c r="AW327" s="388"/>
      <c r="AX327" s="389"/>
      <c r="AY327" s="387"/>
      <c r="AZ327" s="388"/>
      <c r="BA327" s="389"/>
      <c r="BB327" s="387"/>
      <c r="BC327" s="388"/>
      <c r="BD327" s="389"/>
    </row>
    <row r="328" spans="1:56" ht="15.75" thickBot="1">
      <c r="A328" s="405"/>
      <c r="B328" s="439"/>
      <c r="C328" s="440"/>
      <c r="D328" s="443"/>
      <c r="E328" s="152"/>
      <c r="F328" s="152"/>
      <c r="G328" s="190"/>
      <c r="H328" s="147"/>
      <c r="I328" s="129"/>
      <c r="J328" s="446"/>
      <c r="K328" s="425"/>
      <c r="L328" s="428"/>
      <c r="M328" s="425"/>
      <c r="N328" s="429"/>
      <c r="O328" s="47" t="s">
        <v>627</v>
      </c>
      <c r="P328" s="172"/>
      <c r="Q328" s="172"/>
      <c r="R328" s="172"/>
      <c r="S328" s="27" t="str">
        <f t="shared" ref="S328:S366" si="68">+IF(R328="si",15,"")</f>
        <v/>
      </c>
      <c r="T328" s="172"/>
      <c r="U328" s="27" t="str">
        <f t="shared" ref="U328:U366" si="69">+IF(T328="si",15,"")</f>
        <v/>
      </c>
      <c r="V328" s="150"/>
      <c r="W328" s="27" t="str">
        <f t="shared" ref="W328:W366" si="70">+IF(V328="si",15,"")</f>
        <v/>
      </c>
      <c r="X328" s="150"/>
      <c r="Y328" s="27" t="str">
        <f t="shared" ref="Y328:Y366" si="71">+IF(X328="Preventivo",15,IF(X328="Detectivo",10,""))</f>
        <v/>
      </c>
      <c r="Z328" s="150"/>
      <c r="AA328" s="27" t="str">
        <f t="shared" ref="AA328:AA366" si="72">+IF(Z328="si",15,"")</f>
        <v/>
      </c>
      <c r="AB328" s="150"/>
      <c r="AC328" s="27" t="str">
        <f t="shared" ref="AC328:AC366" si="73">+IF(AB328="si",15,"")</f>
        <v/>
      </c>
      <c r="AD328" s="150"/>
      <c r="AE328" s="27" t="str">
        <f t="shared" ref="AE328:AE366" si="74">+IF(AD328="Completa",10,IF(AD328="Incompleta",5,""))</f>
        <v/>
      </c>
      <c r="AF328" s="48" t="str">
        <f t="shared" ref="AF328:AF366" si="75">IF((SUM(S328,U328,W328,Y328,AA328,AC328,AE328)=0),"",(SUM(S328,U328,W328,Y328,AA328,AC328,AE328)))</f>
        <v/>
      </c>
      <c r="AG328" s="48" t="str">
        <f t="shared" ref="AG328:AG366" si="76">IF(AF328&lt;=85,"Débil",IF(AF328&lt;=95,"Moderado",IF(AF328=100,"Fuerte","")))</f>
        <v/>
      </c>
      <c r="AH328" s="131"/>
      <c r="AI328" s="149" t="str">
        <f t="shared" si="65"/>
        <v>Débil</v>
      </c>
      <c r="AJ328" s="21" t="str">
        <f>IFERROR(VLOOKUP((CONCATENATE(AG328,AI328)),Listados!$U$3:$V$11,2,FALSE),"")</f>
        <v/>
      </c>
      <c r="AK328" s="48">
        <f t="shared" si="66"/>
        <v>100</v>
      </c>
      <c r="AL328" s="431"/>
      <c r="AM328" s="433"/>
      <c r="AN328" s="169">
        <f>+IF(AND(Q328="Preventivo",AM325="Fuerte"),2,IF(AND(Q328="Preventivo",AM325="Moderado"),1,0))</f>
        <v>0</v>
      </c>
      <c r="AO328" s="169">
        <f t="shared" si="67"/>
        <v>0</v>
      </c>
      <c r="AP328" s="169">
        <f>+K325-AN328</f>
        <v>2</v>
      </c>
      <c r="AQ328" s="169">
        <f>+M325-AO328</f>
        <v>3</v>
      </c>
      <c r="AR328" s="422"/>
      <c r="AS328" s="422"/>
      <c r="AT328" s="422"/>
      <c r="AU328" s="422"/>
      <c r="AV328" s="387"/>
      <c r="AW328" s="388"/>
      <c r="AX328" s="389"/>
      <c r="AY328" s="387"/>
      <c r="AZ328" s="388"/>
      <c r="BA328" s="389"/>
      <c r="BB328" s="387"/>
      <c r="BC328" s="388"/>
      <c r="BD328" s="389"/>
    </row>
    <row r="329" spans="1:56" ht="15.75" thickBot="1">
      <c r="A329" s="405"/>
      <c r="B329" s="439"/>
      <c r="C329" s="440"/>
      <c r="D329" s="443"/>
      <c r="E329" s="109"/>
      <c r="F329" s="109"/>
      <c r="G329" s="28"/>
      <c r="H329" s="29"/>
      <c r="I329" s="129"/>
      <c r="J329" s="446"/>
      <c r="K329" s="425"/>
      <c r="L329" s="428"/>
      <c r="M329" s="425"/>
      <c r="N329" s="429"/>
      <c r="O329" s="47" t="s">
        <v>627</v>
      </c>
      <c r="P329" s="172"/>
      <c r="Q329" s="172"/>
      <c r="R329" s="172"/>
      <c r="S329" s="27" t="str">
        <f t="shared" si="68"/>
        <v/>
      </c>
      <c r="T329" s="172"/>
      <c r="U329" s="27" t="str">
        <f t="shared" si="69"/>
        <v/>
      </c>
      <c r="V329" s="150"/>
      <c r="W329" s="27" t="str">
        <f t="shared" si="70"/>
        <v/>
      </c>
      <c r="X329" s="150"/>
      <c r="Y329" s="27" t="str">
        <f t="shared" si="71"/>
        <v/>
      </c>
      <c r="Z329" s="150"/>
      <c r="AA329" s="27" t="str">
        <f t="shared" si="72"/>
        <v/>
      </c>
      <c r="AB329" s="150"/>
      <c r="AC329" s="27" t="str">
        <f t="shared" si="73"/>
        <v/>
      </c>
      <c r="AD329" s="150"/>
      <c r="AE329" s="27" t="str">
        <f t="shared" si="74"/>
        <v/>
      </c>
      <c r="AF329" s="48" t="str">
        <f t="shared" si="75"/>
        <v/>
      </c>
      <c r="AG329" s="48" t="str">
        <f t="shared" si="76"/>
        <v/>
      </c>
      <c r="AH329" s="131"/>
      <c r="AI329" s="149" t="str">
        <f t="shared" ref="AI329:AI366" si="77">+IF(AH329="siempre","Fuerte",IF(AH329="Algunas veces","Moderado","Débil"))</f>
        <v>Débil</v>
      </c>
      <c r="AJ329" s="21" t="str">
        <f>IFERROR(VLOOKUP((CONCATENATE(AG329,AI329)),Listados!$U$3:$V$11,2,FALSE),"")</f>
        <v/>
      </c>
      <c r="AK329" s="48">
        <f t="shared" ref="AK329:AK366" si="78">IF(ISBLANK(AJ329),"",IF(AJ329="Débil", 0, IF(AJ329="Moderado",50,100)))</f>
        <v>100</v>
      </c>
      <c r="AL329" s="431"/>
      <c r="AM329" s="433"/>
      <c r="AN329" s="169">
        <f>+IF(AND(Q329="Preventivo",AM325="Fuerte"),2,IF(AND(Q329="Preventivo",AM325="Moderado"),1,0))</f>
        <v>0</v>
      </c>
      <c r="AO329" s="169">
        <f t="shared" si="67"/>
        <v>0</v>
      </c>
      <c r="AP329" s="169">
        <f>+K325-AN329</f>
        <v>2</v>
      </c>
      <c r="AQ329" s="169">
        <f>+M325-AO329</f>
        <v>3</v>
      </c>
      <c r="AR329" s="422"/>
      <c r="AS329" s="422"/>
      <c r="AT329" s="422"/>
      <c r="AU329" s="422"/>
      <c r="AV329" s="387"/>
      <c r="AW329" s="388"/>
      <c r="AX329" s="389"/>
      <c r="AY329" s="387"/>
      <c r="AZ329" s="388"/>
      <c r="BA329" s="389"/>
      <c r="BB329" s="387"/>
      <c r="BC329" s="388"/>
      <c r="BD329" s="389"/>
    </row>
    <row r="330" spans="1:56" ht="15.75" thickBot="1">
      <c r="A330" s="406"/>
      <c r="B330" s="439"/>
      <c r="C330" s="441"/>
      <c r="D330" s="444"/>
      <c r="E330" s="106"/>
      <c r="F330" s="106"/>
      <c r="G330" s="30"/>
      <c r="H330" s="31"/>
      <c r="I330" s="129"/>
      <c r="J330" s="446"/>
      <c r="K330" s="426"/>
      <c r="L330" s="428"/>
      <c r="M330" s="426"/>
      <c r="N330" s="429"/>
      <c r="O330" s="47" t="s">
        <v>627</v>
      </c>
      <c r="P330" s="172"/>
      <c r="Q330" s="172"/>
      <c r="R330" s="172"/>
      <c r="S330" s="27" t="str">
        <f t="shared" si="68"/>
        <v/>
      </c>
      <c r="T330" s="172"/>
      <c r="U330" s="27" t="str">
        <f t="shared" si="69"/>
        <v/>
      </c>
      <c r="V330" s="150"/>
      <c r="W330" s="27" t="str">
        <f t="shared" si="70"/>
        <v/>
      </c>
      <c r="X330" s="150"/>
      <c r="Y330" s="27" t="str">
        <f t="shared" si="71"/>
        <v/>
      </c>
      <c r="Z330" s="150"/>
      <c r="AA330" s="27" t="str">
        <f t="shared" si="72"/>
        <v/>
      </c>
      <c r="AB330" s="150"/>
      <c r="AC330" s="27" t="str">
        <f t="shared" si="73"/>
        <v/>
      </c>
      <c r="AD330" s="150"/>
      <c r="AE330" s="27" t="str">
        <f t="shared" si="74"/>
        <v/>
      </c>
      <c r="AF330" s="48" t="str">
        <f t="shared" si="75"/>
        <v/>
      </c>
      <c r="AG330" s="48" t="str">
        <f t="shared" si="76"/>
        <v/>
      </c>
      <c r="AH330" s="131"/>
      <c r="AI330" s="149" t="str">
        <f t="shared" si="77"/>
        <v>Débil</v>
      </c>
      <c r="AJ330" s="21" t="str">
        <f>IFERROR(VLOOKUP((CONCATENATE(AG330,AI330)),Listados!$U$3:$V$11,2,FALSE),"")</f>
        <v/>
      </c>
      <c r="AK330" s="48">
        <f t="shared" si="78"/>
        <v>100</v>
      </c>
      <c r="AL330" s="432"/>
      <c r="AM330" s="433"/>
      <c r="AN330" s="169">
        <f>+IF(AND(Q330="Preventivo",AM325="Fuerte"),2,IF(AND(Q330="Preventivo",AM325="Moderado"),1,0))</f>
        <v>0</v>
      </c>
      <c r="AO330" s="169">
        <f t="shared" si="67"/>
        <v>0</v>
      </c>
      <c r="AP330" s="169">
        <f>+K325-AN330</f>
        <v>2</v>
      </c>
      <c r="AQ330" s="169">
        <f>+M325-AO330</f>
        <v>3</v>
      </c>
      <c r="AR330" s="423"/>
      <c r="AS330" s="423"/>
      <c r="AT330" s="423"/>
      <c r="AU330" s="423"/>
      <c r="AV330" s="387"/>
      <c r="AW330" s="388"/>
      <c r="AX330" s="389"/>
      <c r="AY330" s="387"/>
      <c r="AZ330" s="388"/>
      <c r="BA330" s="389"/>
      <c r="BB330" s="387"/>
      <c r="BC330" s="388"/>
      <c r="BD330" s="389"/>
    </row>
    <row r="331" spans="1:56" ht="15.75" thickBot="1">
      <c r="A331" s="404">
        <v>55</v>
      </c>
      <c r="B331" s="449"/>
      <c r="C331" s="447" t="str">
        <f>IFERROR(VLOOKUP(B331,Listados!B$3:C$20,2,FALSE),"")</f>
        <v/>
      </c>
      <c r="D331" s="448"/>
      <c r="E331" s="107"/>
      <c r="F331" s="107"/>
      <c r="G331" s="100"/>
      <c r="H331" s="103"/>
      <c r="I331" s="17"/>
      <c r="J331" s="445"/>
      <c r="K331" s="424" t="e">
        <f>+VLOOKUP(J331,Listados!$K$8:$L$12,2,0)</f>
        <v>#N/A</v>
      </c>
      <c r="L331" s="427"/>
      <c r="M331" s="424" t="e">
        <f>+VLOOKUP(L331,Listados!$K$13:$L$17,2,0)</f>
        <v>#N/A</v>
      </c>
      <c r="N331" s="423" t="str">
        <f>IF(AND(J331&lt;&gt;"",L331&lt;&gt;""),VLOOKUP(J331&amp;L331,Listados!$M$3:$N$27,2,FALSE),"")</f>
        <v/>
      </c>
      <c r="O331" s="47" t="s">
        <v>627</v>
      </c>
      <c r="P331" s="172"/>
      <c r="Q331" s="172"/>
      <c r="R331" s="172"/>
      <c r="S331" s="27" t="str">
        <f t="shared" si="68"/>
        <v/>
      </c>
      <c r="T331" s="172"/>
      <c r="U331" s="27" t="str">
        <f t="shared" si="69"/>
        <v/>
      </c>
      <c r="V331" s="150"/>
      <c r="W331" s="27" t="str">
        <f t="shared" si="70"/>
        <v/>
      </c>
      <c r="X331" s="150"/>
      <c r="Y331" s="27" t="str">
        <f t="shared" si="71"/>
        <v/>
      </c>
      <c r="Z331" s="150"/>
      <c r="AA331" s="27" t="str">
        <f t="shared" si="72"/>
        <v/>
      </c>
      <c r="AB331" s="150"/>
      <c r="AC331" s="27" t="str">
        <f t="shared" si="73"/>
        <v/>
      </c>
      <c r="AD331" s="150"/>
      <c r="AE331" s="27" t="str">
        <f t="shared" si="74"/>
        <v/>
      </c>
      <c r="AF331" s="48" t="str">
        <f t="shared" si="75"/>
        <v/>
      </c>
      <c r="AG331" s="48" t="str">
        <f t="shared" si="76"/>
        <v/>
      </c>
      <c r="AH331" s="131"/>
      <c r="AI331" s="149" t="str">
        <f t="shared" si="77"/>
        <v>Débil</v>
      </c>
      <c r="AJ331" s="21" t="str">
        <f>IFERROR(VLOOKUP((CONCATENATE(AG331,AI331)),Listados!$U$3:$V$11,2,FALSE),"")</f>
        <v/>
      </c>
      <c r="AK331" s="48">
        <f t="shared" si="78"/>
        <v>100</v>
      </c>
      <c r="AL331" s="430">
        <f>AVERAGE(AK331:AK336)</f>
        <v>100</v>
      </c>
      <c r="AM331" s="432" t="str">
        <f>IF(AL331&lt;=50, "Débil", IF(AL331&lt;=99,"Moderado","Fuerte"))</f>
        <v>Fuerte</v>
      </c>
      <c r="AN331" s="169">
        <f>+IF(AND(Q331="Preventivo",AM331="Fuerte"),2,IF(AND(Q331="Preventivo",AM331="Moderado"),1,0))</f>
        <v>0</v>
      </c>
      <c r="AO331" s="169">
        <f t="shared" si="67"/>
        <v>0</v>
      </c>
      <c r="AP331" s="169" t="e">
        <f>+K331-AN331</f>
        <v>#N/A</v>
      </c>
      <c r="AQ331" s="169" t="e">
        <f>+M331-AO331</f>
        <v>#N/A</v>
      </c>
      <c r="AR331" s="421" t="e">
        <f>+VLOOKUP(MIN(AP331,AP332,AP333,AP334,AP335,AP336),Listados!$J$18:$K$24,2,TRUE)</f>
        <v>#N/A</v>
      </c>
      <c r="AS331" s="421" t="e">
        <f>+VLOOKUP(MIN(AQ331,AQ332,AQ333,AQ334,AQ335,AQ336),Listados!$J$27:$K$32,2,TRUE)</f>
        <v>#N/A</v>
      </c>
      <c r="AT331" s="421" t="e">
        <f>IF(AND(AR331&lt;&gt;"",AS331&lt;&gt;""),VLOOKUP(AR331&amp;AS331,Listados!$M$3:$N$27,2,FALSE),"")</f>
        <v>#N/A</v>
      </c>
      <c r="AU331" s="421" t="e">
        <f>+VLOOKUP(AT331,Listados!$P$3:$Q$6,2,FALSE)</f>
        <v>#N/A</v>
      </c>
      <c r="AV331" s="387"/>
      <c r="AW331" s="388"/>
      <c r="AX331" s="389"/>
      <c r="AY331" s="387"/>
      <c r="AZ331" s="388"/>
      <c r="BA331" s="389"/>
      <c r="BB331" s="387"/>
      <c r="BC331" s="388"/>
      <c r="BD331" s="389"/>
    </row>
    <row r="332" spans="1:56" ht="15.75" thickBot="1">
      <c r="A332" s="405"/>
      <c r="B332" s="439"/>
      <c r="C332" s="440"/>
      <c r="D332" s="443"/>
      <c r="E332" s="152"/>
      <c r="F332" s="152"/>
      <c r="G332" s="128"/>
      <c r="H332" s="147"/>
      <c r="I332" s="129"/>
      <c r="J332" s="446"/>
      <c r="K332" s="425"/>
      <c r="L332" s="428"/>
      <c r="M332" s="425"/>
      <c r="N332" s="429"/>
      <c r="O332" s="47" t="s">
        <v>627</v>
      </c>
      <c r="P332" s="172"/>
      <c r="Q332" s="172"/>
      <c r="R332" s="172"/>
      <c r="S332" s="27" t="str">
        <f t="shared" si="68"/>
        <v/>
      </c>
      <c r="T332" s="172"/>
      <c r="U332" s="27" t="str">
        <f t="shared" si="69"/>
        <v/>
      </c>
      <c r="V332" s="150"/>
      <c r="W332" s="27" t="str">
        <f t="shared" si="70"/>
        <v/>
      </c>
      <c r="X332" s="150"/>
      <c r="Y332" s="27" t="str">
        <f t="shared" si="71"/>
        <v/>
      </c>
      <c r="Z332" s="150"/>
      <c r="AA332" s="27" t="str">
        <f t="shared" si="72"/>
        <v/>
      </c>
      <c r="AB332" s="150"/>
      <c r="AC332" s="27" t="str">
        <f t="shared" si="73"/>
        <v/>
      </c>
      <c r="AD332" s="150"/>
      <c r="AE332" s="27" t="str">
        <f t="shared" si="74"/>
        <v/>
      </c>
      <c r="AF332" s="48" t="str">
        <f t="shared" si="75"/>
        <v/>
      </c>
      <c r="AG332" s="48" t="str">
        <f t="shared" si="76"/>
        <v/>
      </c>
      <c r="AH332" s="131"/>
      <c r="AI332" s="149" t="str">
        <f t="shared" si="77"/>
        <v>Débil</v>
      </c>
      <c r="AJ332" s="21" t="str">
        <f>IFERROR(VLOOKUP((CONCATENATE(AG332,AI332)),Listados!$U$3:$V$11,2,FALSE),"")</f>
        <v/>
      </c>
      <c r="AK332" s="48">
        <f t="shared" si="78"/>
        <v>100</v>
      </c>
      <c r="AL332" s="431"/>
      <c r="AM332" s="433"/>
      <c r="AN332" s="169">
        <f>+IF(AND(Q332="Preventivo",AM331="Fuerte"),2,IF(AND(Q332="Preventivo",AM331="Moderado"),1,0))</f>
        <v>0</v>
      </c>
      <c r="AO332" s="169">
        <f t="shared" si="67"/>
        <v>0</v>
      </c>
      <c r="AP332" s="169" t="e">
        <f>+K331-AN332</f>
        <v>#N/A</v>
      </c>
      <c r="AQ332" s="169" t="e">
        <f>+M331-AO332</f>
        <v>#N/A</v>
      </c>
      <c r="AR332" s="422"/>
      <c r="AS332" s="422"/>
      <c r="AT332" s="422"/>
      <c r="AU332" s="422"/>
      <c r="AV332" s="387"/>
      <c r="AW332" s="388"/>
      <c r="AX332" s="389"/>
      <c r="AY332" s="387"/>
      <c r="AZ332" s="388"/>
      <c r="BA332" s="389"/>
      <c r="BB332" s="387"/>
      <c r="BC332" s="388"/>
      <c r="BD332" s="389"/>
    </row>
    <row r="333" spans="1:56" ht="15.75" thickBot="1">
      <c r="A333" s="405"/>
      <c r="B333" s="439"/>
      <c r="C333" s="440"/>
      <c r="D333" s="443"/>
      <c r="E333" s="152"/>
      <c r="F333" s="152"/>
      <c r="G333" s="128"/>
      <c r="H333" s="147"/>
      <c r="I333" s="129"/>
      <c r="J333" s="446"/>
      <c r="K333" s="425"/>
      <c r="L333" s="428"/>
      <c r="M333" s="425"/>
      <c r="N333" s="429"/>
      <c r="O333" s="47" t="s">
        <v>627</v>
      </c>
      <c r="P333" s="172"/>
      <c r="Q333" s="172"/>
      <c r="R333" s="172"/>
      <c r="S333" s="27" t="str">
        <f t="shared" si="68"/>
        <v/>
      </c>
      <c r="T333" s="172"/>
      <c r="U333" s="27" t="str">
        <f t="shared" si="69"/>
        <v/>
      </c>
      <c r="V333" s="150"/>
      <c r="W333" s="27" t="str">
        <f t="shared" si="70"/>
        <v/>
      </c>
      <c r="X333" s="150"/>
      <c r="Y333" s="27" t="str">
        <f t="shared" si="71"/>
        <v/>
      </c>
      <c r="Z333" s="150"/>
      <c r="AA333" s="27" t="str">
        <f t="shared" si="72"/>
        <v/>
      </c>
      <c r="AB333" s="150"/>
      <c r="AC333" s="27" t="str">
        <f t="shared" si="73"/>
        <v/>
      </c>
      <c r="AD333" s="150"/>
      <c r="AE333" s="27" t="str">
        <f t="shared" si="74"/>
        <v/>
      </c>
      <c r="AF333" s="48" t="str">
        <f t="shared" si="75"/>
        <v/>
      </c>
      <c r="AG333" s="48" t="str">
        <f t="shared" si="76"/>
        <v/>
      </c>
      <c r="AH333" s="131"/>
      <c r="AI333" s="149" t="str">
        <f t="shared" si="77"/>
        <v>Débil</v>
      </c>
      <c r="AJ333" s="21" t="str">
        <f>IFERROR(VLOOKUP((CONCATENATE(AG333,AI333)),Listados!$U$3:$V$11,2,FALSE),"")</f>
        <v/>
      </c>
      <c r="AK333" s="48">
        <f t="shared" si="78"/>
        <v>100</v>
      </c>
      <c r="AL333" s="431"/>
      <c r="AM333" s="433"/>
      <c r="AN333" s="169">
        <f>+IF(AND(Q333="Preventivo",AM331="Fuerte"),2,IF(AND(Q333="Preventivo",AM331="Moderado"),1,0))</f>
        <v>0</v>
      </c>
      <c r="AO333" s="169">
        <f t="shared" si="67"/>
        <v>0</v>
      </c>
      <c r="AP333" s="169" t="e">
        <f>+K331-AN333</f>
        <v>#N/A</v>
      </c>
      <c r="AQ333" s="169" t="e">
        <f>+M331-AO333</f>
        <v>#N/A</v>
      </c>
      <c r="AR333" s="422"/>
      <c r="AS333" s="422"/>
      <c r="AT333" s="422"/>
      <c r="AU333" s="422"/>
      <c r="AV333" s="387"/>
      <c r="AW333" s="388"/>
      <c r="AX333" s="389"/>
      <c r="AY333" s="387"/>
      <c r="AZ333" s="388"/>
      <c r="BA333" s="389"/>
      <c r="BB333" s="387"/>
      <c r="BC333" s="388"/>
      <c r="BD333" s="389"/>
    </row>
    <row r="334" spans="1:56" ht="15.75" thickBot="1">
      <c r="A334" s="405"/>
      <c r="B334" s="439"/>
      <c r="C334" s="440"/>
      <c r="D334" s="443"/>
      <c r="E334" s="152"/>
      <c r="F334" s="152"/>
      <c r="G334" s="190"/>
      <c r="H334" s="147"/>
      <c r="I334" s="129"/>
      <c r="J334" s="446"/>
      <c r="K334" s="425"/>
      <c r="L334" s="428"/>
      <c r="M334" s="425"/>
      <c r="N334" s="429"/>
      <c r="O334" s="47" t="s">
        <v>627</v>
      </c>
      <c r="P334" s="172"/>
      <c r="Q334" s="172"/>
      <c r="R334" s="172"/>
      <c r="S334" s="27" t="str">
        <f t="shared" si="68"/>
        <v/>
      </c>
      <c r="T334" s="172"/>
      <c r="U334" s="27" t="str">
        <f t="shared" si="69"/>
        <v/>
      </c>
      <c r="V334" s="150"/>
      <c r="W334" s="27" t="str">
        <f t="shared" si="70"/>
        <v/>
      </c>
      <c r="X334" s="150"/>
      <c r="Y334" s="27" t="str">
        <f t="shared" si="71"/>
        <v/>
      </c>
      <c r="Z334" s="150"/>
      <c r="AA334" s="27" t="str">
        <f t="shared" si="72"/>
        <v/>
      </c>
      <c r="AB334" s="150"/>
      <c r="AC334" s="27" t="str">
        <f t="shared" si="73"/>
        <v/>
      </c>
      <c r="AD334" s="150"/>
      <c r="AE334" s="27" t="str">
        <f t="shared" si="74"/>
        <v/>
      </c>
      <c r="AF334" s="48" t="str">
        <f t="shared" si="75"/>
        <v/>
      </c>
      <c r="AG334" s="48" t="str">
        <f t="shared" si="76"/>
        <v/>
      </c>
      <c r="AH334" s="131"/>
      <c r="AI334" s="149" t="str">
        <f t="shared" si="77"/>
        <v>Débil</v>
      </c>
      <c r="AJ334" s="21" t="str">
        <f>IFERROR(VLOOKUP((CONCATENATE(AG334,AI334)),Listados!$U$3:$V$11,2,FALSE),"")</f>
        <v/>
      </c>
      <c r="AK334" s="48">
        <f t="shared" si="78"/>
        <v>100</v>
      </c>
      <c r="AL334" s="431"/>
      <c r="AM334" s="433"/>
      <c r="AN334" s="169">
        <f>+IF(AND(Q334="Preventivo",AM331="Fuerte"),2,IF(AND(Q334="Preventivo",AM331="Moderado"),1,0))</f>
        <v>0</v>
      </c>
      <c r="AO334" s="169">
        <f t="shared" ref="AO334:AO366" si="79">+IF(AND(Q334="Detectivo",$AM$7="Fuerte"),2,IF(AND(Q334="Detectivo",$AM$7="Moderado"),1,IF(AND(Q334="Preventivo",$AM$7="Fuerte"),1,0)))</f>
        <v>0</v>
      </c>
      <c r="AP334" s="169" t="e">
        <f>+K331-AN334</f>
        <v>#N/A</v>
      </c>
      <c r="AQ334" s="169" t="e">
        <f>+M331-AO334</f>
        <v>#N/A</v>
      </c>
      <c r="AR334" s="422"/>
      <c r="AS334" s="422"/>
      <c r="AT334" s="422"/>
      <c r="AU334" s="422"/>
      <c r="AV334" s="387"/>
      <c r="AW334" s="388"/>
      <c r="AX334" s="389"/>
      <c r="AY334" s="387"/>
      <c r="AZ334" s="388"/>
      <c r="BA334" s="389"/>
      <c r="BB334" s="387"/>
      <c r="BC334" s="388"/>
      <c r="BD334" s="389"/>
    </row>
    <row r="335" spans="1:56" ht="15.75" thickBot="1">
      <c r="A335" s="405"/>
      <c r="B335" s="439"/>
      <c r="C335" s="440"/>
      <c r="D335" s="443"/>
      <c r="E335" s="109"/>
      <c r="F335" s="109"/>
      <c r="G335" s="28"/>
      <c r="H335" s="29"/>
      <c r="I335" s="129"/>
      <c r="J335" s="446"/>
      <c r="K335" s="425"/>
      <c r="L335" s="428"/>
      <c r="M335" s="425"/>
      <c r="N335" s="429"/>
      <c r="O335" s="47" t="s">
        <v>627</v>
      </c>
      <c r="P335" s="172"/>
      <c r="Q335" s="172"/>
      <c r="R335" s="172"/>
      <c r="S335" s="27" t="str">
        <f t="shared" si="68"/>
        <v/>
      </c>
      <c r="T335" s="172"/>
      <c r="U335" s="27" t="str">
        <f t="shared" si="69"/>
        <v/>
      </c>
      <c r="V335" s="150"/>
      <c r="W335" s="27" t="str">
        <f t="shared" si="70"/>
        <v/>
      </c>
      <c r="X335" s="150"/>
      <c r="Y335" s="27" t="str">
        <f t="shared" si="71"/>
        <v/>
      </c>
      <c r="Z335" s="150"/>
      <c r="AA335" s="27" t="str">
        <f t="shared" si="72"/>
        <v/>
      </c>
      <c r="AB335" s="150"/>
      <c r="AC335" s="27" t="str">
        <f t="shared" si="73"/>
        <v/>
      </c>
      <c r="AD335" s="150"/>
      <c r="AE335" s="27" t="str">
        <f t="shared" si="74"/>
        <v/>
      </c>
      <c r="AF335" s="48" t="str">
        <f t="shared" si="75"/>
        <v/>
      </c>
      <c r="AG335" s="48" t="str">
        <f t="shared" si="76"/>
        <v/>
      </c>
      <c r="AH335" s="131"/>
      <c r="AI335" s="149" t="str">
        <f t="shared" si="77"/>
        <v>Débil</v>
      </c>
      <c r="AJ335" s="21" t="str">
        <f>IFERROR(VLOOKUP((CONCATENATE(AG335,AI335)),Listados!$U$3:$V$11,2,FALSE),"")</f>
        <v/>
      </c>
      <c r="AK335" s="48">
        <f t="shared" si="78"/>
        <v>100</v>
      </c>
      <c r="AL335" s="431"/>
      <c r="AM335" s="433"/>
      <c r="AN335" s="169">
        <f>+IF(AND(Q335="Preventivo",AM331="Fuerte"),2,IF(AND(Q335="Preventivo",AM331="Moderado"),1,0))</f>
        <v>0</v>
      </c>
      <c r="AO335" s="169">
        <f t="shared" si="79"/>
        <v>0</v>
      </c>
      <c r="AP335" s="169" t="e">
        <f>+K331-AN335</f>
        <v>#N/A</v>
      </c>
      <c r="AQ335" s="169" t="e">
        <f>+M331-AO335</f>
        <v>#N/A</v>
      </c>
      <c r="AR335" s="422"/>
      <c r="AS335" s="422"/>
      <c r="AT335" s="422"/>
      <c r="AU335" s="422"/>
      <c r="AV335" s="387"/>
      <c r="AW335" s="388"/>
      <c r="AX335" s="389"/>
      <c r="AY335" s="387"/>
      <c r="AZ335" s="388"/>
      <c r="BA335" s="389"/>
      <c r="BB335" s="387"/>
      <c r="BC335" s="388"/>
      <c r="BD335" s="389"/>
    </row>
    <row r="336" spans="1:56" ht="15.75" thickBot="1">
      <c r="A336" s="406"/>
      <c r="B336" s="439"/>
      <c r="C336" s="441"/>
      <c r="D336" s="444"/>
      <c r="E336" s="106"/>
      <c r="F336" s="106"/>
      <c r="G336" s="30"/>
      <c r="H336" s="31"/>
      <c r="I336" s="129"/>
      <c r="J336" s="446"/>
      <c r="K336" s="426"/>
      <c r="L336" s="428"/>
      <c r="M336" s="426"/>
      <c r="N336" s="429"/>
      <c r="O336" s="47" t="s">
        <v>627</v>
      </c>
      <c r="P336" s="172"/>
      <c r="Q336" s="172"/>
      <c r="R336" s="172"/>
      <c r="S336" s="27" t="str">
        <f t="shared" si="68"/>
        <v/>
      </c>
      <c r="T336" s="172"/>
      <c r="U336" s="27" t="str">
        <f t="shared" si="69"/>
        <v/>
      </c>
      <c r="V336" s="150"/>
      <c r="W336" s="27" t="str">
        <f t="shared" si="70"/>
        <v/>
      </c>
      <c r="X336" s="150"/>
      <c r="Y336" s="27" t="str">
        <f t="shared" si="71"/>
        <v/>
      </c>
      <c r="Z336" s="150"/>
      <c r="AA336" s="27" t="str">
        <f t="shared" si="72"/>
        <v/>
      </c>
      <c r="AB336" s="150"/>
      <c r="AC336" s="27" t="str">
        <f t="shared" si="73"/>
        <v/>
      </c>
      <c r="AD336" s="150"/>
      <c r="AE336" s="27" t="str">
        <f t="shared" si="74"/>
        <v/>
      </c>
      <c r="AF336" s="48" t="str">
        <f t="shared" si="75"/>
        <v/>
      </c>
      <c r="AG336" s="48" t="str">
        <f t="shared" si="76"/>
        <v/>
      </c>
      <c r="AH336" s="131"/>
      <c r="AI336" s="149" t="str">
        <f t="shared" si="77"/>
        <v>Débil</v>
      </c>
      <c r="AJ336" s="21" t="str">
        <f>IFERROR(VLOOKUP((CONCATENATE(AG336,AI336)),Listados!$U$3:$V$11,2,FALSE),"")</f>
        <v/>
      </c>
      <c r="AK336" s="48">
        <f t="shared" si="78"/>
        <v>100</v>
      </c>
      <c r="AL336" s="432"/>
      <c r="AM336" s="433"/>
      <c r="AN336" s="169">
        <f>+IF(AND(Q336="Preventivo",AM331="Fuerte"),2,IF(AND(Q336="Preventivo",AM331="Moderado"),1,0))</f>
        <v>0</v>
      </c>
      <c r="AO336" s="169">
        <f t="shared" si="79"/>
        <v>0</v>
      </c>
      <c r="AP336" s="169" t="e">
        <f>+K331-AN336</f>
        <v>#N/A</v>
      </c>
      <c r="AQ336" s="169" t="e">
        <f>+M331-AO336</f>
        <v>#N/A</v>
      </c>
      <c r="AR336" s="423"/>
      <c r="AS336" s="423"/>
      <c r="AT336" s="423"/>
      <c r="AU336" s="423"/>
      <c r="AV336" s="387"/>
      <c r="AW336" s="388"/>
      <c r="AX336" s="389"/>
      <c r="AY336" s="387"/>
      <c r="AZ336" s="388"/>
      <c r="BA336" s="389"/>
      <c r="BB336" s="387"/>
      <c r="BC336" s="388"/>
      <c r="BD336" s="389"/>
    </row>
    <row r="337" spans="1:56" ht="15.75" thickBot="1">
      <c r="A337" s="404">
        <v>56</v>
      </c>
      <c r="B337" s="449"/>
      <c r="C337" s="447" t="str">
        <f>IFERROR(VLOOKUP(B337,Listados!B$3:C$20,2,FALSE),"")</f>
        <v/>
      </c>
      <c r="D337" s="448"/>
      <c r="E337" s="107"/>
      <c r="F337" s="107"/>
      <c r="G337" s="100"/>
      <c r="H337" s="103"/>
      <c r="I337" s="17"/>
      <c r="J337" s="445"/>
      <c r="K337" s="424" t="e">
        <f>+VLOOKUP(J337,Listados!$K$8:$L$12,2,0)</f>
        <v>#N/A</v>
      </c>
      <c r="L337" s="427"/>
      <c r="M337" s="424" t="e">
        <f>+VLOOKUP(L337,Listados!$K$13:$L$17,2,0)</f>
        <v>#N/A</v>
      </c>
      <c r="N337" s="423" t="str">
        <f>IF(AND(J337&lt;&gt;"",L337&lt;&gt;""),VLOOKUP(J337&amp;L337,Listados!$M$3:$N$27,2,FALSE),"")</f>
        <v/>
      </c>
      <c r="O337" s="47" t="s">
        <v>627</v>
      </c>
      <c r="P337" s="172"/>
      <c r="Q337" s="172"/>
      <c r="R337" s="172"/>
      <c r="S337" s="27" t="str">
        <f t="shared" si="68"/>
        <v/>
      </c>
      <c r="T337" s="172"/>
      <c r="U337" s="27" t="str">
        <f t="shared" si="69"/>
        <v/>
      </c>
      <c r="V337" s="150"/>
      <c r="W337" s="27" t="str">
        <f t="shared" si="70"/>
        <v/>
      </c>
      <c r="X337" s="150"/>
      <c r="Y337" s="27" t="str">
        <f t="shared" si="71"/>
        <v/>
      </c>
      <c r="Z337" s="150"/>
      <c r="AA337" s="27" t="str">
        <f t="shared" si="72"/>
        <v/>
      </c>
      <c r="AB337" s="150"/>
      <c r="AC337" s="27" t="str">
        <f t="shared" si="73"/>
        <v/>
      </c>
      <c r="AD337" s="150"/>
      <c r="AE337" s="27" t="str">
        <f t="shared" si="74"/>
        <v/>
      </c>
      <c r="AF337" s="48" t="str">
        <f t="shared" si="75"/>
        <v/>
      </c>
      <c r="AG337" s="48" t="str">
        <f t="shared" si="76"/>
        <v/>
      </c>
      <c r="AH337" s="131"/>
      <c r="AI337" s="149" t="str">
        <f t="shared" si="77"/>
        <v>Débil</v>
      </c>
      <c r="AJ337" s="21" t="str">
        <f>IFERROR(VLOOKUP((CONCATENATE(AG337,AI337)),Listados!$U$3:$V$11,2,FALSE),"")</f>
        <v/>
      </c>
      <c r="AK337" s="48">
        <f t="shared" si="78"/>
        <v>100</v>
      </c>
      <c r="AL337" s="430">
        <f>AVERAGE(AK337:AK342)</f>
        <v>100</v>
      </c>
      <c r="AM337" s="432" t="str">
        <f>IF(AL337&lt;=50, "Débil", IF(AL337&lt;=99,"Moderado","Fuerte"))</f>
        <v>Fuerte</v>
      </c>
      <c r="AN337" s="169">
        <f>+IF(AND(Q337="Preventivo",AM337="Fuerte"),2,IF(AND(Q337="Preventivo",AM337="Moderado"),1,0))</f>
        <v>0</v>
      </c>
      <c r="AO337" s="169">
        <f t="shared" si="79"/>
        <v>0</v>
      </c>
      <c r="AP337" s="169" t="e">
        <f>+K337-AN337</f>
        <v>#N/A</v>
      </c>
      <c r="AQ337" s="169" t="e">
        <f>+M337-AO337</f>
        <v>#N/A</v>
      </c>
      <c r="AR337" s="421" t="e">
        <f>+VLOOKUP(MIN(AP337,AP338,AP339,AP340,AP341,AP342),Listados!$J$18:$K$24,2,TRUE)</f>
        <v>#N/A</v>
      </c>
      <c r="AS337" s="421" t="e">
        <f>+VLOOKUP(MIN(AQ337,AQ338,AQ339,AQ340,AQ341,AQ342),Listados!$J$27:$K$32,2,TRUE)</f>
        <v>#N/A</v>
      </c>
      <c r="AT337" s="421" t="e">
        <f>IF(AND(AR337&lt;&gt;"",AS337&lt;&gt;""),VLOOKUP(AR337&amp;AS337,Listados!$M$3:$N$27,2,FALSE),"")</f>
        <v>#N/A</v>
      </c>
      <c r="AU337" s="421" t="e">
        <f>+VLOOKUP(AT337,Listados!$P$3:$Q$6,2,FALSE)</f>
        <v>#N/A</v>
      </c>
      <c r="AV337" s="387"/>
      <c r="AW337" s="388"/>
      <c r="AX337" s="389"/>
      <c r="AY337" s="387"/>
      <c r="AZ337" s="388"/>
      <c r="BA337" s="389"/>
      <c r="BB337" s="387"/>
      <c r="BC337" s="388"/>
      <c r="BD337" s="389"/>
    </row>
    <row r="338" spans="1:56" ht="15.75" thickBot="1">
      <c r="A338" s="405"/>
      <c r="B338" s="439"/>
      <c r="C338" s="440"/>
      <c r="D338" s="443"/>
      <c r="E338" s="152"/>
      <c r="F338" s="152"/>
      <c r="G338" s="128"/>
      <c r="H338" s="147"/>
      <c r="I338" s="129"/>
      <c r="J338" s="446"/>
      <c r="K338" s="425"/>
      <c r="L338" s="428"/>
      <c r="M338" s="425"/>
      <c r="N338" s="429"/>
      <c r="O338" s="47" t="s">
        <v>627</v>
      </c>
      <c r="P338" s="172"/>
      <c r="Q338" s="172"/>
      <c r="R338" s="172"/>
      <c r="S338" s="27" t="str">
        <f t="shared" si="68"/>
        <v/>
      </c>
      <c r="T338" s="172"/>
      <c r="U338" s="27" t="str">
        <f t="shared" si="69"/>
        <v/>
      </c>
      <c r="V338" s="150"/>
      <c r="W338" s="27" t="str">
        <f t="shared" si="70"/>
        <v/>
      </c>
      <c r="X338" s="150"/>
      <c r="Y338" s="27" t="str">
        <f t="shared" si="71"/>
        <v/>
      </c>
      <c r="Z338" s="150"/>
      <c r="AA338" s="27" t="str">
        <f t="shared" si="72"/>
        <v/>
      </c>
      <c r="AB338" s="150"/>
      <c r="AC338" s="27" t="str">
        <f t="shared" si="73"/>
        <v/>
      </c>
      <c r="AD338" s="150"/>
      <c r="AE338" s="27" t="str">
        <f t="shared" si="74"/>
        <v/>
      </c>
      <c r="AF338" s="48" t="str">
        <f t="shared" si="75"/>
        <v/>
      </c>
      <c r="AG338" s="48" t="str">
        <f t="shared" si="76"/>
        <v/>
      </c>
      <c r="AH338" s="131"/>
      <c r="AI338" s="149" t="str">
        <f t="shared" si="77"/>
        <v>Débil</v>
      </c>
      <c r="AJ338" s="21" t="str">
        <f>IFERROR(VLOOKUP((CONCATENATE(AG338,AI338)),Listados!$U$3:$V$11,2,FALSE),"")</f>
        <v/>
      </c>
      <c r="AK338" s="48">
        <f t="shared" si="78"/>
        <v>100</v>
      </c>
      <c r="AL338" s="431"/>
      <c r="AM338" s="433"/>
      <c r="AN338" s="169">
        <f>+IF(AND(Q338="Preventivo",AM337="Fuerte"),2,IF(AND(Q338="Preventivo",AM337="Moderado"),1,0))</f>
        <v>0</v>
      </c>
      <c r="AO338" s="169">
        <f t="shared" si="79"/>
        <v>0</v>
      </c>
      <c r="AP338" s="169" t="e">
        <f>+K337-AN338</f>
        <v>#N/A</v>
      </c>
      <c r="AQ338" s="169" t="e">
        <f>+M337-AO338</f>
        <v>#N/A</v>
      </c>
      <c r="AR338" s="422"/>
      <c r="AS338" s="422"/>
      <c r="AT338" s="422"/>
      <c r="AU338" s="422"/>
      <c r="AV338" s="387"/>
      <c r="AW338" s="388"/>
      <c r="AX338" s="389"/>
      <c r="AY338" s="387"/>
      <c r="AZ338" s="388"/>
      <c r="BA338" s="389"/>
      <c r="BB338" s="387"/>
      <c r="BC338" s="388"/>
      <c r="BD338" s="389"/>
    </row>
    <row r="339" spans="1:56" ht="15.75" thickBot="1">
      <c r="A339" s="405"/>
      <c r="B339" s="439"/>
      <c r="C339" s="440"/>
      <c r="D339" s="443"/>
      <c r="E339" s="152"/>
      <c r="F339" s="152"/>
      <c r="G339" s="128"/>
      <c r="H339" s="147"/>
      <c r="I339" s="129"/>
      <c r="J339" s="446"/>
      <c r="K339" s="425"/>
      <c r="L339" s="428"/>
      <c r="M339" s="425"/>
      <c r="N339" s="429"/>
      <c r="O339" s="47" t="s">
        <v>627</v>
      </c>
      <c r="P339" s="172"/>
      <c r="Q339" s="172"/>
      <c r="R339" s="172"/>
      <c r="S339" s="27" t="str">
        <f t="shared" si="68"/>
        <v/>
      </c>
      <c r="T339" s="172"/>
      <c r="U339" s="27" t="str">
        <f t="shared" si="69"/>
        <v/>
      </c>
      <c r="V339" s="150"/>
      <c r="W339" s="27" t="str">
        <f t="shared" si="70"/>
        <v/>
      </c>
      <c r="X339" s="150"/>
      <c r="Y339" s="27" t="str">
        <f t="shared" si="71"/>
        <v/>
      </c>
      <c r="Z339" s="150"/>
      <c r="AA339" s="27" t="str">
        <f t="shared" si="72"/>
        <v/>
      </c>
      <c r="AB339" s="150"/>
      <c r="AC339" s="27" t="str">
        <f t="shared" si="73"/>
        <v/>
      </c>
      <c r="AD339" s="150"/>
      <c r="AE339" s="27" t="str">
        <f t="shared" si="74"/>
        <v/>
      </c>
      <c r="AF339" s="48" t="str">
        <f t="shared" si="75"/>
        <v/>
      </c>
      <c r="AG339" s="48" t="str">
        <f t="shared" si="76"/>
        <v/>
      </c>
      <c r="AH339" s="131"/>
      <c r="AI339" s="149" t="str">
        <f t="shared" si="77"/>
        <v>Débil</v>
      </c>
      <c r="AJ339" s="21" t="str">
        <f>IFERROR(VLOOKUP((CONCATENATE(AG339,AI339)),Listados!$U$3:$V$11,2,FALSE),"")</f>
        <v/>
      </c>
      <c r="AK339" s="48">
        <f t="shared" si="78"/>
        <v>100</v>
      </c>
      <c r="AL339" s="431"/>
      <c r="AM339" s="433"/>
      <c r="AN339" s="169">
        <f>+IF(AND(Q339="Preventivo",AM337="Fuerte"),2,IF(AND(Q339="Preventivo",AM337="Moderado"),1,0))</f>
        <v>0</v>
      </c>
      <c r="AO339" s="169">
        <f t="shared" si="79"/>
        <v>0</v>
      </c>
      <c r="AP339" s="169" t="e">
        <f>+K337-AN339</f>
        <v>#N/A</v>
      </c>
      <c r="AQ339" s="169" t="e">
        <f>+M337-AO339</f>
        <v>#N/A</v>
      </c>
      <c r="AR339" s="422"/>
      <c r="AS339" s="422"/>
      <c r="AT339" s="422"/>
      <c r="AU339" s="422"/>
      <c r="AV339" s="387"/>
      <c r="AW339" s="388"/>
      <c r="AX339" s="389"/>
      <c r="AY339" s="387"/>
      <c r="AZ339" s="388"/>
      <c r="BA339" s="389"/>
      <c r="BB339" s="387"/>
      <c r="BC339" s="388"/>
      <c r="BD339" s="389"/>
    </row>
    <row r="340" spans="1:56" ht="15.75" thickBot="1">
      <c r="A340" s="405"/>
      <c r="B340" s="439"/>
      <c r="C340" s="440"/>
      <c r="D340" s="443"/>
      <c r="E340" s="152"/>
      <c r="F340" s="152"/>
      <c r="G340" s="190"/>
      <c r="H340" s="147"/>
      <c r="I340" s="129"/>
      <c r="J340" s="446"/>
      <c r="K340" s="425"/>
      <c r="L340" s="428"/>
      <c r="M340" s="425"/>
      <c r="N340" s="429"/>
      <c r="O340" s="47" t="s">
        <v>627</v>
      </c>
      <c r="P340" s="172"/>
      <c r="Q340" s="172"/>
      <c r="R340" s="172"/>
      <c r="S340" s="27" t="str">
        <f t="shared" si="68"/>
        <v/>
      </c>
      <c r="T340" s="172"/>
      <c r="U340" s="27" t="str">
        <f t="shared" si="69"/>
        <v/>
      </c>
      <c r="V340" s="150"/>
      <c r="W340" s="27" t="str">
        <f t="shared" si="70"/>
        <v/>
      </c>
      <c r="X340" s="150"/>
      <c r="Y340" s="27" t="str">
        <f t="shared" si="71"/>
        <v/>
      </c>
      <c r="Z340" s="150"/>
      <c r="AA340" s="27" t="str">
        <f t="shared" si="72"/>
        <v/>
      </c>
      <c r="AB340" s="150"/>
      <c r="AC340" s="27" t="str">
        <f t="shared" si="73"/>
        <v/>
      </c>
      <c r="AD340" s="150"/>
      <c r="AE340" s="27" t="str">
        <f t="shared" si="74"/>
        <v/>
      </c>
      <c r="AF340" s="48" t="str">
        <f t="shared" si="75"/>
        <v/>
      </c>
      <c r="AG340" s="48" t="str">
        <f t="shared" si="76"/>
        <v/>
      </c>
      <c r="AH340" s="131"/>
      <c r="AI340" s="149" t="str">
        <f t="shared" si="77"/>
        <v>Débil</v>
      </c>
      <c r="AJ340" s="21" t="str">
        <f>IFERROR(VLOOKUP((CONCATENATE(AG340,AI340)),Listados!$U$3:$V$11,2,FALSE),"")</f>
        <v/>
      </c>
      <c r="AK340" s="48">
        <f t="shared" si="78"/>
        <v>100</v>
      </c>
      <c r="AL340" s="431"/>
      <c r="AM340" s="433"/>
      <c r="AN340" s="169">
        <f>+IF(AND(Q340="Preventivo",AM337="Fuerte"),2,IF(AND(Q340="Preventivo",AM337="Moderado"),1,0))</f>
        <v>0</v>
      </c>
      <c r="AO340" s="169">
        <f t="shared" si="79"/>
        <v>0</v>
      </c>
      <c r="AP340" s="169" t="e">
        <f>+K337-AN340</f>
        <v>#N/A</v>
      </c>
      <c r="AQ340" s="169" t="e">
        <f>+M337-AO340</f>
        <v>#N/A</v>
      </c>
      <c r="AR340" s="422"/>
      <c r="AS340" s="422"/>
      <c r="AT340" s="422"/>
      <c r="AU340" s="422"/>
      <c r="AV340" s="387"/>
      <c r="AW340" s="388"/>
      <c r="AX340" s="389"/>
      <c r="AY340" s="387"/>
      <c r="AZ340" s="388"/>
      <c r="BA340" s="389"/>
      <c r="BB340" s="387"/>
      <c r="BC340" s="388"/>
      <c r="BD340" s="389"/>
    </row>
    <row r="341" spans="1:56" ht="15.75" thickBot="1">
      <c r="A341" s="405"/>
      <c r="B341" s="439"/>
      <c r="C341" s="440"/>
      <c r="D341" s="443"/>
      <c r="E341" s="109"/>
      <c r="F341" s="109"/>
      <c r="G341" s="28"/>
      <c r="H341" s="29"/>
      <c r="I341" s="129"/>
      <c r="J341" s="446"/>
      <c r="K341" s="425"/>
      <c r="L341" s="428"/>
      <c r="M341" s="425"/>
      <c r="N341" s="429"/>
      <c r="O341" s="47" t="s">
        <v>627</v>
      </c>
      <c r="P341" s="172"/>
      <c r="Q341" s="172"/>
      <c r="R341" s="172"/>
      <c r="S341" s="27" t="str">
        <f t="shared" si="68"/>
        <v/>
      </c>
      <c r="T341" s="172"/>
      <c r="U341" s="27" t="str">
        <f t="shared" si="69"/>
        <v/>
      </c>
      <c r="V341" s="150"/>
      <c r="W341" s="27" t="str">
        <f t="shared" si="70"/>
        <v/>
      </c>
      <c r="X341" s="150"/>
      <c r="Y341" s="27" t="str">
        <f t="shared" si="71"/>
        <v/>
      </c>
      <c r="Z341" s="150"/>
      <c r="AA341" s="27" t="str">
        <f t="shared" si="72"/>
        <v/>
      </c>
      <c r="AB341" s="150"/>
      <c r="AC341" s="27" t="str">
        <f t="shared" si="73"/>
        <v/>
      </c>
      <c r="AD341" s="150"/>
      <c r="AE341" s="27" t="str">
        <f t="shared" si="74"/>
        <v/>
      </c>
      <c r="AF341" s="48" t="str">
        <f t="shared" si="75"/>
        <v/>
      </c>
      <c r="AG341" s="48" t="str">
        <f t="shared" si="76"/>
        <v/>
      </c>
      <c r="AH341" s="131"/>
      <c r="AI341" s="149" t="str">
        <f t="shared" si="77"/>
        <v>Débil</v>
      </c>
      <c r="AJ341" s="21" t="str">
        <f>IFERROR(VLOOKUP((CONCATENATE(AG341,AI341)),Listados!$U$3:$V$11,2,FALSE),"")</f>
        <v/>
      </c>
      <c r="AK341" s="48">
        <f t="shared" si="78"/>
        <v>100</v>
      </c>
      <c r="AL341" s="431"/>
      <c r="AM341" s="433"/>
      <c r="AN341" s="169">
        <f>+IF(AND(Q341="Preventivo",AM337="Fuerte"),2,IF(AND(Q341="Preventivo",AM337="Moderado"),1,0))</f>
        <v>0</v>
      </c>
      <c r="AO341" s="169">
        <f t="shared" si="79"/>
        <v>0</v>
      </c>
      <c r="AP341" s="169" t="e">
        <f>+K337-AN341</f>
        <v>#N/A</v>
      </c>
      <c r="AQ341" s="169" t="e">
        <f>+M337-AO341</f>
        <v>#N/A</v>
      </c>
      <c r="AR341" s="422"/>
      <c r="AS341" s="422"/>
      <c r="AT341" s="422"/>
      <c r="AU341" s="422"/>
      <c r="AV341" s="387"/>
      <c r="AW341" s="388"/>
      <c r="AX341" s="389"/>
      <c r="AY341" s="387"/>
      <c r="AZ341" s="388"/>
      <c r="BA341" s="389"/>
      <c r="BB341" s="387"/>
      <c r="BC341" s="388"/>
      <c r="BD341" s="389"/>
    </row>
    <row r="342" spans="1:56" ht="15.75" thickBot="1">
      <c r="A342" s="406"/>
      <c r="B342" s="439"/>
      <c r="C342" s="441"/>
      <c r="D342" s="444"/>
      <c r="E342" s="106"/>
      <c r="F342" s="106"/>
      <c r="G342" s="30"/>
      <c r="H342" s="31"/>
      <c r="I342" s="129"/>
      <c r="J342" s="446"/>
      <c r="K342" s="426"/>
      <c r="L342" s="428"/>
      <c r="M342" s="426"/>
      <c r="N342" s="429"/>
      <c r="O342" s="47" t="s">
        <v>627</v>
      </c>
      <c r="P342" s="172"/>
      <c r="Q342" s="172"/>
      <c r="R342" s="172"/>
      <c r="S342" s="27" t="str">
        <f t="shared" si="68"/>
        <v/>
      </c>
      <c r="T342" s="172"/>
      <c r="U342" s="27" t="str">
        <f t="shared" si="69"/>
        <v/>
      </c>
      <c r="V342" s="150"/>
      <c r="W342" s="27" t="str">
        <f t="shared" si="70"/>
        <v/>
      </c>
      <c r="X342" s="150"/>
      <c r="Y342" s="27" t="str">
        <f t="shared" si="71"/>
        <v/>
      </c>
      <c r="Z342" s="150"/>
      <c r="AA342" s="27" t="str">
        <f t="shared" si="72"/>
        <v/>
      </c>
      <c r="AB342" s="150"/>
      <c r="AC342" s="27" t="str">
        <f t="shared" si="73"/>
        <v/>
      </c>
      <c r="AD342" s="150"/>
      <c r="AE342" s="27" t="str">
        <f t="shared" si="74"/>
        <v/>
      </c>
      <c r="AF342" s="48" t="str">
        <f t="shared" si="75"/>
        <v/>
      </c>
      <c r="AG342" s="48" t="str">
        <f t="shared" si="76"/>
        <v/>
      </c>
      <c r="AH342" s="131"/>
      <c r="AI342" s="149" t="str">
        <f t="shared" si="77"/>
        <v>Débil</v>
      </c>
      <c r="AJ342" s="21" t="str">
        <f>IFERROR(VLOOKUP((CONCATENATE(AG342,AI342)),Listados!$U$3:$V$11,2,FALSE),"")</f>
        <v/>
      </c>
      <c r="AK342" s="48">
        <f t="shared" si="78"/>
        <v>100</v>
      </c>
      <c r="AL342" s="432"/>
      <c r="AM342" s="433"/>
      <c r="AN342" s="169">
        <f>+IF(AND(Q342="Preventivo",AM337="Fuerte"),2,IF(AND(Q342="Preventivo",AM337="Moderado"),1,0))</f>
        <v>0</v>
      </c>
      <c r="AO342" s="169">
        <f t="shared" si="79"/>
        <v>0</v>
      </c>
      <c r="AP342" s="169" t="e">
        <f>+K337-AN342</f>
        <v>#N/A</v>
      </c>
      <c r="AQ342" s="169" t="e">
        <f>+M337-AO342</f>
        <v>#N/A</v>
      </c>
      <c r="AR342" s="423"/>
      <c r="AS342" s="423"/>
      <c r="AT342" s="423"/>
      <c r="AU342" s="423"/>
      <c r="AV342" s="387"/>
      <c r="AW342" s="388"/>
      <c r="AX342" s="389"/>
      <c r="AY342" s="387"/>
      <c r="AZ342" s="388"/>
      <c r="BA342" s="389"/>
      <c r="BB342" s="387"/>
      <c r="BC342" s="388"/>
      <c r="BD342" s="389"/>
    </row>
    <row r="343" spans="1:56" ht="15.75" thickBot="1">
      <c r="A343" s="404">
        <v>57</v>
      </c>
      <c r="B343" s="449"/>
      <c r="C343" s="447" t="str">
        <f>IFERROR(VLOOKUP(B343,Listados!B$3:C$20,2,FALSE),"")</f>
        <v/>
      </c>
      <c r="D343" s="448"/>
      <c r="E343" s="107"/>
      <c r="F343" s="107"/>
      <c r="G343" s="100"/>
      <c r="H343" s="103"/>
      <c r="I343" s="17"/>
      <c r="J343" s="445"/>
      <c r="K343" s="424" t="e">
        <f>+VLOOKUP(J343,Listados!$K$8:$L$12,2,0)</f>
        <v>#N/A</v>
      </c>
      <c r="L343" s="427"/>
      <c r="M343" s="424" t="e">
        <f>+VLOOKUP(L343,Listados!$K$13:$L$17,2,0)</f>
        <v>#N/A</v>
      </c>
      <c r="N343" s="423" t="str">
        <f>IF(AND(J343&lt;&gt;"",L343&lt;&gt;""),VLOOKUP(J343&amp;L343,Listados!$M$3:$N$27,2,FALSE),"")</f>
        <v/>
      </c>
      <c r="O343" s="47" t="s">
        <v>627</v>
      </c>
      <c r="P343" s="172"/>
      <c r="Q343" s="172"/>
      <c r="R343" s="172"/>
      <c r="S343" s="27" t="str">
        <f t="shared" si="68"/>
        <v/>
      </c>
      <c r="T343" s="172"/>
      <c r="U343" s="27" t="str">
        <f t="shared" si="69"/>
        <v/>
      </c>
      <c r="V343" s="150"/>
      <c r="W343" s="27" t="str">
        <f t="shared" si="70"/>
        <v/>
      </c>
      <c r="X343" s="150"/>
      <c r="Y343" s="27" t="str">
        <f t="shared" si="71"/>
        <v/>
      </c>
      <c r="Z343" s="150"/>
      <c r="AA343" s="27" t="str">
        <f t="shared" si="72"/>
        <v/>
      </c>
      <c r="AB343" s="150"/>
      <c r="AC343" s="27" t="str">
        <f t="shared" si="73"/>
        <v/>
      </c>
      <c r="AD343" s="150"/>
      <c r="AE343" s="27" t="str">
        <f t="shared" si="74"/>
        <v/>
      </c>
      <c r="AF343" s="48" t="str">
        <f t="shared" si="75"/>
        <v/>
      </c>
      <c r="AG343" s="48" t="str">
        <f t="shared" si="76"/>
        <v/>
      </c>
      <c r="AH343" s="131"/>
      <c r="AI343" s="149" t="str">
        <f t="shared" si="77"/>
        <v>Débil</v>
      </c>
      <c r="AJ343" s="21" t="str">
        <f>IFERROR(VLOOKUP((CONCATENATE(AG343,AI343)),Listados!$U$3:$V$11,2,FALSE),"")</f>
        <v/>
      </c>
      <c r="AK343" s="48">
        <f t="shared" si="78"/>
        <v>100</v>
      </c>
      <c r="AL343" s="430">
        <f>AVERAGE(AK343:AK348)</f>
        <v>100</v>
      </c>
      <c r="AM343" s="432" t="str">
        <f>IF(AL343&lt;=50, "Débil", IF(AL343&lt;=99,"Moderado","Fuerte"))</f>
        <v>Fuerte</v>
      </c>
      <c r="AN343" s="169">
        <f>+IF(AND(Q343="Preventivo",AM343="Fuerte"),2,IF(AND(Q343="Preventivo",AM343="Moderado"),1,0))</f>
        <v>0</v>
      </c>
      <c r="AO343" s="169">
        <f t="shared" si="79"/>
        <v>0</v>
      </c>
      <c r="AP343" s="169" t="e">
        <f>+K343-AN343</f>
        <v>#N/A</v>
      </c>
      <c r="AQ343" s="169" t="e">
        <f>+M343-AO343</f>
        <v>#N/A</v>
      </c>
      <c r="AR343" s="421" t="e">
        <f>+VLOOKUP(MIN(AP343,AP344,AP345,AP346,AP347,AP348),Listados!$J$18:$K$24,2,TRUE)</f>
        <v>#N/A</v>
      </c>
      <c r="AS343" s="421" t="e">
        <f>+VLOOKUP(MIN(AQ343,AQ344,AQ345,AQ346,AQ347,AQ348),Listados!$J$27:$K$32,2,TRUE)</f>
        <v>#N/A</v>
      </c>
      <c r="AT343" s="421" t="e">
        <f>IF(AND(AR343&lt;&gt;"",AS343&lt;&gt;""),VLOOKUP(AR343&amp;AS343,Listados!$M$3:$N$27,2,FALSE),"")</f>
        <v>#N/A</v>
      </c>
      <c r="AU343" s="421" t="e">
        <f>+VLOOKUP(AT343,Listados!$P$3:$Q$6,2,FALSE)</f>
        <v>#N/A</v>
      </c>
      <c r="AV343" s="387"/>
      <c r="AW343" s="388"/>
      <c r="AX343" s="389"/>
      <c r="AY343" s="387"/>
      <c r="AZ343" s="388"/>
      <c r="BA343" s="389"/>
      <c r="BB343" s="387"/>
      <c r="BC343" s="388"/>
      <c r="BD343" s="389"/>
    </row>
    <row r="344" spans="1:56" ht="15.75" thickBot="1">
      <c r="A344" s="405"/>
      <c r="B344" s="439"/>
      <c r="C344" s="440"/>
      <c r="D344" s="443"/>
      <c r="E344" s="152"/>
      <c r="F344" s="152"/>
      <c r="G344" s="128"/>
      <c r="H344" s="147"/>
      <c r="I344" s="129"/>
      <c r="J344" s="446"/>
      <c r="K344" s="425"/>
      <c r="L344" s="428"/>
      <c r="M344" s="425"/>
      <c r="N344" s="429"/>
      <c r="O344" s="47" t="s">
        <v>627</v>
      </c>
      <c r="P344" s="172"/>
      <c r="Q344" s="172"/>
      <c r="R344" s="172"/>
      <c r="S344" s="27" t="str">
        <f t="shared" si="68"/>
        <v/>
      </c>
      <c r="T344" s="172"/>
      <c r="U344" s="27" t="str">
        <f t="shared" si="69"/>
        <v/>
      </c>
      <c r="V344" s="150"/>
      <c r="W344" s="27" t="str">
        <f t="shared" si="70"/>
        <v/>
      </c>
      <c r="X344" s="150"/>
      <c r="Y344" s="27" t="str">
        <f t="shared" si="71"/>
        <v/>
      </c>
      <c r="Z344" s="150"/>
      <c r="AA344" s="27" t="str">
        <f t="shared" si="72"/>
        <v/>
      </c>
      <c r="AB344" s="150"/>
      <c r="AC344" s="27" t="str">
        <f t="shared" si="73"/>
        <v/>
      </c>
      <c r="AD344" s="150"/>
      <c r="AE344" s="27" t="str">
        <f t="shared" si="74"/>
        <v/>
      </c>
      <c r="AF344" s="48" t="str">
        <f t="shared" si="75"/>
        <v/>
      </c>
      <c r="AG344" s="48" t="str">
        <f t="shared" si="76"/>
        <v/>
      </c>
      <c r="AH344" s="131"/>
      <c r="AI344" s="149" t="str">
        <f t="shared" si="77"/>
        <v>Débil</v>
      </c>
      <c r="AJ344" s="21" t="str">
        <f>IFERROR(VLOOKUP((CONCATENATE(AG344,AI344)),Listados!$U$3:$V$11,2,FALSE),"")</f>
        <v/>
      </c>
      <c r="AK344" s="48">
        <f t="shared" si="78"/>
        <v>100</v>
      </c>
      <c r="AL344" s="431"/>
      <c r="AM344" s="433"/>
      <c r="AN344" s="169">
        <f>+IF(AND(Q344="Preventivo",AM343="Fuerte"),2,IF(AND(Q344="Preventivo",AM343="Moderado"),1,0))</f>
        <v>0</v>
      </c>
      <c r="AO344" s="169">
        <f t="shared" si="79"/>
        <v>0</v>
      </c>
      <c r="AP344" s="169" t="e">
        <f>+K343-AN344</f>
        <v>#N/A</v>
      </c>
      <c r="AQ344" s="169" t="e">
        <f>+M343-AO344</f>
        <v>#N/A</v>
      </c>
      <c r="AR344" s="422"/>
      <c r="AS344" s="422"/>
      <c r="AT344" s="422"/>
      <c r="AU344" s="422"/>
      <c r="AV344" s="387"/>
      <c r="AW344" s="388"/>
      <c r="AX344" s="389"/>
      <c r="AY344" s="387"/>
      <c r="AZ344" s="388"/>
      <c r="BA344" s="389"/>
      <c r="BB344" s="387"/>
      <c r="BC344" s="388"/>
      <c r="BD344" s="389"/>
    </row>
    <row r="345" spans="1:56" ht="15.75" thickBot="1">
      <c r="A345" s="405"/>
      <c r="B345" s="439"/>
      <c r="C345" s="440"/>
      <c r="D345" s="443"/>
      <c r="E345" s="152"/>
      <c r="F345" s="152"/>
      <c r="G345" s="128"/>
      <c r="H345" s="147"/>
      <c r="I345" s="129"/>
      <c r="J345" s="446"/>
      <c r="K345" s="425"/>
      <c r="L345" s="428"/>
      <c r="M345" s="425"/>
      <c r="N345" s="429"/>
      <c r="O345" s="47" t="s">
        <v>627</v>
      </c>
      <c r="P345" s="172"/>
      <c r="Q345" s="172"/>
      <c r="R345" s="172"/>
      <c r="S345" s="27" t="str">
        <f t="shared" si="68"/>
        <v/>
      </c>
      <c r="T345" s="172"/>
      <c r="U345" s="27" t="str">
        <f t="shared" si="69"/>
        <v/>
      </c>
      <c r="V345" s="150"/>
      <c r="W345" s="27" t="str">
        <f t="shared" si="70"/>
        <v/>
      </c>
      <c r="X345" s="150"/>
      <c r="Y345" s="27" t="str">
        <f t="shared" si="71"/>
        <v/>
      </c>
      <c r="Z345" s="150"/>
      <c r="AA345" s="27" t="str">
        <f t="shared" si="72"/>
        <v/>
      </c>
      <c r="AB345" s="150"/>
      <c r="AC345" s="27" t="str">
        <f t="shared" si="73"/>
        <v/>
      </c>
      <c r="AD345" s="150"/>
      <c r="AE345" s="27" t="str">
        <f t="shared" si="74"/>
        <v/>
      </c>
      <c r="AF345" s="48" t="str">
        <f t="shared" si="75"/>
        <v/>
      </c>
      <c r="AG345" s="48" t="str">
        <f t="shared" si="76"/>
        <v/>
      </c>
      <c r="AH345" s="131"/>
      <c r="AI345" s="149" t="str">
        <f t="shared" si="77"/>
        <v>Débil</v>
      </c>
      <c r="AJ345" s="21" t="str">
        <f>IFERROR(VLOOKUP((CONCATENATE(AG345,AI345)),Listados!$U$3:$V$11,2,FALSE),"")</f>
        <v/>
      </c>
      <c r="AK345" s="48">
        <f t="shared" si="78"/>
        <v>100</v>
      </c>
      <c r="AL345" s="431"/>
      <c r="AM345" s="433"/>
      <c r="AN345" s="169">
        <f>+IF(AND(Q345="Preventivo",AM343="Fuerte"),2,IF(AND(Q345="Preventivo",AM343="Moderado"),1,0))</f>
        <v>0</v>
      </c>
      <c r="AO345" s="169">
        <f t="shared" si="79"/>
        <v>0</v>
      </c>
      <c r="AP345" s="169" t="e">
        <f>+K343-AN345</f>
        <v>#N/A</v>
      </c>
      <c r="AQ345" s="169" t="e">
        <f>+M343-AO345</f>
        <v>#N/A</v>
      </c>
      <c r="AR345" s="422"/>
      <c r="AS345" s="422"/>
      <c r="AT345" s="422"/>
      <c r="AU345" s="422"/>
      <c r="AV345" s="387"/>
      <c r="AW345" s="388"/>
      <c r="AX345" s="389"/>
      <c r="AY345" s="387"/>
      <c r="AZ345" s="388"/>
      <c r="BA345" s="389"/>
      <c r="BB345" s="387"/>
      <c r="BC345" s="388"/>
      <c r="BD345" s="389"/>
    </row>
    <row r="346" spans="1:56" ht="15.75" thickBot="1">
      <c r="A346" s="405"/>
      <c r="B346" s="439"/>
      <c r="C346" s="440"/>
      <c r="D346" s="443"/>
      <c r="E346" s="152"/>
      <c r="F346" s="152"/>
      <c r="G346" s="190"/>
      <c r="H346" s="147"/>
      <c r="I346" s="129"/>
      <c r="J346" s="446"/>
      <c r="K346" s="425"/>
      <c r="L346" s="428"/>
      <c r="M346" s="425"/>
      <c r="N346" s="429"/>
      <c r="O346" s="47" t="s">
        <v>627</v>
      </c>
      <c r="P346" s="172"/>
      <c r="Q346" s="172"/>
      <c r="R346" s="172"/>
      <c r="S346" s="27" t="str">
        <f t="shared" si="68"/>
        <v/>
      </c>
      <c r="T346" s="172"/>
      <c r="U346" s="27" t="str">
        <f t="shared" si="69"/>
        <v/>
      </c>
      <c r="V346" s="150"/>
      <c r="W346" s="27" t="str">
        <f t="shared" si="70"/>
        <v/>
      </c>
      <c r="X346" s="150"/>
      <c r="Y346" s="27" t="str">
        <f t="shared" si="71"/>
        <v/>
      </c>
      <c r="Z346" s="150"/>
      <c r="AA346" s="27" t="str">
        <f t="shared" si="72"/>
        <v/>
      </c>
      <c r="AB346" s="150"/>
      <c r="AC346" s="27" t="str">
        <f t="shared" si="73"/>
        <v/>
      </c>
      <c r="AD346" s="150"/>
      <c r="AE346" s="27" t="str">
        <f t="shared" si="74"/>
        <v/>
      </c>
      <c r="AF346" s="48" t="str">
        <f t="shared" si="75"/>
        <v/>
      </c>
      <c r="AG346" s="48" t="str">
        <f t="shared" si="76"/>
        <v/>
      </c>
      <c r="AH346" s="131"/>
      <c r="AI346" s="149" t="str">
        <f t="shared" si="77"/>
        <v>Débil</v>
      </c>
      <c r="AJ346" s="21" t="str">
        <f>IFERROR(VLOOKUP((CONCATENATE(AG346,AI346)),Listados!$U$3:$V$11,2,FALSE),"")</f>
        <v/>
      </c>
      <c r="AK346" s="48">
        <f t="shared" si="78"/>
        <v>100</v>
      </c>
      <c r="AL346" s="431"/>
      <c r="AM346" s="433"/>
      <c r="AN346" s="169">
        <f>+IF(AND(Q346="Preventivo",AM343="Fuerte"),2,IF(AND(Q346="Preventivo",AM343="Moderado"),1,0))</f>
        <v>0</v>
      </c>
      <c r="AO346" s="169">
        <f t="shared" si="79"/>
        <v>0</v>
      </c>
      <c r="AP346" s="169" t="e">
        <f>+K343-AN346</f>
        <v>#N/A</v>
      </c>
      <c r="AQ346" s="169" t="e">
        <f>+M343-AO346</f>
        <v>#N/A</v>
      </c>
      <c r="AR346" s="422"/>
      <c r="AS346" s="422"/>
      <c r="AT346" s="422"/>
      <c r="AU346" s="422"/>
      <c r="AV346" s="387"/>
      <c r="AW346" s="388"/>
      <c r="AX346" s="389"/>
      <c r="AY346" s="387"/>
      <c r="AZ346" s="388"/>
      <c r="BA346" s="389"/>
      <c r="BB346" s="387"/>
      <c r="BC346" s="388"/>
      <c r="BD346" s="389"/>
    </row>
    <row r="347" spans="1:56" ht="15.75" thickBot="1">
      <c r="A347" s="405"/>
      <c r="B347" s="439"/>
      <c r="C347" s="440"/>
      <c r="D347" s="443"/>
      <c r="E347" s="109"/>
      <c r="F347" s="109"/>
      <c r="G347" s="28"/>
      <c r="H347" s="29"/>
      <c r="I347" s="129"/>
      <c r="J347" s="446"/>
      <c r="K347" s="425"/>
      <c r="L347" s="428"/>
      <c r="M347" s="425"/>
      <c r="N347" s="429"/>
      <c r="O347" s="47" t="s">
        <v>627</v>
      </c>
      <c r="P347" s="172"/>
      <c r="Q347" s="172"/>
      <c r="R347" s="172"/>
      <c r="S347" s="27" t="str">
        <f t="shared" si="68"/>
        <v/>
      </c>
      <c r="T347" s="172"/>
      <c r="U347" s="27" t="str">
        <f t="shared" si="69"/>
        <v/>
      </c>
      <c r="V347" s="150"/>
      <c r="W347" s="27" t="str">
        <f t="shared" si="70"/>
        <v/>
      </c>
      <c r="X347" s="150"/>
      <c r="Y347" s="27" t="str">
        <f t="shared" si="71"/>
        <v/>
      </c>
      <c r="Z347" s="150"/>
      <c r="AA347" s="27" t="str">
        <f t="shared" si="72"/>
        <v/>
      </c>
      <c r="AB347" s="150"/>
      <c r="AC347" s="27" t="str">
        <f t="shared" si="73"/>
        <v/>
      </c>
      <c r="AD347" s="150"/>
      <c r="AE347" s="27" t="str">
        <f t="shared" si="74"/>
        <v/>
      </c>
      <c r="AF347" s="48" t="str">
        <f t="shared" si="75"/>
        <v/>
      </c>
      <c r="AG347" s="48" t="str">
        <f t="shared" si="76"/>
        <v/>
      </c>
      <c r="AH347" s="131"/>
      <c r="AI347" s="149" t="str">
        <f t="shared" si="77"/>
        <v>Débil</v>
      </c>
      <c r="AJ347" s="21" t="str">
        <f>IFERROR(VLOOKUP((CONCATENATE(AG347,AI347)),Listados!$U$3:$V$11,2,FALSE),"")</f>
        <v/>
      </c>
      <c r="AK347" s="48">
        <f t="shared" si="78"/>
        <v>100</v>
      </c>
      <c r="AL347" s="431"/>
      <c r="AM347" s="433"/>
      <c r="AN347" s="169">
        <f>+IF(AND(Q347="Preventivo",AM343="Fuerte"),2,IF(AND(Q347="Preventivo",AM343="Moderado"),1,0))</f>
        <v>0</v>
      </c>
      <c r="AO347" s="169">
        <f t="shared" si="79"/>
        <v>0</v>
      </c>
      <c r="AP347" s="169" t="e">
        <f>+K343-AN347</f>
        <v>#N/A</v>
      </c>
      <c r="AQ347" s="169" t="e">
        <f>+M343-AO347</f>
        <v>#N/A</v>
      </c>
      <c r="AR347" s="422"/>
      <c r="AS347" s="422"/>
      <c r="AT347" s="422"/>
      <c r="AU347" s="422"/>
      <c r="AV347" s="387"/>
      <c r="AW347" s="388"/>
      <c r="AX347" s="389"/>
      <c r="AY347" s="387"/>
      <c r="AZ347" s="388"/>
      <c r="BA347" s="389"/>
      <c r="BB347" s="387"/>
      <c r="BC347" s="388"/>
      <c r="BD347" s="389"/>
    </row>
    <row r="348" spans="1:56" ht="15.75" thickBot="1">
      <c r="A348" s="406"/>
      <c r="B348" s="439"/>
      <c r="C348" s="441"/>
      <c r="D348" s="444"/>
      <c r="E348" s="106"/>
      <c r="F348" s="106"/>
      <c r="G348" s="30"/>
      <c r="H348" s="31"/>
      <c r="I348" s="129"/>
      <c r="J348" s="446"/>
      <c r="K348" s="426"/>
      <c r="L348" s="428"/>
      <c r="M348" s="426"/>
      <c r="N348" s="429"/>
      <c r="O348" s="47" t="s">
        <v>627</v>
      </c>
      <c r="P348" s="172"/>
      <c r="Q348" s="172"/>
      <c r="R348" s="172"/>
      <c r="S348" s="27" t="str">
        <f t="shared" si="68"/>
        <v/>
      </c>
      <c r="T348" s="172"/>
      <c r="U348" s="27" t="str">
        <f t="shared" si="69"/>
        <v/>
      </c>
      <c r="V348" s="150"/>
      <c r="W348" s="27" t="str">
        <f t="shared" si="70"/>
        <v/>
      </c>
      <c r="X348" s="150"/>
      <c r="Y348" s="27" t="str">
        <f t="shared" si="71"/>
        <v/>
      </c>
      <c r="Z348" s="150"/>
      <c r="AA348" s="27" t="str">
        <f t="shared" si="72"/>
        <v/>
      </c>
      <c r="AB348" s="150"/>
      <c r="AC348" s="27" t="str">
        <f t="shared" si="73"/>
        <v/>
      </c>
      <c r="AD348" s="150"/>
      <c r="AE348" s="27" t="str">
        <f t="shared" si="74"/>
        <v/>
      </c>
      <c r="AF348" s="48" t="str">
        <f t="shared" si="75"/>
        <v/>
      </c>
      <c r="AG348" s="48" t="str">
        <f t="shared" si="76"/>
        <v/>
      </c>
      <c r="AH348" s="131"/>
      <c r="AI348" s="149" t="str">
        <f t="shared" si="77"/>
        <v>Débil</v>
      </c>
      <c r="AJ348" s="21" t="str">
        <f>IFERROR(VLOOKUP((CONCATENATE(AG348,AI348)),Listados!$U$3:$V$11,2,FALSE),"")</f>
        <v/>
      </c>
      <c r="AK348" s="48">
        <f t="shared" si="78"/>
        <v>100</v>
      </c>
      <c r="AL348" s="432"/>
      <c r="AM348" s="433"/>
      <c r="AN348" s="169">
        <f>+IF(AND(Q348="Preventivo",AM343="Fuerte"),2,IF(AND(Q348="Preventivo",AM343="Moderado"),1,0))</f>
        <v>0</v>
      </c>
      <c r="AO348" s="169">
        <f t="shared" si="79"/>
        <v>0</v>
      </c>
      <c r="AP348" s="169" t="e">
        <f>+K343-AN348</f>
        <v>#N/A</v>
      </c>
      <c r="AQ348" s="169" t="e">
        <f>+M343-AO348</f>
        <v>#N/A</v>
      </c>
      <c r="AR348" s="423"/>
      <c r="AS348" s="423"/>
      <c r="AT348" s="423"/>
      <c r="AU348" s="423"/>
      <c r="AV348" s="387"/>
      <c r="AW348" s="388"/>
      <c r="AX348" s="389"/>
      <c r="AY348" s="387"/>
      <c r="AZ348" s="388"/>
      <c r="BA348" s="389"/>
      <c r="BB348" s="387"/>
      <c r="BC348" s="388"/>
      <c r="BD348" s="389"/>
    </row>
    <row r="349" spans="1:56" ht="15.75" thickBot="1">
      <c r="A349" s="404">
        <v>58</v>
      </c>
      <c r="B349" s="449"/>
      <c r="C349" s="447" t="str">
        <f>IFERROR(VLOOKUP(B349,Listados!B$3:C$20,2,FALSE),"")</f>
        <v/>
      </c>
      <c r="D349" s="448"/>
      <c r="E349" s="107"/>
      <c r="F349" s="107"/>
      <c r="G349" s="100"/>
      <c r="H349" s="103"/>
      <c r="I349" s="17"/>
      <c r="J349" s="445"/>
      <c r="K349" s="424" t="e">
        <f>+VLOOKUP(J349,Listados!$K$8:$L$12,2,0)</f>
        <v>#N/A</v>
      </c>
      <c r="L349" s="427"/>
      <c r="M349" s="424" t="e">
        <f>+VLOOKUP(L349,Listados!$K$13:$L$17,2,0)</f>
        <v>#N/A</v>
      </c>
      <c r="N349" s="423" t="str">
        <f>IF(AND(J349&lt;&gt;"",L349&lt;&gt;""),VLOOKUP(J349&amp;L349,Listados!$M$3:$N$27,2,FALSE),"")</f>
        <v/>
      </c>
      <c r="O349" s="47" t="s">
        <v>627</v>
      </c>
      <c r="P349" s="172"/>
      <c r="Q349" s="172"/>
      <c r="R349" s="172"/>
      <c r="S349" s="27" t="str">
        <f t="shared" si="68"/>
        <v/>
      </c>
      <c r="T349" s="172"/>
      <c r="U349" s="27" t="str">
        <f t="shared" si="69"/>
        <v/>
      </c>
      <c r="V349" s="150"/>
      <c r="W349" s="27" t="str">
        <f t="shared" si="70"/>
        <v/>
      </c>
      <c r="X349" s="150"/>
      <c r="Y349" s="27" t="str">
        <f t="shared" si="71"/>
        <v/>
      </c>
      <c r="Z349" s="150"/>
      <c r="AA349" s="27" t="str">
        <f t="shared" si="72"/>
        <v/>
      </c>
      <c r="AB349" s="150"/>
      <c r="AC349" s="27" t="str">
        <f t="shared" si="73"/>
        <v/>
      </c>
      <c r="AD349" s="150"/>
      <c r="AE349" s="27" t="str">
        <f t="shared" si="74"/>
        <v/>
      </c>
      <c r="AF349" s="48" t="str">
        <f t="shared" si="75"/>
        <v/>
      </c>
      <c r="AG349" s="48" t="str">
        <f t="shared" si="76"/>
        <v/>
      </c>
      <c r="AH349" s="131"/>
      <c r="AI349" s="149" t="str">
        <f t="shared" si="77"/>
        <v>Débil</v>
      </c>
      <c r="AJ349" s="21" t="str">
        <f>IFERROR(VLOOKUP((CONCATENATE(AG349,AI349)),Listados!$U$3:$V$11,2,FALSE),"")</f>
        <v/>
      </c>
      <c r="AK349" s="48">
        <f t="shared" si="78"/>
        <v>100</v>
      </c>
      <c r="AL349" s="430">
        <f>AVERAGE(AK349:AK354)</f>
        <v>100</v>
      </c>
      <c r="AM349" s="432" t="str">
        <f>IF(AL349&lt;=50, "Débil", IF(AL349&lt;=99,"Moderado","Fuerte"))</f>
        <v>Fuerte</v>
      </c>
      <c r="AN349" s="169">
        <f>+IF(AND(Q349="Preventivo",AM349="Fuerte"),2,IF(AND(Q349="Preventivo",AM349="Moderado"),1,0))</f>
        <v>0</v>
      </c>
      <c r="AO349" s="169">
        <f t="shared" si="79"/>
        <v>0</v>
      </c>
      <c r="AP349" s="169" t="e">
        <f>+K349-AN349</f>
        <v>#N/A</v>
      </c>
      <c r="AQ349" s="169" t="e">
        <f>+M349-AO349</f>
        <v>#N/A</v>
      </c>
      <c r="AR349" s="421" t="e">
        <f>+VLOOKUP(MIN(AP349,AP350,AP351,AP352,AP353,AP354),Listados!$J$18:$K$24,2,TRUE)</f>
        <v>#N/A</v>
      </c>
      <c r="AS349" s="421" t="e">
        <f>+VLOOKUP(MIN(AQ349,AQ350,AQ351,AQ352,AQ353,AQ354),Listados!$J$27:$K$32,2,TRUE)</f>
        <v>#N/A</v>
      </c>
      <c r="AT349" s="421" t="e">
        <f>IF(AND(AR349&lt;&gt;"",AS349&lt;&gt;""),VLOOKUP(AR349&amp;AS349,Listados!$M$3:$N$27,2,FALSE),"")</f>
        <v>#N/A</v>
      </c>
      <c r="AU349" s="421" t="e">
        <f>+VLOOKUP(AT349,Listados!$P$3:$Q$6,2,FALSE)</f>
        <v>#N/A</v>
      </c>
      <c r="AV349" s="387"/>
      <c r="AW349" s="388"/>
      <c r="AX349" s="389"/>
      <c r="AY349" s="387"/>
      <c r="AZ349" s="388"/>
      <c r="BA349" s="389"/>
      <c r="BB349" s="387"/>
      <c r="BC349" s="388"/>
      <c r="BD349" s="389"/>
    </row>
    <row r="350" spans="1:56" ht="15.75" thickBot="1">
      <c r="A350" s="405"/>
      <c r="B350" s="439"/>
      <c r="C350" s="440"/>
      <c r="D350" s="443"/>
      <c r="E350" s="152"/>
      <c r="F350" s="152"/>
      <c r="G350" s="128"/>
      <c r="H350" s="147"/>
      <c r="I350" s="129"/>
      <c r="J350" s="446"/>
      <c r="K350" s="425"/>
      <c r="L350" s="428"/>
      <c r="M350" s="425"/>
      <c r="N350" s="429"/>
      <c r="O350" s="47" t="s">
        <v>627</v>
      </c>
      <c r="P350" s="172"/>
      <c r="Q350" s="172"/>
      <c r="R350" s="172"/>
      <c r="S350" s="27" t="str">
        <f t="shared" si="68"/>
        <v/>
      </c>
      <c r="T350" s="172"/>
      <c r="U350" s="27" t="str">
        <f t="shared" si="69"/>
        <v/>
      </c>
      <c r="V350" s="150"/>
      <c r="W350" s="27" t="str">
        <f t="shared" si="70"/>
        <v/>
      </c>
      <c r="X350" s="150"/>
      <c r="Y350" s="27" t="str">
        <f t="shared" si="71"/>
        <v/>
      </c>
      <c r="Z350" s="150"/>
      <c r="AA350" s="27" t="str">
        <f t="shared" si="72"/>
        <v/>
      </c>
      <c r="AB350" s="150"/>
      <c r="AC350" s="27" t="str">
        <f t="shared" si="73"/>
        <v/>
      </c>
      <c r="AD350" s="150"/>
      <c r="AE350" s="27" t="str">
        <f t="shared" si="74"/>
        <v/>
      </c>
      <c r="AF350" s="48" t="str">
        <f t="shared" si="75"/>
        <v/>
      </c>
      <c r="AG350" s="48" t="str">
        <f t="shared" si="76"/>
        <v/>
      </c>
      <c r="AH350" s="131"/>
      <c r="AI350" s="149" t="str">
        <f t="shared" si="77"/>
        <v>Débil</v>
      </c>
      <c r="AJ350" s="21" t="str">
        <f>IFERROR(VLOOKUP((CONCATENATE(AG350,AI350)),Listados!$U$3:$V$11,2,FALSE),"")</f>
        <v/>
      </c>
      <c r="AK350" s="48">
        <f t="shared" si="78"/>
        <v>100</v>
      </c>
      <c r="AL350" s="431"/>
      <c r="AM350" s="433"/>
      <c r="AN350" s="169">
        <f>+IF(AND(Q350="Preventivo",AM349="Fuerte"),2,IF(AND(Q350="Preventivo",AM349="Moderado"),1,0))</f>
        <v>0</v>
      </c>
      <c r="AO350" s="169">
        <f t="shared" si="79"/>
        <v>0</v>
      </c>
      <c r="AP350" s="169" t="e">
        <f>+K349-AN350</f>
        <v>#N/A</v>
      </c>
      <c r="AQ350" s="169" t="e">
        <f>+M349-AO350</f>
        <v>#N/A</v>
      </c>
      <c r="AR350" s="422"/>
      <c r="AS350" s="422"/>
      <c r="AT350" s="422"/>
      <c r="AU350" s="422"/>
      <c r="AV350" s="387"/>
      <c r="AW350" s="388"/>
      <c r="AX350" s="389"/>
      <c r="AY350" s="387"/>
      <c r="AZ350" s="388"/>
      <c r="BA350" s="389"/>
      <c r="BB350" s="387"/>
      <c r="BC350" s="388"/>
      <c r="BD350" s="389"/>
    </row>
    <row r="351" spans="1:56" ht="15.75" thickBot="1">
      <c r="A351" s="405"/>
      <c r="B351" s="439"/>
      <c r="C351" s="440"/>
      <c r="D351" s="443"/>
      <c r="E351" s="152"/>
      <c r="F351" s="152"/>
      <c r="G351" s="128"/>
      <c r="H351" s="147"/>
      <c r="I351" s="129"/>
      <c r="J351" s="446"/>
      <c r="K351" s="425"/>
      <c r="L351" s="428"/>
      <c r="M351" s="425"/>
      <c r="N351" s="429"/>
      <c r="O351" s="47" t="s">
        <v>627</v>
      </c>
      <c r="P351" s="172"/>
      <c r="Q351" s="172"/>
      <c r="R351" s="172"/>
      <c r="S351" s="27" t="str">
        <f t="shared" si="68"/>
        <v/>
      </c>
      <c r="T351" s="172"/>
      <c r="U351" s="27" t="str">
        <f t="shared" si="69"/>
        <v/>
      </c>
      <c r="V351" s="150"/>
      <c r="W351" s="27" t="str">
        <f t="shared" si="70"/>
        <v/>
      </c>
      <c r="X351" s="150"/>
      <c r="Y351" s="27" t="str">
        <f t="shared" si="71"/>
        <v/>
      </c>
      <c r="Z351" s="150"/>
      <c r="AA351" s="27" t="str">
        <f t="shared" si="72"/>
        <v/>
      </c>
      <c r="AB351" s="150"/>
      <c r="AC351" s="27" t="str">
        <f t="shared" si="73"/>
        <v/>
      </c>
      <c r="AD351" s="150"/>
      <c r="AE351" s="27" t="str">
        <f t="shared" si="74"/>
        <v/>
      </c>
      <c r="AF351" s="48" t="str">
        <f t="shared" si="75"/>
        <v/>
      </c>
      <c r="AG351" s="48" t="str">
        <f t="shared" si="76"/>
        <v/>
      </c>
      <c r="AH351" s="131"/>
      <c r="AI351" s="149" t="str">
        <f t="shared" si="77"/>
        <v>Débil</v>
      </c>
      <c r="AJ351" s="21" t="str">
        <f>IFERROR(VLOOKUP((CONCATENATE(AG351,AI351)),Listados!$U$3:$V$11,2,FALSE),"")</f>
        <v/>
      </c>
      <c r="AK351" s="48">
        <f t="shared" si="78"/>
        <v>100</v>
      </c>
      <c r="AL351" s="431"/>
      <c r="AM351" s="433"/>
      <c r="AN351" s="169">
        <f>+IF(AND(Q351="Preventivo",AM349="Fuerte"),2,IF(AND(Q351="Preventivo",AM349="Moderado"),1,0))</f>
        <v>0</v>
      </c>
      <c r="AO351" s="169">
        <f t="shared" si="79"/>
        <v>0</v>
      </c>
      <c r="AP351" s="169" t="e">
        <f>+K349-AN351</f>
        <v>#N/A</v>
      </c>
      <c r="AQ351" s="169" t="e">
        <f>+M349-AO351</f>
        <v>#N/A</v>
      </c>
      <c r="AR351" s="422"/>
      <c r="AS351" s="422"/>
      <c r="AT351" s="422"/>
      <c r="AU351" s="422"/>
      <c r="AV351" s="387"/>
      <c r="AW351" s="388"/>
      <c r="AX351" s="389"/>
      <c r="AY351" s="387"/>
      <c r="AZ351" s="388"/>
      <c r="BA351" s="389"/>
      <c r="BB351" s="387"/>
      <c r="BC351" s="388"/>
      <c r="BD351" s="389"/>
    </row>
    <row r="352" spans="1:56" ht="15.75" thickBot="1">
      <c r="A352" s="405"/>
      <c r="B352" s="439"/>
      <c r="C352" s="440"/>
      <c r="D352" s="443"/>
      <c r="E352" s="152"/>
      <c r="F352" s="152"/>
      <c r="G352" s="190"/>
      <c r="H352" s="147"/>
      <c r="I352" s="129"/>
      <c r="J352" s="446"/>
      <c r="K352" s="425"/>
      <c r="L352" s="428"/>
      <c r="M352" s="425"/>
      <c r="N352" s="429"/>
      <c r="O352" s="47" t="s">
        <v>627</v>
      </c>
      <c r="P352" s="172"/>
      <c r="Q352" s="172"/>
      <c r="R352" s="172"/>
      <c r="S352" s="27" t="str">
        <f t="shared" si="68"/>
        <v/>
      </c>
      <c r="T352" s="172"/>
      <c r="U352" s="27" t="str">
        <f t="shared" si="69"/>
        <v/>
      </c>
      <c r="V352" s="150"/>
      <c r="W352" s="27" t="str">
        <f t="shared" si="70"/>
        <v/>
      </c>
      <c r="X352" s="150"/>
      <c r="Y352" s="27" t="str">
        <f t="shared" si="71"/>
        <v/>
      </c>
      <c r="Z352" s="150"/>
      <c r="AA352" s="27" t="str">
        <f t="shared" si="72"/>
        <v/>
      </c>
      <c r="AB352" s="150"/>
      <c r="AC352" s="27" t="str">
        <f t="shared" si="73"/>
        <v/>
      </c>
      <c r="AD352" s="150"/>
      <c r="AE352" s="27" t="str">
        <f t="shared" si="74"/>
        <v/>
      </c>
      <c r="AF352" s="48" t="str">
        <f t="shared" si="75"/>
        <v/>
      </c>
      <c r="AG352" s="48" t="str">
        <f t="shared" si="76"/>
        <v/>
      </c>
      <c r="AH352" s="131"/>
      <c r="AI352" s="149" t="str">
        <f t="shared" si="77"/>
        <v>Débil</v>
      </c>
      <c r="AJ352" s="21" t="str">
        <f>IFERROR(VLOOKUP((CONCATENATE(AG352,AI352)),Listados!$U$3:$V$11,2,FALSE),"")</f>
        <v/>
      </c>
      <c r="AK352" s="48">
        <f t="shared" si="78"/>
        <v>100</v>
      </c>
      <c r="AL352" s="431"/>
      <c r="AM352" s="433"/>
      <c r="AN352" s="169">
        <f>+IF(AND(Q352="Preventivo",AM349="Fuerte"),2,IF(AND(Q352="Preventivo",AM349="Moderado"),1,0))</f>
        <v>0</v>
      </c>
      <c r="AO352" s="169">
        <f t="shared" si="79"/>
        <v>0</v>
      </c>
      <c r="AP352" s="169" t="e">
        <f>+K349-AN352</f>
        <v>#N/A</v>
      </c>
      <c r="AQ352" s="169" t="e">
        <f>+M349-AO352</f>
        <v>#N/A</v>
      </c>
      <c r="AR352" s="422"/>
      <c r="AS352" s="422"/>
      <c r="AT352" s="422"/>
      <c r="AU352" s="422"/>
      <c r="AV352" s="387"/>
      <c r="AW352" s="388"/>
      <c r="AX352" s="389"/>
      <c r="AY352" s="387"/>
      <c r="AZ352" s="388"/>
      <c r="BA352" s="389"/>
      <c r="BB352" s="387"/>
      <c r="BC352" s="388"/>
      <c r="BD352" s="389"/>
    </row>
    <row r="353" spans="1:56" ht="15.75" thickBot="1">
      <c r="A353" s="405"/>
      <c r="B353" s="439"/>
      <c r="C353" s="440"/>
      <c r="D353" s="443"/>
      <c r="E353" s="109"/>
      <c r="F353" s="109"/>
      <c r="G353" s="28"/>
      <c r="H353" s="29"/>
      <c r="I353" s="129"/>
      <c r="J353" s="446"/>
      <c r="K353" s="425"/>
      <c r="L353" s="428"/>
      <c r="M353" s="425"/>
      <c r="N353" s="429"/>
      <c r="O353" s="47" t="s">
        <v>627</v>
      </c>
      <c r="P353" s="172"/>
      <c r="Q353" s="172"/>
      <c r="R353" s="172"/>
      <c r="S353" s="27" t="str">
        <f t="shared" si="68"/>
        <v/>
      </c>
      <c r="T353" s="172"/>
      <c r="U353" s="27" t="str">
        <f t="shared" si="69"/>
        <v/>
      </c>
      <c r="V353" s="150"/>
      <c r="W353" s="27" t="str">
        <f t="shared" si="70"/>
        <v/>
      </c>
      <c r="X353" s="150"/>
      <c r="Y353" s="27" t="str">
        <f t="shared" si="71"/>
        <v/>
      </c>
      <c r="Z353" s="150"/>
      <c r="AA353" s="27" t="str">
        <f t="shared" si="72"/>
        <v/>
      </c>
      <c r="AB353" s="150"/>
      <c r="AC353" s="27" t="str">
        <f t="shared" si="73"/>
        <v/>
      </c>
      <c r="AD353" s="150"/>
      <c r="AE353" s="27" t="str">
        <f t="shared" si="74"/>
        <v/>
      </c>
      <c r="AF353" s="48" t="str">
        <f t="shared" si="75"/>
        <v/>
      </c>
      <c r="AG353" s="48" t="str">
        <f t="shared" si="76"/>
        <v/>
      </c>
      <c r="AH353" s="131"/>
      <c r="AI353" s="149" t="str">
        <f t="shared" si="77"/>
        <v>Débil</v>
      </c>
      <c r="AJ353" s="21" t="str">
        <f>IFERROR(VLOOKUP((CONCATENATE(AG353,AI353)),Listados!$U$3:$V$11,2,FALSE),"")</f>
        <v/>
      </c>
      <c r="AK353" s="48">
        <f t="shared" si="78"/>
        <v>100</v>
      </c>
      <c r="AL353" s="431"/>
      <c r="AM353" s="433"/>
      <c r="AN353" s="169">
        <f>+IF(AND(Q353="Preventivo",AM349="Fuerte"),2,IF(AND(Q353="Preventivo",AM349="Moderado"),1,0))</f>
        <v>0</v>
      </c>
      <c r="AO353" s="169">
        <f t="shared" si="79"/>
        <v>0</v>
      </c>
      <c r="AP353" s="169" t="e">
        <f>+K349-AN353</f>
        <v>#N/A</v>
      </c>
      <c r="AQ353" s="169" t="e">
        <f>+M349-AO353</f>
        <v>#N/A</v>
      </c>
      <c r="AR353" s="422"/>
      <c r="AS353" s="422"/>
      <c r="AT353" s="422"/>
      <c r="AU353" s="422"/>
      <c r="AV353" s="387"/>
      <c r="AW353" s="388"/>
      <c r="AX353" s="389"/>
      <c r="AY353" s="387"/>
      <c r="AZ353" s="388"/>
      <c r="BA353" s="389"/>
      <c r="BB353" s="387"/>
      <c r="BC353" s="388"/>
      <c r="BD353" s="389"/>
    </row>
    <row r="354" spans="1:56" ht="15.75" thickBot="1">
      <c r="A354" s="406"/>
      <c r="B354" s="439"/>
      <c r="C354" s="441"/>
      <c r="D354" s="444"/>
      <c r="E354" s="106"/>
      <c r="F354" s="106"/>
      <c r="G354" s="30"/>
      <c r="H354" s="31"/>
      <c r="I354" s="129"/>
      <c r="J354" s="446"/>
      <c r="K354" s="426"/>
      <c r="L354" s="428"/>
      <c r="M354" s="426"/>
      <c r="N354" s="429"/>
      <c r="O354" s="47" t="s">
        <v>627</v>
      </c>
      <c r="P354" s="172"/>
      <c r="Q354" s="172"/>
      <c r="R354" s="172"/>
      <c r="S354" s="27" t="str">
        <f t="shared" si="68"/>
        <v/>
      </c>
      <c r="T354" s="172"/>
      <c r="U354" s="27" t="str">
        <f t="shared" si="69"/>
        <v/>
      </c>
      <c r="V354" s="150"/>
      <c r="W354" s="27" t="str">
        <f t="shared" si="70"/>
        <v/>
      </c>
      <c r="X354" s="150"/>
      <c r="Y354" s="27" t="str">
        <f t="shared" si="71"/>
        <v/>
      </c>
      <c r="Z354" s="150"/>
      <c r="AA354" s="27" t="str">
        <f t="shared" si="72"/>
        <v/>
      </c>
      <c r="AB354" s="150"/>
      <c r="AC354" s="27" t="str">
        <f t="shared" si="73"/>
        <v/>
      </c>
      <c r="AD354" s="150"/>
      <c r="AE354" s="27" t="str">
        <f t="shared" si="74"/>
        <v/>
      </c>
      <c r="AF354" s="48" t="str">
        <f t="shared" si="75"/>
        <v/>
      </c>
      <c r="AG354" s="48" t="str">
        <f t="shared" si="76"/>
        <v/>
      </c>
      <c r="AH354" s="131"/>
      <c r="AI354" s="149" t="str">
        <f t="shared" si="77"/>
        <v>Débil</v>
      </c>
      <c r="AJ354" s="21" t="str">
        <f>IFERROR(VLOOKUP((CONCATENATE(AG354,AI354)),Listados!$U$3:$V$11,2,FALSE),"")</f>
        <v/>
      </c>
      <c r="AK354" s="48">
        <f t="shared" si="78"/>
        <v>100</v>
      </c>
      <c r="AL354" s="432"/>
      <c r="AM354" s="433"/>
      <c r="AN354" s="169">
        <f>+IF(AND(Q354="Preventivo",AM349="Fuerte"),2,IF(AND(Q354="Preventivo",AM349="Moderado"),1,0))</f>
        <v>0</v>
      </c>
      <c r="AO354" s="169">
        <f t="shared" si="79"/>
        <v>0</v>
      </c>
      <c r="AP354" s="169" t="e">
        <f>+K349-AN354</f>
        <v>#N/A</v>
      </c>
      <c r="AQ354" s="169" t="e">
        <f>+M349-AO354</f>
        <v>#N/A</v>
      </c>
      <c r="AR354" s="423"/>
      <c r="AS354" s="423"/>
      <c r="AT354" s="423"/>
      <c r="AU354" s="423"/>
      <c r="AV354" s="387"/>
      <c r="AW354" s="388"/>
      <c r="AX354" s="389"/>
      <c r="AY354" s="387"/>
      <c r="AZ354" s="388"/>
      <c r="BA354" s="389"/>
      <c r="BB354" s="387"/>
      <c r="BC354" s="388"/>
      <c r="BD354" s="389"/>
    </row>
    <row r="355" spans="1:56" ht="15.75" thickBot="1">
      <c r="A355" s="404">
        <v>59</v>
      </c>
      <c r="B355" s="449"/>
      <c r="C355" s="447" t="str">
        <f>IFERROR(VLOOKUP(B355,Listados!B$3:C$20,2,FALSE),"")</f>
        <v/>
      </c>
      <c r="D355" s="448"/>
      <c r="E355" s="107"/>
      <c r="F355" s="107"/>
      <c r="G355" s="100"/>
      <c r="H355" s="103"/>
      <c r="I355" s="17"/>
      <c r="J355" s="445"/>
      <c r="K355" s="424" t="e">
        <f>+VLOOKUP(J355,Listados!$K$8:$L$12,2,0)</f>
        <v>#N/A</v>
      </c>
      <c r="L355" s="427"/>
      <c r="M355" s="424" t="e">
        <f>+VLOOKUP(L355,Listados!$K$13:$L$17,2,0)</f>
        <v>#N/A</v>
      </c>
      <c r="N355" s="423" t="str">
        <f>IF(AND(J355&lt;&gt;"",L355&lt;&gt;""),VLOOKUP(J355&amp;L355,Listados!$M$3:$N$27,2,FALSE),"")</f>
        <v/>
      </c>
      <c r="O355" s="47" t="s">
        <v>627</v>
      </c>
      <c r="P355" s="172"/>
      <c r="Q355" s="172"/>
      <c r="R355" s="172"/>
      <c r="S355" s="27" t="str">
        <f t="shared" si="68"/>
        <v/>
      </c>
      <c r="T355" s="172"/>
      <c r="U355" s="27" t="str">
        <f t="shared" si="69"/>
        <v/>
      </c>
      <c r="V355" s="150"/>
      <c r="W355" s="27" t="str">
        <f t="shared" si="70"/>
        <v/>
      </c>
      <c r="X355" s="150"/>
      <c r="Y355" s="27" t="str">
        <f t="shared" si="71"/>
        <v/>
      </c>
      <c r="Z355" s="150"/>
      <c r="AA355" s="27" t="str">
        <f t="shared" si="72"/>
        <v/>
      </c>
      <c r="AB355" s="150"/>
      <c r="AC355" s="27" t="str">
        <f t="shared" si="73"/>
        <v/>
      </c>
      <c r="AD355" s="150"/>
      <c r="AE355" s="27" t="str">
        <f t="shared" si="74"/>
        <v/>
      </c>
      <c r="AF355" s="48" t="str">
        <f t="shared" si="75"/>
        <v/>
      </c>
      <c r="AG355" s="48" t="str">
        <f t="shared" si="76"/>
        <v/>
      </c>
      <c r="AH355" s="131"/>
      <c r="AI355" s="149" t="str">
        <f t="shared" si="77"/>
        <v>Débil</v>
      </c>
      <c r="AJ355" s="21" t="str">
        <f>IFERROR(VLOOKUP((CONCATENATE(AG355,AI355)),Listados!$U$3:$V$11,2,FALSE),"")</f>
        <v/>
      </c>
      <c r="AK355" s="48">
        <f t="shared" si="78"/>
        <v>100</v>
      </c>
      <c r="AL355" s="430">
        <f>AVERAGE(AK355:AK360)</f>
        <v>100</v>
      </c>
      <c r="AM355" s="432" t="str">
        <f>IF(AL355&lt;=50, "Débil", IF(AL355&lt;=99,"Moderado","Fuerte"))</f>
        <v>Fuerte</v>
      </c>
      <c r="AN355" s="169">
        <f>+IF(AND(Q355="Preventivo",AM355="Fuerte"),2,IF(AND(Q355="Preventivo",AM355="Moderado"),1,0))</f>
        <v>0</v>
      </c>
      <c r="AO355" s="169">
        <f t="shared" si="79"/>
        <v>0</v>
      </c>
      <c r="AP355" s="169" t="e">
        <f>+K355-AN355</f>
        <v>#N/A</v>
      </c>
      <c r="AQ355" s="169" t="e">
        <f>+M355-AO355</f>
        <v>#N/A</v>
      </c>
      <c r="AR355" s="421" t="e">
        <f>+VLOOKUP(MIN(AP355,AP356,AP357,AP358,AP359,AP360),Listados!$J$18:$K$24,2,TRUE)</f>
        <v>#N/A</v>
      </c>
      <c r="AS355" s="421" t="e">
        <f>+VLOOKUP(MIN(AQ355,AQ356,AQ357,AQ358,AQ359,AQ360),Listados!$J$27:$K$32,2,TRUE)</f>
        <v>#N/A</v>
      </c>
      <c r="AT355" s="421" t="e">
        <f>IF(AND(AR355&lt;&gt;"",AS355&lt;&gt;""),VLOOKUP(AR355&amp;AS355,Listados!$M$3:$N$27,2,FALSE),"")</f>
        <v>#N/A</v>
      </c>
      <c r="AU355" s="421" t="e">
        <f>+VLOOKUP(AT355,Listados!$P$3:$Q$6,2,FALSE)</f>
        <v>#N/A</v>
      </c>
      <c r="AV355" s="387"/>
      <c r="AW355" s="388"/>
      <c r="AX355" s="389"/>
      <c r="AY355" s="387"/>
      <c r="AZ355" s="388"/>
      <c r="BA355" s="389"/>
      <c r="BB355" s="387"/>
      <c r="BC355" s="388"/>
      <c r="BD355" s="389"/>
    </row>
    <row r="356" spans="1:56" ht="15.75" thickBot="1">
      <c r="A356" s="405"/>
      <c r="B356" s="439"/>
      <c r="C356" s="440"/>
      <c r="D356" s="443"/>
      <c r="E356" s="152"/>
      <c r="F356" s="152"/>
      <c r="G356" s="128"/>
      <c r="H356" s="147"/>
      <c r="I356" s="129"/>
      <c r="J356" s="446"/>
      <c r="K356" s="425"/>
      <c r="L356" s="428"/>
      <c r="M356" s="425"/>
      <c r="N356" s="429"/>
      <c r="O356" s="47" t="s">
        <v>627</v>
      </c>
      <c r="P356" s="172"/>
      <c r="Q356" s="172"/>
      <c r="R356" s="172"/>
      <c r="S356" s="27" t="str">
        <f t="shared" si="68"/>
        <v/>
      </c>
      <c r="T356" s="172"/>
      <c r="U356" s="27" t="str">
        <f t="shared" si="69"/>
        <v/>
      </c>
      <c r="V356" s="150"/>
      <c r="W356" s="27" t="str">
        <f t="shared" si="70"/>
        <v/>
      </c>
      <c r="X356" s="150"/>
      <c r="Y356" s="27" t="str">
        <f t="shared" si="71"/>
        <v/>
      </c>
      <c r="Z356" s="150"/>
      <c r="AA356" s="27" t="str">
        <f t="shared" si="72"/>
        <v/>
      </c>
      <c r="AB356" s="150"/>
      <c r="AC356" s="27" t="str">
        <f t="shared" si="73"/>
        <v/>
      </c>
      <c r="AD356" s="150"/>
      <c r="AE356" s="27" t="str">
        <f t="shared" si="74"/>
        <v/>
      </c>
      <c r="AF356" s="48" t="str">
        <f t="shared" si="75"/>
        <v/>
      </c>
      <c r="AG356" s="48" t="str">
        <f t="shared" si="76"/>
        <v/>
      </c>
      <c r="AH356" s="131"/>
      <c r="AI356" s="149" t="str">
        <f t="shared" si="77"/>
        <v>Débil</v>
      </c>
      <c r="AJ356" s="21" t="str">
        <f>IFERROR(VLOOKUP((CONCATENATE(AG356,AI356)),Listados!$U$3:$V$11,2,FALSE),"")</f>
        <v/>
      </c>
      <c r="AK356" s="48">
        <f t="shared" si="78"/>
        <v>100</v>
      </c>
      <c r="AL356" s="431"/>
      <c r="AM356" s="433"/>
      <c r="AN356" s="169">
        <f>+IF(AND(Q356="Preventivo",AM355="Fuerte"),2,IF(AND(Q356="Preventivo",AM355="Moderado"),1,0))</f>
        <v>0</v>
      </c>
      <c r="AO356" s="169">
        <f t="shared" si="79"/>
        <v>0</v>
      </c>
      <c r="AP356" s="169" t="e">
        <f>+K355-AN356</f>
        <v>#N/A</v>
      </c>
      <c r="AQ356" s="169" t="e">
        <f>+M355-AO356</f>
        <v>#N/A</v>
      </c>
      <c r="AR356" s="422"/>
      <c r="AS356" s="422"/>
      <c r="AT356" s="422"/>
      <c r="AU356" s="422"/>
      <c r="AV356" s="387"/>
      <c r="AW356" s="388"/>
      <c r="AX356" s="389"/>
      <c r="AY356" s="387"/>
      <c r="AZ356" s="388"/>
      <c r="BA356" s="389"/>
      <c r="BB356" s="387"/>
      <c r="BC356" s="388"/>
      <c r="BD356" s="389"/>
    </row>
    <row r="357" spans="1:56" ht="15.75" thickBot="1">
      <c r="A357" s="405"/>
      <c r="B357" s="439"/>
      <c r="C357" s="440"/>
      <c r="D357" s="443"/>
      <c r="E357" s="152"/>
      <c r="F357" s="152"/>
      <c r="G357" s="128"/>
      <c r="H357" s="147"/>
      <c r="I357" s="129"/>
      <c r="J357" s="446"/>
      <c r="K357" s="425"/>
      <c r="L357" s="428"/>
      <c r="M357" s="425"/>
      <c r="N357" s="429"/>
      <c r="O357" s="47" t="s">
        <v>627</v>
      </c>
      <c r="P357" s="172"/>
      <c r="Q357" s="172"/>
      <c r="R357" s="172"/>
      <c r="S357" s="27" t="str">
        <f t="shared" si="68"/>
        <v/>
      </c>
      <c r="T357" s="172"/>
      <c r="U357" s="27" t="str">
        <f t="shared" si="69"/>
        <v/>
      </c>
      <c r="V357" s="150"/>
      <c r="W357" s="27" t="str">
        <f t="shared" si="70"/>
        <v/>
      </c>
      <c r="X357" s="150"/>
      <c r="Y357" s="27" t="str">
        <f t="shared" si="71"/>
        <v/>
      </c>
      <c r="Z357" s="150"/>
      <c r="AA357" s="27" t="str">
        <f t="shared" si="72"/>
        <v/>
      </c>
      <c r="AB357" s="150"/>
      <c r="AC357" s="27" t="str">
        <f t="shared" si="73"/>
        <v/>
      </c>
      <c r="AD357" s="150"/>
      <c r="AE357" s="27" t="str">
        <f t="shared" si="74"/>
        <v/>
      </c>
      <c r="AF357" s="48" t="str">
        <f t="shared" si="75"/>
        <v/>
      </c>
      <c r="AG357" s="48" t="str">
        <f t="shared" si="76"/>
        <v/>
      </c>
      <c r="AH357" s="131"/>
      <c r="AI357" s="149" t="str">
        <f t="shared" si="77"/>
        <v>Débil</v>
      </c>
      <c r="AJ357" s="21" t="str">
        <f>IFERROR(VLOOKUP((CONCATENATE(AG357,AI357)),Listados!$U$3:$V$11,2,FALSE),"")</f>
        <v/>
      </c>
      <c r="AK357" s="48">
        <f t="shared" si="78"/>
        <v>100</v>
      </c>
      <c r="AL357" s="431"/>
      <c r="AM357" s="433"/>
      <c r="AN357" s="169">
        <f>+IF(AND(Q357="Preventivo",AM355="Fuerte"),2,IF(AND(Q357="Preventivo",AM355="Moderado"),1,0))</f>
        <v>0</v>
      </c>
      <c r="AO357" s="169">
        <f t="shared" si="79"/>
        <v>0</v>
      </c>
      <c r="AP357" s="169" t="e">
        <f>+K355-AN357</f>
        <v>#N/A</v>
      </c>
      <c r="AQ357" s="169" t="e">
        <f>+M355-AO357</f>
        <v>#N/A</v>
      </c>
      <c r="AR357" s="422"/>
      <c r="AS357" s="422"/>
      <c r="AT357" s="422"/>
      <c r="AU357" s="422"/>
      <c r="AV357" s="387"/>
      <c r="AW357" s="388"/>
      <c r="AX357" s="389"/>
      <c r="AY357" s="387"/>
      <c r="AZ357" s="388"/>
      <c r="BA357" s="389"/>
      <c r="BB357" s="387"/>
      <c r="BC357" s="388"/>
      <c r="BD357" s="389"/>
    </row>
    <row r="358" spans="1:56" ht="15.75" thickBot="1">
      <c r="A358" s="405"/>
      <c r="B358" s="439"/>
      <c r="C358" s="440"/>
      <c r="D358" s="443"/>
      <c r="E358" s="152"/>
      <c r="F358" s="152"/>
      <c r="G358" s="190"/>
      <c r="H358" s="147"/>
      <c r="I358" s="129"/>
      <c r="J358" s="446"/>
      <c r="K358" s="425"/>
      <c r="L358" s="428"/>
      <c r="M358" s="425"/>
      <c r="N358" s="429"/>
      <c r="O358" s="47" t="s">
        <v>627</v>
      </c>
      <c r="P358" s="172"/>
      <c r="Q358" s="172"/>
      <c r="R358" s="172"/>
      <c r="S358" s="27" t="str">
        <f t="shared" si="68"/>
        <v/>
      </c>
      <c r="T358" s="172"/>
      <c r="U358" s="27" t="str">
        <f t="shared" si="69"/>
        <v/>
      </c>
      <c r="V358" s="150"/>
      <c r="W358" s="27" t="str">
        <f t="shared" si="70"/>
        <v/>
      </c>
      <c r="X358" s="150"/>
      <c r="Y358" s="27" t="str">
        <f t="shared" si="71"/>
        <v/>
      </c>
      <c r="Z358" s="150"/>
      <c r="AA358" s="27" t="str">
        <f t="shared" si="72"/>
        <v/>
      </c>
      <c r="AB358" s="150"/>
      <c r="AC358" s="27" t="str">
        <f t="shared" si="73"/>
        <v/>
      </c>
      <c r="AD358" s="150"/>
      <c r="AE358" s="27" t="str">
        <f t="shared" si="74"/>
        <v/>
      </c>
      <c r="AF358" s="48" t="str">
        <f t="shared" si="75"/>
        <v/>
      </c>
      <c r="AG358" s="48" t="str">
        <f t="shared" si="76"/>
        <v/>
      </c>
      <c r="AH358" s="131"/>
      <c r="AI358" s="149" t="str">
        <f t="shared" si="77"/>
        <v>Débil</v>
      </c>
      <c r="AJ358" s="21" t="str">
        <f>IFERROR(VLOOKUP((CONCATENATE(AG358,AI358)),Listados!$U$3:$V$11,2,FALSE),"")</f>
        <v/>
      </c>
      <c r="AK358" s="48">
        <f t="shared" si="78"/>
        <v>100</v>
      </c>
      <c r="AL358" s="431"/>
      <c r="AM358" s="433"/>
      <c r="AN358" s="169">
        <f>+IF(AND(Q358="Preventivo",AM355="Fuerte"),2,IF(AND(Q358="Preventivo",AM355="Moderado"),1,0))</f>
        <v>0</v>
      </c>
      <c r="AO358" s="169">
        <f t="shared" si="79"/>
        <v>0</v>
      </c>
      <c r="AP358" s="169" t="e">
        <f>+K355-AN358</f>
        <v>#N/A</v>
      </c>
      <c r="AQ358" s="169" t="e">
        <f>+M355-AO358</f>
        <v>#N/A</v>
      </c>
      <c r="AR358" s="422"/>
      <c r="AS358" s="422"/>
      <c r="AT358" s="422"/>
      <c r="AU358" s="422"/>
      <c r="AV358" s="387"/>
      <c r="AW358" s="388"/>
      <c r="AX358" s="389"/>
      <c r="AY358" s="387"/>
      <c r="AZ358" s="388"/>
      <c r="BA358" s="389"/>
      <c r="BB358" s="387"/>
      <c r="BC358" s="388"/>
      <c r="BD358" s="389"/>
    </row>
    <row r="359" spans="1:56" ht="15.75" thickBot="1">
      <c r="A359" s="405"/>
      <c r="B359" s="439"/>
      <c r="C359" s="440"/>
      <c r="D359" s="443"/>
      <c r="E359" s="109"/>
      <c r="F359" s="109"/>
      <c r="G359" s="28"/>
      <c r="H359" s="29"/>
      <c r="I359" s="129"/>
      <c r="J359" s="446"/>
      <c r="K359" s="425"/>
      <c r="L359" s="428"/>
      <c r="M359" s="425"/>
      <c r="N359" s="429"/>
      <c r="O359" s="47" t="s">
        <v>627</v>
      </c>
      <c r="P359" s="172"/>
      <c r="Q359" s="172"/>
      <c r="R359" s="172"/>
      <c r="S359" s="27" t="str">
        <f t="shared" si="68"/>
        <v/>
      </c>
      <c r="T359" s="172"/>
      <c r="U359" s="27" t="str">
        <f t="shared" si="69"/>
        <v/>
      </c>
      <c r="V359" s="150"/>
      <c r="W359" s="27" t="str">
        <f t="shared" si="70"/>
        <v/>
      </c>
      <c r="X359" s="150"/>
      <c r="Y359" s="27" t="str">
        <f t="shared" si="71"/>
        <v/>
      </c>
      <c r="Z359" s="150"/>
      <c r="AA359" s="27" t="str">
        <f t="shared" si="72"/>
        <v/>
      </c>
      <c r="AB359" s="150"/>
      <c r="AC359" s="27" t="str">
        <f t="shared" si="73"/>
        <v/>
      </c>
      <c r="AD359" s="150"/>
      <c r="AE359" s="27" t="str">
        <f t="shared" si="74"/>
        <v/>
      </c>
      <c r="AF359" s="48" t="str">
        <f t="shared" si="75"/>
        <v/>
      </c>
      <c r="AG359" s="48" t="str">
        <f t="shared" si="76"/>
        <v/>
      </c>
      <c r="AH359" s="131"/>
      <c r="AI359" s="149" t="str">
        <f t="shared" si="77"/>
        <v>Débil</v>
      </c>
      <c r="AJ359" s="21" t="str">
        <f>IFERROR(VLOOKUP((CONCATENATE(AG359,AI359)),Listados!$U$3:$V$11,2,FALSE),"")</f>
        <v/>
      </c>
      <c r="AK359" s="48">
        <f t="shared" si="78"/>
        <v>100</v>
      </c>
      <c r="AL359" s="431"/>
      <c r="AM359" s="433"/>
      <c r="AN359" s="169">
        <f>+IF(AND(Q359="Preventivo",AM355="Fuerte"),2,IF(AND(Q359="Preventivo",AM355="Moderado"),1,0))</f>
        <v>0</v>
      </c>
      <c r="AO359" s="169">
        <f t="shared" si="79"/>
        <v>0</v>
      </c>
      <c r="AP359" s="169" t="e">
        <f>+K355-AN359</f>
        <v>#N/A</v>
      </c>
      <c r="AQ359" s="169" t="e">
        <f>+M355-AO359</f>
        <v>#N/A</v>
      </c>
      <c r="AR359" s="422"/>
      <c r="AS359" s="422"/>
      <c r="AT359" s="422"/>
      <c r="AU359" s="422"/>
      <c r="AV359" s="387"/>
      <c r="AW359" s="388"/>
      <c r="AX359" s="389"/>
      <c r="AY359" s="387"/>
      <c r="AZ359" s="388"/>
      <c r="BA359" s="389"/>
      <c r="BB359" s="387"/>
      <c r="BC359" s="388"/>
      <c r="BD359" s="389"/>
    </row>
    <row r="360" spans="1:56" ht="15.75" thickBot="1">
      <c r="A360" s="406"/>
      <c r="B360" s="439"/>
      <c r="C360" s="441"/>
      <c r="D360" s="444"/>
      <c r="E360" s="106"/>
      <c r="F360" s="106"/>
      <c r="G360" s="30"/>
      <c r="H360" s="31"/>
      <c r="I360" s="129"/>
      <c r="J360" s="446"/>
      <c r="K360" s="426"/>
      <c r="L360" s="428"/>
      <c r="M360" s="426"/>
      <c r="N360" s="429"/>
      <c r="O360" s="47" t="s">
        <v>627</v>
      </c>
      <c r="P360" s="172"/>
      <c r="Q360" s="172"/>
      <c r="R360" s="172"/>
      <c r="S360" s="27" t="str">
        <f t="shared" si="68"/>
        <v/>
      </c>
      <c r="T360" s="172"/>
      <c r="U360" s="27" t="str">
        <f t="shared" si="69"/>
        <v/>
      </c>
      <c r="V360" s="150"/>
      <c r="W360" s="27" t="str">
        <f t="shared" si="70"/>
        <v/>
      </c>
      <c r="X360" s="150"/>
      <c r="Y360" s="27" t="str">
        <f t="shared" si="71"/>
        <v/>
      </c>
      <c r="Z360" s="150"/>
      <c r="AA360" s="27" t="str">
        <f t="shared" si="72"/>
        <v/>
      </c>
      <c r="AB360" s="150"/>
      <c r="AC360" s="27" t="str">
        <f t="shared" si="73"/>
        <v/>
      </c>
      <c r="AD360" s="150"/>
      <c r="AE360" s="27" t="str">
        <f t="shared" si="74"/>
        <v/>
      </c>
      <c r="AF360" s="48" t="str">
        <f t="shared" si="75"/>
        <v/>
      </c>
      <c r="AG360" s="48" t="str">
        <f t="shared" si="76"/>
        <v/>
      </c>
      <c r="AH360" s="131"/>
      <c r="AI360" s="149" t="str">
        <f t="shared" si="77"/>
        <v>Débil</v>
      </c>
      <c r="AJ360" s="21" t="str">
        <f>IFERROR(VLOOKUP((CONCATENATE(AG360,AI360)),Listados!$U$3:$V$11,2,FALSE),"")</f>
        <v/>
      </c>
      <c r="AK360" s="48">
        <f t="shared" si="78"/>
        <v>100</v>
      </c>
      <c r="AL360" s="432"/>
      <c r="AM360" s="433"/>
      <c r="AN360" s="169">
        <f>+IF(AND(Q360="Preventivo",AM355="Fuerte"),2,IF(AND(Q360="Preventivo",AM355="Moderado"),1,0))</f>
        <v>0</v>
      </c>
      <c r="AO360" s="169">
        <f t="shared" si="79"/>
        <v>0</v>
      </c>
      <c r="AP360" s="169" t="e">
        <f>+K355-AN360</f>
        <v>#N/A</v>
      </c>
      <c r="AQ360" s="169" t="e">
        <f>+M355-AO360</f>
        <v>#N/A</v>
      </c>
      <c r="AR360" s="423"/>
      <c r="AS360" s="423"/>
      <c r="AT360" s="423"/>
      <c r="AU360" s="423"/>
      <c r="AV360" s="387"/>
      <c r="AW360" s="388"/>
      <c r="AX360" s="389"/>
      <c r="AY360" s="387"/>
      <c r="AZ360" s="388"/>
      <c r="BA360" s="389"/>
      <c r="BB360" s="387"/>
      <c r="BC360" s="388"/>
      <c r="BD360" s="389"/>
    </row>
    <row r="361" spans="1:56" ht="15.75" thickBot="1">
      <c r="A361" s="404">
        <v>60</v>
      </c>
      <c r="B361" s="450"/>
      <c r="C361" s="447" t="str">
        <f>IFERROR(VLOOKUP(B361,Listados!B$3:C$20,2,FALSE),"")</f>
        <v/>
      </c>
      <c r="D361" s="448"/>
      <c r="E361" s="107"/>
      <c r="F361" s="107"/>
      <c r="G361" s="100"/>
      <c r="H361" s="103"/>
      <c r="I361" s="17"/>
      <c r="J361" s="445"/>
      <c r="K361" s="424" t="e">
        <f>+VLOOKUP(J361,Listados!$K$8:$L$12,2,0)</f>
        <v>#N/A</v>
      </c>
      <c r="L361" s="427"/>
      <c r="M361" s="424" t="e">
        <f>+VLOOKUP(L361,Listados!$K$13:$L$17,2,0)</f>
        <v>#N/A</v>
      </c>
      <c r="N361" s="423" t="str">
        <f>IF(AND(J361&lt;&gt;"",L361&lt;&gt;""),VLOOKUP(J361&amp;L361,Listados!$M$3:$N$27,2,FALSE),"")</f>
        <v/>
      </c>
      <c r="O361" s="47" t="s">
        <v>627</v>
      </c>
      <c r="P361" s="172"/>
      <c r="Q361" s="172"/>
      <c r="R361" s="172"/>
      <c r="S361" s="27" t="str">
        <f t="shared" si="68"/>
        <v/>
      </c>
      <c r="T361" s="172"/>
      <c r="U361" s="27" t="str">
        <f t="shared" si="69"/>
        <v/>
      </c>
      <c r="V361" s="150"/>
      <c r="W361" s="27" t="str">
        <f t="shared" si="70"/>
        <v/>
      </c>
      <c r="X361" s="150"/>
      <c r="Y361" s="27" t="str">
        <f t="shared" si="71"/>
        <v/>
      </c>
      <c r="Z361" s="150"/>
      <c r="AA361" s="27" t="str">
        <f t="shared" si="72"/>
        <v/>
      </c>
      <c r="AB361" s="150"/>
      <c r="AC361" s="27" t="str">
        <f t="shared" si="73"/>
        <v/>
      </c>
      <c r="AD361" s="150"/>
      <c r="AE361" s="27" t="str">
        <f t="shared" si="74"/>
        <v/>
      </c>
      <c r="AF361" s="48" t="str">
        <f t="shared" si="75"/>
        <v/>
      </c>
      <c r="AG361" s="48" t="str">
        <f t="shared" si="76"/>
        <v/>
      </c>
      <c r="AH361" s="131"/>
      <c r="AI361" s="149" t="str">
        <f t="shared" si="77"/>
        <v>Débil</v>
      </c>
      <c r="AJ361" s="21" t="str">
        <f>IFERROR(VLOOKUP((CONCATENATE(AG361,AI361)),Listados!$U$3:$V$11,2,FALSE),"")</f>
        <v/>
      </c>
      <c r="AK361" s="48">
        <f t="shared" si="78"/>
        <v>100</v>
      </c>
      <c r="AL361" s="430">
        <f>AVERAGE(AK361:AK366)</f>
        <v>100</v>
      </c>
      <c r="AM361" s="432" t="str">
        <f>IF(AL361&lt;=50, "Débil", IF(AL361&lt;=99,"Moderado","Fuerte"))</f>
        <v>Fuerte</v>
      </c>
      <c r="AN361" s="169">
        <f>+IF(AND(Q361="Preventivo",AM361="Fuerte"),2,IF(AND(Q361="Preventivo",AM361="Moderado"),1,0))</f>
        <v>0</v>
      </c>
      <c r="AO361" s="169">
        <f t="shared" si="79"/>
        <v>0</v>
      </c>
      <c r="AP361" s="169" t="e">
        <f>+K361-AN361</f>
        <v>#N/A</v>
      </c>
      <c r="AQ361" s="169" t="e">
        <f>+M361-AO361</f>
        <v>#N/A</v>
      </c>
      <c r="AR361" s="421" t="e">
        <f>+VLOOKUP(MIN(AP361,AP362,AP363,AP364,AP365,AP366),Listados!$J$18:$K$24,2,TRUE)</f>
        <v>#N/A</v>
      </c>
      <c r="AS361" s="421" t="e">
        <f>+VLOOKUP(MIN(AQ361,AQ362,AQ363,AQ364,AQ365,AQ366),Listados!$J$27:$K$32,2,TRUE)</f>
        <v>#N/A</v>
      </c>
      <c r="AT361" s="421" t="e">
        <f>IF(AND(AR361&lt;&gt;"",AS361&lt;&gt;""),VLOOKUP(AR361&amp;AS361,Listados!$M$3:$N$27,2,FALSE),"")</f>
        <v>#N/A</v>
      </c>
      <c r="AU361" s="421" t="e">
        <f>+VLOOKUP(AT361,Listados!$P$3:$Q$6,2,FALSE)</f>
        <v>#N/A</v>
      </c>
      <c r="AV361" s="387"/>
      <c r="AW361" s="388"/>
      <c r="AX361" s="389"/>
      <c r="AY361" s="387"/>
      <c r="AZ361" s="388"/>
      <c r="BA361" s="389"/>
      <c r="BB361" s="387"/>
      <c r="BC361" s="388"/>
      <c r="BD361" s="389"/>
    </row>
    <row r="362" spans="1:56" ht="15.75" thickBot="1">
      <c r="A362" s="405"/>
      <c r="B362" s="450"/>
      <c r="C362" s="440"/>
      <c r="D362" s="443"/>
      <c r="E362" s="152"/>
      <c r="F362" s="152"/>
      <c r="G362" s="128"/>
      <c r="H362" s="147"/>
      <c r="I362" s="129"/>
      <c r="J362" s="446"/>
      <c r="K362" s="425"/>
      <c r="L362" s="428"/>
      <c r="M362" s="425"/>
      <c r="N362" s="429"/>
      <c r="O362" s="47" t="s">
        <v>627</v>
      </c>
      <c r="P362" s="172"/>
      <c r="Q362" s="172"/>
      <c r="R362" s="172"/>
      <c r="S362" s="27" t="str">
        <f t="shared" si="68"/>
        <v/>
      </c>
      <c r="T362" s="172"/>
      <c r="U362" s="27" t="str">
        <f t="shared" si="69"/>
        <v/>
      </c>
      <c r="V362" s="150"/>
      <c r="W362" s="27" t="str">
        <f t="shared" si="70"/>
        <v/>
      </c>
      <c r="X362" s="150"/>
      <c r="Y362" s="27" t="str">
        <f t="shared" si="71"/>
        <v/>
      </c>
      <c r="Z362" s="150"/>
      <c r="AA362" s="27" t="str">
        <f t="shared" si="72"/>
        <v/>
      </c>
      <c r="AB362" s="150"/>
      <c r="AC362" s="27" t="str">
        <f t="shared" si="73"/>
        <v/>
      </c>
      <c r="AD362" s="150"/>
      <c r="AE362" s="27" t="str">
        <f t="shared" si="74"/>
        <v/>
      </c>
      <c r="AF362" s="48" t="str">
        <f t="shared" si="75"/>
        <v/>
      </c>
      <c r="AG362" s="48" t="str">
        <f t="shared" si="76"/>
        <v/>
      </c>
      <c r="AH362" s="131"/>
      <c r="AI362" s="149" t="str">
        <f t="shared" si="77"/>
        <v>Débil</v>
      </c>
      <c r="AJ362" s="21" t="str">
        <f>IFERROR(VLOOKUP((CONCATENATE(AG362,AI362)),Listados!$U$3:$V$11,2,FALSE),"")</f>
        <v/>
      </c>
      <c r="AK362" s="48">
        <f t="shared" si="78"/>
        <v>100</v>
      </c>
      <c r="AL362" s="431"/>
      <c r="AM362" s="433"/>
      <c r="AN362" s="169">
        <f>+IF(AND(Q362="Preventivo",AM361="Fuerte"),2,IF(AND(Q362="Preventivo",AM361="Moderado"),1,0))</f>
        <v>0</v>
      </c>
      <c r="AO362" s="169">
        <f t="shared" si="79"/>
        <v>0</v>
      </c>
      <c r="AP362" s="169" t="e">
        <f>+K361-AN362</f>
        <v>#N/A</v>
      </c>
      <c r="AQ362" s="169" t="e">
        <f>+M361-AO362</f>
        <v>#N/A</v>
      </c>
      <c r="AR362" s="422"/>
      <c r="AS362" s="422"/>
      <c r="AT362" s="422"/>
      <c r="AU362" s="422"/>
      <c r="AV362" s="387"/>
      <c r="AW362" s="388"/>
      <c r="AX362" s="389"/>
      <c r="AY362" s="387"/>
      <c r="AZ362" s="388"/>
      <c r="BA362" s="389"/>
      <c r="BB362" s="387"/>
      <c r="BC362" s="388"/>
      <c r="BD362" s="389"/>
    </row>
    <row r="363" spans="1:56" ht="15.75" thickBot="1">
      <c r="A363" s="405"/>
      <c r="B363" s="450"/>
      <c r="C363" s="440"/>
      <c r="D363" s="443"/>
      <c r="E363" s="152"/>
      <c r="F363" s="152"/>
      <c r="G363" s="128"/>
      <c r="H363" s="147"/>
      <c r="I363" s="129"/>
      <c r="J363" s="446"/>
      <c r="K363" s="425"/>
      <c r="L363" s="428"/>
      <c r="M363" s="425"/>
      <c r="N363" s="429"/>
      <c r="O363" s="47" t="s">
        <v>627</v>
      </c>
      <c r="P363" s="172"/>
      <c r="Q363" s="172"/>
      <c r="R363" s="172"/>
      <c r="S363" s="27" t="str">
        <f t="shared" si="68"/>
        <v/>
      </c>
      <c r="T363" s="172"/>
      <c r="U363" s="27" t="str">
        <f t="shared" si="69"/>
        <v/>
      </c>
      <c r="V363" s="150"/>
      <c r="W363" s="27" t="str">
        <f t="shared" si="70"/>
        <v/>
      </c>
      <c r="X363" s="150"/>
      <c r="Y363" s="27" t="str">
        <f t="shared" si="71"/>
        <v/>
      </c>
      <c r="Z363" s="150"/>
      <c r="AA363" s="27" t="str">
        <f t="shared" si="72"/>
        <v/>
      </c>
      <c r="AB363" s="150"/>
      <c r="AC363" s="27" t="str">
        <f t="shared" si="73"/>
        <v/>
      </c>
      <c r="AD363" s="150"/>
      <c r="AE363" s="27" t="str">
        <f t="shared" si="74"/>
        <v/>
      </c>
      <c r="AF363" s="48" t="str">
        <f t="shared" si="75"/>
        <v/>
      </c>
      <c r="AG363" s="48" t="str">
        <f t="shared" si="76"/>
        <v/>
      </c>
      <c r="AH363" s="131"/>
      <c r="AI363" s="149" t="str">
        <f t="shared" si="77"/>
        <v>Débil</v>
      </c>
      <c r="AJ363" s="21" t="str">
        <f>IFERROR(VLOOKUP((CONCATENATE(AG363,AI363)),Listados!$U$3:$V$11,2,FALSE),"")</f>
        <v/>
      </c>
      <c r="AK363" s="48">
        <f t="shared" si="78"/>
        <v>100</v>
      </c>
      <c r="AL363" s="431"/>
      <c r="AM363" s="433"/>
      <c r="AN363" s="169">
        <f>+IF(AND(Q363="Preventivo",AM361="Fuerte"),2,IF(AND(Q363="Preventivo",AM361="Moderado"),1,0))</f>
        <v>0</v>
      </c>
      <c r="AO363" s="169">
        <f t="shared" si="79"/>
        <v>0</v>
      </c>
      <c r="AP363" s="169" t="e">
        <f>+K361-AN363</f>
        <v>#N/A</v>
      </c>
      <c r="AQ363" s="169" t="e">
        <f>+M361-AO363</f>
        <v>#N/A</v>
      </c>
      <c r="AR363" s="422"/>
      <c r="AS363" s="422"/>
      <c r="AT363" s="422"/>
      <c r="AU363" s="422"/>
      <c r="AV363" s="387"/>
      <c r="AW363" s="388"/>
      <c r="AX363" s="389"/>
      <c r="AY363" s="387"/>
      <c r="AZ363" s="388"/>
      <c r="BA363" s="389"/>
      <c r="BB363" s="387"/>
      <c r="BC363" s="388"/>
      <c r="BD363" s="389"/>
    </row>
    <row r="364" spans="1:56" ht="15.75" thickBot="1">
      <c r="A364" s="405"/>
      <c r="B364" s="450"/>
      <c r="C364" s="440"/>
      <c r="D364" s="443"/>
      <c r="E364" s="152"/>
      <c r="F364" s="152"/>
      <c r="G364" s="190"/>
      <c r="H364" s="147"/>
      <c r="I364" s="129"/>
      <c r="J364" s="446"/>
      <c r="K364" s="425"/>
      <c r="L364" s="428"/>
      <c r="M364" s="425"/>
      <c r="N364" s="429"/>
      <c r="O364" s="47" t="s">
        <v>627</v>
      </c>
      <c r="P364" s="172"/>
      <c r="Q364" s="172"/>
      <c r="R364" s="172"/>
      <c r="S364" s="27" t="str">
        <f t="shared" si="68"/>
        <v/>
      </c>
      <c r="T364" s="172"/>
      <c r="U364" s="27" t="str">
        <f t="shared" si="69"/>
        <v/>
      </c>
      <c r="V364" s="150"/>
      <c r="W364" s="27" t="str">
        <f t="shared" si="70"/>
        <v/>
      </c>
      <c r="X364" s="150"/>
      <c r="Y364" s="27" t="str">
        <f t="shared" si="71"/>
        <v/>
      </c>
      <c r="Z364" s="150"/>
      <c r="AA364" s="27" t="str">
        <f t="shared" si="72"/>
        <v/>
      </c>
      <c r="AB364" s="150"/>
      <c r="AC364" s="27" t="str">
        <f t="shared" si="73"/>
        <v/>
      </c>
      <c r="AD364" s="150"/>
      <c r="AE364" s="27" t="str">
        <f t="shared" si="74"/>
        <v/>
      </c>
      <c r="AF364" s="48" t="str">
        <f t="shared" si="75"/>
        <v/>
      </c>
      <c r="AG364" s="48" t="str">
        <f t="shared" si="76"/>
        <v/>
      </c>
      <c r="AH364" s="131"/>
      <c r="AI364" s="149" t="str">
        <f t="shared" si="77"/>
        <v>Débil</v>
      </c>
      <c r="AJ364" s="21" t="str">
        <f>IFERROR(VLOOKUP((CONCATENATE(AG364,AI364)),Listados!$U$3:$V$11,2,FALSE),"")</f>
        <v/>
      </c>
      <c r="AK364" s="48">
        <f t="shared" si="78"/>
        <v>100</v>
      </c>
      <c r="AL364" s="431"/>
      <c r="AM364" s="433"/>
      <c r="AN364" s="169">
        <f>+IF(AND(Q364="Preventivo",AM361="Fuerte"),2,IF(AND(Q364="Preventivo",AM361="Moderado"),1,0))</f>
        <v>0</v>
      </c>
      <c r="AO364" s="169">
        <f t="shared" si="79"/>
        <v>0</v>
      </c>
      <c r="AP364" s="169" t="e">
        <f>+K361-AN364</f>
        <v>#N/A</v>
      </c>
      <c r="AQ364" s="169" t="e">
        <f>+M361-AO364</f>
        <v>#N/A</v>
      </c>
      <c r="AR364" s="422"/>
      <c r="AS364" s="422"/>
      <c r="AT364" s="422"/>
      <c r="AU364" s="422"/>
      <c r="AV364" s="387"/>
      <c r="AW364" s="388"/>
      <c r="AX364" s="389"/>
      <c r="AY364" s="387"/>
      <c r="AZ364" s="388"/>
      <c r="BA364" s="389"/>
      <c r="BB364" s="387"/>
      <c r="BC364" s="388"/>
      <c r="BD364" s="389"/>
    </row>
    <row r="365" spans="1:56" ht="15.75" thickBot="1">
      <c r="A365" s="405"/>
      <c r="B365" s="450"/>
      <c r="C365" s="440"/>
      <c r="D365" s="443"/>
      <c r="E365" s="109"/>
      <c r="F365" s="109"/>
      <c r="G365" s="28"/>
      <c r="H365" s="29"/>
      <c r="I365" s="129"/>
      <c r="J365" s="446"/>
      <c r="K365" s="425"/>
      <c r="L365" s="428"/>
      <c r="M365" s="425"/>
      <c r="N365" s="429"/>
      <c r="O365" s="47" t="s">
        <v>627</v>
      </c>
      <c r="P365" s="172"/>
      <c r="Q365" s="172"/>
      <c r="R365" s="172"/>
      <c r="S365" s="27" t="str">
        <f t="shared" si="68"/>
        <v/>
      </c>
      <c r="T365" s="172"/>
      <c r="U365" s="27" t="str">
        <f t="shared" si="69"/>
        <v/>
      </c>
      <c r="V365" s="150"/>
      <c r="W365" s="27" t="str">
        <f t="shared" si="70"/>
        <v/>
      </c>
      <c r="X365" s="150"/>
      <c r="Y365" s="27" t="str">
        <f t="shared" si="71"/>
        <v/>
      </c>
      <c r="Z365" s="150"/>
      <c r="AA365" s="27" t="str">
        <f t="shared" si="72"/>
        <v/>
      </c>
      <c r="AB365" s="150"/>
      <c r="AC365" s="27" t="str">
        <f t="shared" si="73"/>
        <v/>
      </c>
      <c r="AD365" s="150"/>
      <c r="AE365" s="27" t="str">
        <f t="shared" si="74"/>
        <v/>
      </c>
      <c r="AF365" s="48" t="str">
        <f t="shared" si="75"/>
        <v/>
      </c>
      <c r="AG365" s="48" t="str">
        <f t="shared" si="76"/>
        <v/>
      </c>
      <c r="AH365" s="131"/>
      <c r="AI365" s="149" t="str">
        <f t="shared" si="77"/>
        <v>Débil</v>
      </c>
      <c r="AJ365" s="21" t="str">
        <f>IFERROR(VLOOKUP((CONCATENATE(AG365,AI365)),Listados!$U$3:$V$11,2,FALSE),"")</f>
        <v/>
      </c>
      <c r="AK365" s="48">
        <f t="shared" si="78"/>
        <v>100</v>
      </c>
      <c r="AL365" s="431"/>
      <c r="AM365" s="433"/>
      <c r="AN365" s="169">
        <f>+IF(AND(Q365="Preventivo",AM361="Fuerte"),2,IF(AND(Q365="Preventivo",AM361="Moderado"),1,0))</f>
        <v>0</v>
      </c>
      <c r="AO365" s="169">
        <f t="shared" si="79"/>
        <v>0</v>
      </c>
      <c r="AP365" s="169" t="e">
        <f>+K361-AN365</f>
        <v>#N/A</v>
      </c>
      <c r="AQ365" s="169" t="e">
        <f>+M361-AO365</f>
        <v>#N/A</v>
      </c>
      <c r="AR365" s="422"/>
      <c r="AS365" s="422"/>
      <c r="AT365" s="422"/>
      <c r="AU365" s="422"/>
      <c r="AV365" s="387"/>
      <c r="AW365" s="388"/>
      <c r="AX365" s="389"/>
      <c r="AY365" s="387"/>
      <c r="AZ365" s="388"/>
      <c r="BA365" s="389"/>
      <c r="BB365" s="387"/>
      <c r="BC365" s="388"/>
      <c r="BD365" s="389"/>
    </row>
    <row r="366" spans="1:56" ht="15.75" thickBot="1">
      <c r="A366" s="406"/>
      <c r="B366" s="450"/>
      <c r="C366" s="441"/>
      <c r="D366" s="444"/>
      <c r="E366" s="106"/>
      <c r="F366" s="106"/>
      <c r="G366" s="30"/>
      <c r="H366" s="31"/>
      <c r="I366" s="129"/>
      <c r="J366" s="446"/>
      <c r="K366" s="426"/>
      <c r="L366" s="428"/>
      <c r="M366" s="426"/>
      <c r="N366" s="429"/>
      <c r="O366" s="47" t="s">
        <v>627</v>
      </c>
      <c r="P366" s="172"/>
      <c r="Q366" s="172"/>
      <c r="R366" s="172"/>
      <c r="S366" s="27" t="str">
        <f t="shared" si="68"/>
        <v/>
      </c>
      <c r="T366" s="172"/>
      <c r="U366" s="27" t="str">
        <f t="shared" si="69"/>
        <v/>
      </c>
      <c r="V366" s="150"/>
      <c r="W366" s="27" t="str">
        <f t="shared" si="70"/>
        <v/>
      </c>
      <c r="X366" s="150"/>
      <c r="Y366" s="27" t="str">
        <f t="shared" si="71"/>
        <v/>
      </c>
      <c r="Z366" s="150"/>
      <c r="AA366" s="27" t="str">
        <f t="shared" si="72"/>
        <v/>
      </c>
      <c r="AB366" s="150"/>
      <c r="AC366" s="27" t="str">
        <f t="shared" si="73"/>
        <v/>
      </c>
      <c r="AD366" s="150"/>
      <c r="AE366" s="27" t="str">
        <f t="shared" si="74"/>
        <v/>
      </c>
      <c r="AF366" s="48" t="str">
        <f t="shared" si="75"/>
        <v/>
      </c>
      <c r="AG366" s="48" t="str">
        <f t="shared" si="76"/>
        <v/>
      </c>
      <c r="AH366" s="131"/>
      <c r="AI366" s="149" t="str">
        <f t="shared" si="77"/>
        <v>Débil</v>
      </c>
      <c r="AJ366" s="21" t="str">
        <f>IFERROR(VLOOKUP((CONCATENATE(AG366,AI366)),Listados!$U$3:$V$11,2,FALSE),"")</f>
        <v/>
      </c>
      <c r="AK366" s="48">
        <f t="shared" si="78"/>
        <v>100</v>
      </c>
      <c r="AL366" s="432"/>
      <c r="AM366" s="433"/>
      <c r="AN366" s="169">
        <f>+IF(AND(Q366="Preventivo",AM361="Fuerte"),2,IF(AND(Q366="Preventivo",AM361="Moderado"),1,0))</f>
        <v>0</v>
      </c>
      <c r="AO366" s="169">
        <f t="shared" si="79"/>
        <v>0</v>
      </c>
      <c r="AP366" s="169" t="e">
        <f>+K361-AN366</f>
        <v>#N/A</v>
      </c>
      <c r="AQ366" s="169" t="e">
        <f>+M361-AO366</f>
        <v>#N/A</v>
      </c>
      <c r="AR366" s="423"/>
      <c r="AS366" s="423"/>
      <c r="AT366" s="423"/>
      <c r="AU366" s="423"/>
      <c r="AV366" s="387"/>
      <c r="AW366" s="388"/>
      <c r="AX366" s="389"/>
      <c r="AY366" s="387"/>
      <c r="AZ366" s="388"/>
      <c r="BA366" s="389"/>
      <c r="BB366" s="387"/>
      <c r="BC366" s="388"/>
      <c r="BD366" s="389"/>
    </row>
  </sheetData>
  <sheetProtection selectLockedCells="1"/>
  <autoFilter ref="A6:BD366">
    <filterColumn colId="47" showButton="0"/>
    <filterColumn colId="48" showButton="0"/>
    <filterColumn colId="50" showButton="0"/>
    <filterColumn colId="51" showButton="0"/>
    <filterColumn colId="53" showButton="0"/>
    <filterColumn colId="54" showButton="0"/>
  </autoFilter>
  <mergeCells count="1998">
    <mergeCell ref="AL355:AL360"/>
    <mergeCell ref="AM355:AM360"/>
    <mergeCell ref="AR355:AR360"/>
    <mergeCell ref="AS355:AS360"/>
    <mergeCell ref="J355:J360"/>
    <mergeCell ref="K355:K360"/>
    <mergeCell ref="L355:L360"/>
    <mergeCell ref="M355:M360"/>
    <mergeCell ref="N355:N360"/>
    <mergeCell ref="AT361:AT366"/>
    <mergeCell ref="AU361:AU366"/>
    <mergeCell ref="AL361:AL366"/>
    <mergeCell ref="AM361:AM366"/>
    <mergeCell ref="AR361:AR366"/>
    <mergeCell ref="AS361:AS366"/>
    <mergeCell ref="J361:J366"/>
    <mergeCell ref="K361:K366"/>
    <mergeCell ref="AT343:AT348"/>
    <mergeCell ref="AU343:AU348"/>
    <mergeCell ref="AL343:AL348"/>
    <mergeCell ref="AM343:AM348"/>
    <mergeCell ref="AR343:AR348"/>
    <mergeCell ref="AS343:AS348"/>
    <mergeCell ref="J343:J348"/>
    <mergeCell ref="K343:K348"/>
    <mergeCell ref="L343:L348"/>
    <mergeCell ref="M343:M348"/>
    <mergeCell ref="N343:N348"/>
    <mergeCell ref="AT349:AT354"/>
    <mergeCell ref="AU349:AU354"/>
    <mergeCell ref="L361:L366"/>
    <mergeCell ref="A355:A360"/>
    <mergeCell ref="B355:B360"/>
    <mergeCell ref="C355:C360"/>
    <mergeCell ref="D355:D360"/>
    <mergeCell ref="AL349:AL354"/>
    <mergeCell ref="AM349:AM354"/>
    <mergeCell ref="A349:A354"/>
    <mergeCell ref="B349:B354"/>
    <mergeCell ref="C349:C354"/>
    <mergeCell ref="D349:D354"/>
    <mergeCell ref="M361:M366"/>
    <mergeCell ref="N361:N366"/>
    <mergeCell ref="AT355:AT360"/>
    <mergeCell ref="AU355:AU360"/>
    <mergeCell ref="A361:A366"/>
    <mergeCell ref="B361:B366"/>
    <mergeCell ref="C361:C366"/>
    <mergeCell ref="D361:D366"/>
    <mergeCell ref="A343:A348"/>
    <mergeCell ref="B343:B348"/>
    <mergeCell ref="C343:C348"/>
    <mergeCell ref="D343:D348"/>
    <mergeCell ref="AL337:AL342"/>
    <mergeCell ref="AM337:AM342"/>
    <mergeCell ref="AR337:AR342"/>
    <mergeCell ref="AS337:AS342"/>
    <mergeCell ref="J337:J342"/>
    <mergeCell ref="K337:K342"/>
    <mergeCell ref="L337:L342"/>
    <mergeCell ref="M337:M342"/>
    <mergeCell ref="N337:N342"/>
    <mergeCell ref="AR349:AR354"/>
    <mergeCell ref="AS349:AS354"/>
    <mergeCell ref="J349:J354"/>
    <mergeCell ref="K349:K354"/>
    <mergeCell ref="L349:L354"/>
    <mergeCell ref="M349:M354"/>
    <mergeCell ref="N349:N354"/>
    <mergeCell ref="AT331:AT336"/>
    <mergeCell ref="AU331:AU336"/>
    <mergeCell ref="A337:A342"/>
    <mergeCell ref="B337:B342"/>
    <mergeCell ref="C337:C342"/>
    <mergeCell ref="D337:D342"/>
    <mergeCell ref="AL331:AL336"/>
    <mergeCell ref="AM331:AM336"/>
    <mergeCell ref="AR331:AR336"/>
    <mergeCell ref="AS331:AS336"/>
    <mergeCell ref="J331:J336"/>
    <mergeCell ref="K331:K336"/>
    <mergeCell ref="L331:L336"/>
    <mergeCell ref="M331:M336"/>
    <mergeCell ref="N331:N336"/>
    <mergeCell ref="AT337:AT342"/>
    <mergeCell ref="AU337:AU342"/>
    <mergeCell ref="A331:A336"/>
    <mergeCell ref="B331:B336"/>
    <mergeCell ref="C331:C336"/>
    <mergeCell ref="D331:D336"/>
    <mergeCell ref="AT319:AT324"/>
    <mergeCell ref="AU319:AU324"/>
    <mergeCell ref="A325:A330"/>
    <mergeCell ref="B325:B330"/>
    <mergeCell ref="C325:C330"/>
    <mergeCell ref="D325:D330"/>
    <mergeCell ref="AL319:AL324"/>
    <mergeCell ref="AM319:AM324"/>
    <mergeCell ref="AR319:AR324"/>
    <mergeCell ref="AS319:AS324"/>
    <mergeCell ref="J319:J324"/>
    <mergeCell ref="K319:K324"/>
    <mergeCell ref="L319:L324"/>
    <mergeCell ref="M319:M324"/>
    <mergeCell ref="N319:N324"/>
    <mergeCell ref="AT325:AT330"/>
    <mergeCell ref="AU325:AU330"/>
    <mergeCell ref="A319:A324"/>
    <mergeCell ref="B319:B324"/>
    <mergeCell ref="C319:C324"/>
    <mergeCell ref="D319:D324"/>
    <mergeCell ref="AL325:AL330"/>
    <mergeCell ref="AM325:AM330"/>
    <mergeCell ref="AR325:AR330"/>
    <mergeCell ref="AS325:AS330"/>
    <mergeCell ref="J325:J330"/>
    <mergeCell ref="K325:K330"/>
    <mergeCell ref="L325:L330"/>
    <mergeCell ref="M325:M330"/>
    <mergeCell ref="N325:N330"/>
    <mergeCell ref="AT307:AT312"/>
    <mergeCell ref="AU307:AU312"/>
    <mergeCell ref="A313:A318"/>
    <mergeCell ref="B313:B318"/>
    <mergeCell ref="C313:C318"/>
    <mergeCell ref="D313:D318"/>
    <mergeCell ref="AL307:AL312"/>
    <mergeCell ref="AM307:AM312"/>
    <mergeCell ref="AR307:AR312"/>
    <mergeCell ref="AS307:AS312"/>
    <mergeCell ref="J307:J312"/>
    <mergeCell ref="K307:K312"/>
    <mergeCell ref="L307:L312"/>
    <mergeCell ref="M307:M312"/>
    <mergeCell ref="N307:N312"/>
    <mergeCell ref="AT313:AT318"/>
    <mergeCell ref="AU313:AU318"/>
    <mergeCell ref="A307:A312"/>
    <mergeCell ref="B307:B312"/>
    <mergeCell ref="C307:C312"/>
    <mergeCell ref="D307:D312"/>
    <mergeCell ref="AL313:AL318"/>
    <mergeCell ref="AM313:AM318"/>
    <mergeCell ref="AR313:AR318"/>
    <mergeCell ref="AS313:AS318"/>
    <mergeCell ref="J313:J318"/>
    <mergeCell ref="K313:K318"/>
    <mergeCell ref="L313:L318"/>
    <mergeCell ref="M313:M318"/>
    <mergeCell ref="N313:N318"/>
    <mergeCell ref="AT295:AT300"/>
    <mergeCell ref="AU295:AU300"/>
    <mergeCell ref="A301:A306"/>
    <mergeCell ref="B301:B306"/>
    <mergeCell ref="C301:C306"/>
    <mergeCell ref="D301:D306"/>
    <mergeCell ref="AL295:AL300"/>
    <mergeCell ref="AM295:AM300"/>
    <mergeCell ref="AR295:AR300"/>
    <mergeCell ref="AS295:AS300"/>
    <mergeCell ref="J295:J300"/>
    <mergeCell ref="K295:K300"/>
    <mergeCell ref="L295:L300"/>
    <mergeCell ref="M295:M300"/>
    <mergeCell ref="N295:N300"/>
    <mergeCell ref="AT301:AT306"/>
    <mergeCell ref="AU301:AU306"/>
    <mergeCell ref="A295:A300"/>
    <mergeCell ref="B295:B300"/>
    <mergeCell ref="C295:C300"/>
    <mergeCell ref="D295:D300"/>
    <mergeCell ref="AL301:AL306"/>
    <mergeCell ref="AM301:AM306"/>
    <mergeCell ref="AR301:AR306"/>
    <mergeCell ref="AS301:AS306"/>
    <mergeCell ref="J301:J306"/>
    <mergeCell ref="K301:K306"/>
    <mergeCell ref="L301:L306"/>
    <mergeCell ref="M301:M306"/>
    <mergeCell ref="N301:N306"/>
    <mergeCell ref="AT283:AT288"/>
    <mergeCell ref="AU283:AU288"/>
    <mergeCell ref="A289:A294"/>
    <mergeCell ref="B289:B294"/>
    <mergeCell ref="C289:C294"/>
    <mergeCell ref="D289:D294"/>
    <mergeCell ref="AL283:AL288"/>
    <mergeCell ref="AM283:AM288"/>
    <mergeCell ref="AR283:AR288"/>
    <mergeCell ref="AS283:AS288"/>
    <mergeCell ref="J283:J288"/>
    <mergeCell ref="K283:K288"/>
    <mergeCell ref="L283:L288"/>
    <mergeCell ref="M283:M288"/>
    <mergeCell ref="N283:N288"/>
    <mergeCell ref="AT289:AT294"/>
    <mergeCell ref="AU289:AU294"/>
    <mergeCell ref="A283:A288"/>
    <mergeCell ref="B283:B288"/>
    <mergeCell ref="C283:C288"/>
    <mergeCell ref="D283:D288"/>
    <mergeCell ref="AL289:AL294"/>
    <mergeCell ref="AM289:AM294"/>
    <mergeCell ref="AR289:AR294"/>
    <mergeCell ref="AS289:AS294"/>
    <mergeCell ref="J289:J294"/>
    <mergeCell ref="K289:K294"/>
    <mergeCell ref="L289:L294"/>
    <mergeCell ref="M289:M294"/>
    <mergeCell ref="N289:N294"/>
    <mergeCell ref="AT271:AT276"/>
    <mergeCell ref="AU271:AU276"/>
    <mergeCell ref="A277:A282"/>
    <mergeCell ref="B277:B282"/>
    <mergeCell ref="C277:C282"/>
    <mergeCell ref="D277:D282"/>
    <mergeCell ref="AL271:AL276"/>
    <mergeCell ref="AM271:AM276"/>
    <mergeCell ref="AR271:AR276"/>
    <mergeCell ref="AS271:AS276"/>
    <mergeCell ref="J271:J276"/>
    <mergeCell ref="K271:K276"/>
    <mergeCell ref="L271:L276"/>
    <mergeCell ref="M271:M276"/>
    <mergeCell ref="N271:N276"/>
    <mergeCell ref="AT277:AT282"/>
    <mergeCell ref="AU277:AU282"/>
    <mergeCell ref="A271:A276"/>
    <mergeCell ref="B271:B276"/>
    <mergeCell ref="C271:C276"/>
    <mergeCell ref="D271:D276"/>
    <mergeCell ref="AL277:AL282"/>
    <mergeCell ref="AM277:AM282"/>
    <mergeCell ref="AR277:AR282"/>
    <mergeCell ref="AS277:AS282"/>
    <mergeCell ref="J277:J282"/>
    <mergeCell ref="K277:K282"/>
    <mergeCell ref="L277:L282"/>
    <mergeCell ref="M277:M282"/>
    <mergeCell ref="N277:N282"/>
    <mergeCell ref="AT259:AT264"/>
    <mergeCell ref="AU259:AU264"/>
    <mergeCell ref="A265:A270"/>
    <mergeCell ref="B265:B270"/>
    <mergeCell ref="C265:C270"/>
    <mergeCell ref="D265:D270"/>
    <mergeCell ref="AL259:AL264"/>
    <mergeCell ref="AM259:AM264"/>
    <mergeCell ref="AR259:AR264"/>
    <mergeCell ref="AS259:AS264"/>
    <mergeCell ref="J259:J264"/>
    <mergeCell ref="K259:K264"/>
    <mergeCell ref="L259:L264"/>
    <mergeCell ref="M259:M264"/>
    <mergeCell ref="N259:N264"/>
    <mergeCell ref="AT265:AT270"/>
    <mergeCell ref="AU265:AU270"/>
    <mergeCell ref="A259:A264"/>
    <mergeCell ref="B259:B264"/>
    <mergeCell ref="C259:C264"/>
    <mergeCell ref="D259:D264"/>
    <mergeCell ref="AL265:AL270"/>
    <mergeCell ref="AM265:AM270"/>
    <mergeCell ref="AR265:AR270"/>
    <mergeCell ref="AS265:AS270"/>
    <mergeCell ref="J265:J270"/>
    <mergeCell ref="K265:K270"/>
    <mergeCell ref="L265:L270"/>
    <mergeCell ref="M265:M270"/>
    <mergeCell ref="N265:N270"/>
    <mergeCell ref="AT247:AT252"/>
    <mergeCell ref="AU247:AU252"/>
    <mergeCell ref="A253:A258"/>
    <mergeCell ref="B253:B258"/>
    <mergeCell ref="C253:C258"/>
    <mergeCell ref="D253:D258"/>
    <mergeCell ref="AL247:AL252"/>
    <mergeCell ref="AM247:AM252"/>
    <mergeCell ref="AR247:AR252"/>
    <mergeCell ref="AS247:AS252"/>
    <mergeCell ref="J247:J252"/>
    <mergeCell ref="K247:K252"/>
    <mergeCell ref="L247:L252"/>
    <mergeCell ref="M247:M252"/>
    <mergeCell ref="N247:N252"/>
    <mergeCell ref="AT253:AT258"/>
    <mergeCell ref="AU253:AU258"/>
    <mergeCell ref="A247:A252"/>
    <mergeCell ref="B247:B252"/>
    <mergeCell ref="C247:C252"/>
    <mergeCell ref="D247:D252"/>
    <mergeCell ref="AL253:AL258"/>
    <mergeCell ref="AM253:AM258"/>
    <mergeCell ref="AR253:AR258"/>
    <mergeCell ref="AS253:AS258"/>
    <mergeCell ref="J253:J258"/>
    <mergeCell ref="K253:K258"/>
    <mergeCell ref="L253:L258"/>
    <mergeCell ref="M253:M258"/>
    <mergeCell ref="N253:N258"/>
    <mergeCell ref="AT235:AT240"/>
    <mergeCell ref="AU235:AU240"/>
    <mergeCell ref="A241:A246"/>
    <mergeCell ref="B241:B246"/>
    <mergeCell ref="C241:C246"/>
    <mergeCell ref="D241:D246"/>
    <mergeCell ref="AL235:AL240"/>
    <mergeCell ref="AM235:AM240"/>
    <mergeCell ref="AR235:AR240"/>
    <mergeCell ref="AS235:AS240"/>
    <mergeCell ref="J235:J240"/>
    <mergeCell ref="K235:K240"/>
    <mergeCell ref="L235:L240"/>
    <mergeCell ref="M235:M240"/>
    <mergeCell ref="N235:N240"/>
    <mergeCell ref="AT241:AT246"/>
    <mergeCell ref="AU241:AU246"/>
    <mergeCell ref="A235:A240"/>
    <mergeCell ref="B235:B240"/>
    <mergeCell ref="C235:C240"/>
    <mergeCell ref="D235:D240"/>
    <mergeCell ref="AL241:AL246"/>
    <mergeCell ref="AM241:AM246"/>
    <mergeCell ref="AR241:AR246"/>
    <mergeCell ref="AS241:AS246"/>
    <mergeCell ref="J241:J246"/>
    <mergeCell ref="K241:K246"/>
    <mergeCell ref="L241:L246"/>
    <mergeCell ref="M241:M246"/>
    <mergeCell ref="N241:N246"/>
    <mergeCell ref="AT223:AT228"/>
    <mergeCell ref="AU223:AU228"/>
    <mergeCell ref="A229:A234"/>
    <mergeCell ref="B229:B234"/>
    <mergeCell ref="C229:C234"/>
    <mergeCell ref="D229:D234"/>
    <mergeCell ref="AL223:AL228"/>
    <mergeCell ref="AM223:AM228"/>
    <mergeCell ref="AR223:AR228"/>
    <mergeCell ref="AS223:AS228"/>
    <mergeCell ref="J223:J228"/>
    <mergeCell ref="K223:K228"/>
    <mergeCell ref="L223:L228"/>
    <mergeCell ref="M223:M228"/>
    <mergeCell ref="N223:N228"/>
    <mergeCell ref="AT229:AT234"/>
    <mergeCell ref="AU229:AU234"/>
    <mergeCell ref="A223:A228"/>
    <mergeCell ref="B223:B228"/>
    <mergeCell ref="C223:C228"/>
    <mergeCell ref="D223:D228"/>
    <mergeCell ref="AL229:AL234"/>
    <mergeCell ref="AM229:AM234"/>
    <mergeCell ref="AR229:AR234"/>
    <mergeCell ref="AS229:AS234"/>
    <mergeCell ref="J229:J234"/>
    <mergeCell ref="K229:K234"/>
    <mergeCell ref="L229:L234"/>
    <mergeCell ref="M229:M234"/>
    <mergeCell ref="N229:N234"/>
    <mergeCell ref="AT211:AT216"/>
    <mergeCell ref="AU211:AU216"/>
    <mergeCell ref="A217:A222"/>
    <mergeCell ref="B217:B222"/>
    <mergeCell ref="C217:C222"/>
    <mergeCell ref="D217:D222"/>
    <mergeCell ref="AL211:AL216"/>
    <mergeCell ref="AM211:AM216"/>
    <mergeCell ref="AR211:AR216"/>
    <mergeCell ref="AS211:AS216"/>
    <mergeCell ref="J211:J216"/>
    <mergeCell ref="K211:K216"/>
    <mergeCell ref="L211:L216"/>
    <mergeCell ref="M211:M216"/>
    <mergeCell ref="N211:N216"/>
    <mergeCell ref="AT217:AT222"/>
    <mergeCell ref="AU217:AU222"/>
    <mergeCell ref="A211:A216"/>
    <mergeCell ref="B211:B216"/>
    <mergeCell ref="C211:C216"/>
    <mergeCell ref="D211:D216"/>
    <mergeCell ref="AL217:AL222"/>
    <mergeCell ref="AM217:AM222"/>
    <mergeCell ref="AR217:AR222"/>
    <mergeCell ref="AS217:AS222"/>
    <mergeCell ref="J217:J222"/>
    <mergeCell ref="K217:K222"/>
    <mergeCell ref="L217:L222"/>
    <mergeCell ref="M217:M222"/>
    <mergeCell ref="N217:N222"/>
    <mergeCell ref="AT199:AT204"/>
    <mergeCell ref="AU199:AU204"/>
    <mergeCell ref="A205:A210"/>
    <mergeCell ref="B205:B210"/>
    <mergeCell ref="C205:C210"/>
    <mergeCell ref="D205:D210"/>
    <mergeCell ref="AL199:AL204"/>
    <mergeCell ref="AM199:AM204"/>
    <mergeCell ref="AR199:AR204"/>
    <mergeCell ref="AS199:AS204"/>
    <mergeCell ref="J199:J204"/>
    <mergeCell ref="K199:K204"/>
    <mergeCell ref="L199:L204"/>
    <mergeCell ref="M199:M204"/>
    <mergeCell ref="N199:N204"/>
    <mergeCell ref="AT205:AT210"/>
    <mergeCell ref="AU205:AU210"/>
    <mergeCell ref="A199:A204"/>
    <mergeCell ref="B199:B204"/>
    <mergeCell ref="C199:C204"/>
    <mergeCell ref="D199:D204"/>
    <mergeCell ref="AL205:AL210"/>
    <mergeCell ref="AM205:AM210"/>
    <mergeCell ref="AR205:AR210"/>
    <mergeCell ref="AS205:AS210"/>
    <mergeCell ref="J205:J210"/>
    <mergeCell ref="K205:K210"/>
    <mergeCell ref="L205:L210"/>
    <mergeCell ref="M205:M210"/>
    <mergeCell ref="N205:N210"/>
    <mergeCell ref="AT187:AT192"/>
    <mergeCell ref="AU187:AU192"/>
    <mergeCell ref="A193:A198"/>
    <mergeCell ref="B193:B198"/>
    <mergeCell ref="C193:C198"/>
    <mergeCell ref="D193:D198"/>
    <mergeCell ref="AL187:AL192"/>
    <mergeCell ref="AM187:AM192"/>
    <mergeCell ref="AR187:AR192"/>
    <mergeCell ref="AS187:AS192"/>
    <mergeCell ref="J187:J192"/>
    <mergeCell ref="K187:K192"/>
    <mergeCell ref="L187:L192"/>
    <mergeCell ref="M187:M192"/>
    <mergeCell ref="N187:N192"/>
    <mergeCell ref="AT193:AT198"/>
    <mergeCell ref="AU193:AU198"/>
    <mergeCell ref="A187:A192"/>
    <mergeCell ref="B187:B192"/>
    <mergeCell ref="C187:C192"/>
    <mergeCell ref="D187:D192"/>
    <mergeCell ref="AL193:AL198"/>
    <mergeCell ref="AM193:AM198"/>
    <mergeCell ref="AR193:AR198"/>
    <mergeCell ref="AS193:AS198"/>
    <mergeCell ref="J193:J198"/>
    <mergeCell ref="K193:K198"/>
    <mergeCell ref="L193:L198"/>
    <mergeCell ref="M193:M198"/>
    <mergeCell ref="N193:N198"/>
    <mergeCell ref="AT175:AT180"/>
    <mergeCell ref="AU175:AU180"/>
    <mergeCell ref="A181:A186"/>
    <mergeCell ref="B181:B186"/>
    <mergeCell ref="C181:C186"/>
    <mergeCell ref="D181:D186"/>
    <mergeCell ref="AL175:AL180"/>
    <mergeCell ref="AM175:AM180"/>
    <mergeCell ref="AR175:AR180"/>
    <mergeCell ref="AS175:AS180"/>
    <mergeCell ref="J175:J180"/>
    <mergeCell ref="K175:K180"/>
    <mergeCell ref="L175:L180"/>
    <mergeCell ref="M175:M180"/>
    <mergeCell ref="N175:N180"/>
    <mergeCell ref="AT181:AT186"/>
    <mergeCell ref="AU181:AU186"/>
    <mergeCell ref="A175:A180"/>
    <mergeCell ref="B175:B180"/>
    <mergeCell ref="C175:C180"/>
    <mergeCell ref="D175:D180"/>
    <mergeCell ref="AL181:AL186"/>
    <mergeCell ref="AM181:AM186"/>
    <mergeCell ref="AR181:AR186"/>
    <mergeCell ref="AS181:AS186"/>
    <mergeCell ref="J181:J186"/>
    <mergeCell ref="K181:K186"/>
    <mergeCell ref="L181:L186"/>
    <mergeCell ref="M181:M186"/>
    <mergeCell ref="N181:N186"/>
    <mergeCell ref="AT163:AT168"/>
    <mergeCell ref="AU163:AU168"/>
    <mergeCell ref="A169:A174"/>
    <mergeCell ref="B169:B174"/>
    <mergeCell ref="C169:C174"/>
    <mergeCell ref="D169:D174"/>
    <mergeCell ref="AL163:AL168"/>
    <mergeCell ref="AM163:AM168"/>
    <mergeCell ref="AR163:AR168"/>
    <mergeCell ref="AS163:AS168"/>
    <mergeCell ref="J163:J168"/>
    <mergeCell ref="K163:K168"/>
    <mergeCell ref="L163:L168"/>
    <mergeCell ref="M163:M168"/>
    <mergeCell ref="N163:N168"/>
    <mergeCell ref="AT169:AT174"/>
    <mergeCell ref="AU169:AU174"/>
    <mergeCell ref="A163:A168"/>
    <mergeCell ref="B163:B168"/>
    <mergeCell ref="C163:C168"/>
    <mergeCell ref="D163:D168"/>
    <mergeCell ref="AL169:AL174"/>
    <mergeCell ref="AM169:AM174"/>
    <mergeCell ref="AR169:AR174"/>
    <mergeCell ref="AS169:AS174"/>
    <mergeCell ref="J169:J174"/>
    <mergeCell ref="K169:K174"/>
    <mergeCell ref="L169:L174"/>
    <mergeCell ref="M169:M174"/>
    <mergeCell ref="N169:N174"/>
    <mergeCell ref="AT151:AT156"/>
    <mergeCell ref="AU151:AU156"/>
    <mergeCell ref="A157:A162"/>
    <mergeCell ref="B157:B162"/>
    <mergeCell ref="C157:C162"/>
    <mergeCell ref="D157:D162"/>
    <mergeCell ref="AL151:AL156"/>
    <mergeCell ref="AM151:AM156"/>
    <mergeCell ref="AR151:AR156"/>
    <mergeCell ref="AS151:AS156"/>
    <mergeCell ref="J151:J156"/>
    <mergeCell ref="K151:K156"/>
    <mergeCell ref="L151:L156"/>
    <mergeCell ref="M151:M156"/>
    <mergeCell ref="N151:N156"/>
    <mergeCell ref="AT157:AT162"/>
    <mergeCell ref="AU157:AU162"/>
    <mergeCell ref="A151:A156"/>
    <mergeCell ref="B151:B156"/>
    <mergeCell ref="C151:C156"/>
    <mergeCell ref="D151:D156"/>
    <mergeCell ref="AL157:AL162"/>
    <mergeCell ref="AM157:AM162"/>
    <mergeCell ref="AR157:AR162"/>
    <mergeCell ref="AS157:AS162"/>
    <mergeCell ref="J157:J162"/>
    <mergeCell ref="K157:K162"/>
    <mergeCell ref="L157:L162"/>
    <mergeCell ref="M157:M162"/>
    <mergeCell ref="N157:N162"/>
    <mergeCell ref="AT139:AT144"/>
    <mergeCell ref="AU139:AU144"/>
    <mergeCell ref="A145:A150"/>
    <mergeCell ref="B145:B150"/>
    <mergeCell ref="C145:C150"/>
    <mergeCell ref="D145:D150"/>
    <mergeCell ref="AL139:AL144"/>
    <mergeCell ref="AM139:AM144"/>
    <mergeCell ref="AR139:AR144"/>
    <mergeCell ref="AS139:AS144"/>
    <mergeCell ref="J139:J144"/>
    <mergeCell ref="K139:K144"/>
    <mergeCell ref="L139:L144"/>
    <mergeCell ref="M139:M144"/>
    <mergeCell ref="N139:N144"/>
    <mergeCell ref="AT145:AT150"/>
    <mergeCell ref="AU145:AU150"/>
    <mergeCell ref="A139:A144"/>
    <mergeCell ref="B139:B144"/>
    <mergeCell ref="C139:C144"/>
    <mergeCell ref="D139:D144"/>
    <mergeCell ref="AL145:AL150"/>
    <mergeCell ref="AM145:AM150"/>
    <mergeCell ref="AR145:AR150"/>
    <mergeCell ref="AS145:AS150"/>
    <mergeCell ref="J145:J150"/>
    <mergeCell ref="K145:K150"/>
    <mergeCell ref="L145:L150"/>
    <mergeCell ref="M145:M150"/>
    <mergeCell ref="N145:N150"/>
    <mergeCell ref="AT127:AT132"/>
    <mergeCell ref="AU127:AU132"/>
    <mergeCell ref="A133:A138"/>
    <mergeCell ref="B133:B138"/>
    <mergeCell ref="C133:C138"/>
    <mergeCell ref="D133:D138"/>
    <mergeCell ref="AL127:AL132"/>
    <mergeCell ref="AM127:AM132"/>
    <mergeCell ref="AR127:AR132"/>
    <mergeCell ref="AS127:AS132"/>
    <mergeCell ref="J127:J132"/>
    <mergeCell ref="K127:K132"/>
    <mergeCell ref="L127:L132"/>
    <mergeCell ref="M127:M132"/>
    <mergeCell ref="N127:N132"/>
    <mergeCell ref="AT133:AT138"/>
    <mergeCell ref="AU133:AU138"/>
    <mergeCell ref="A127:A132"/>
    <mergeCell ref="B127:B132"/>
    <mergeCell ref="C127:C132"/>
    <mergeCell ref="D127:D132"/>
    <mergeCell ref="AL133:AL138"/>
    <mergeCell ref="AM133:AM138"/>
    <mergeCell ref="AR133:AR138"/>
    <mergeCell ref="AS133:AS138"/>
    <mergeCell ref="J133:J138"/>
    <mergeCell ref="K133:K138"/>
    <mergeCell ref="L133:L138"/>
    <mergeCell ref="M133:M138"/>
    <mergeCell ref="N133:N138"/>
    <mergeCell ref="AT115:AT120"/>
    <mergeCell ref="AU115:AU120"/>
    <mergeCell ref="A121:A126"/>
    <mergeCell ref="B121:B126"/>
    <mergeCell ref="C121:C126"/>
    <mergeCell ref="D121:D126"/>
    <mergeCell ref="AL115:AL120"/>
    <mergeCell ref="AM115:AM120"/>
    <mergeCell ref="AR115:AR120"/>
    <mergeCell ref="AS115:AS120"/>
    <mergeCell ref="J115:J120"/>
    <mergeCell ref="K115:K120"/>
    <mergeCell ref="L115:L120"/>
    <mergeCell ref="M115:M120"/>
    <mergeCell ref="N115:N120"/>
    <mergeCell ref="AT121:AT126"/>
    <mergeCell ref="AU121:AU126"/>
    <mergeCell ref="A115:A120"/>
    <mergeCell ref="B115:B120"/>
    <mergeCell ref="C115:C120"/>
    <mergeCell ref="D115:D120"/>
    <mergeCell ref="AL121:AL126"/>
    <mergeCell ref="AM121:AM126"/>
    <mergeCell ref="AR121:AR126"/>
    <mergeCell ref="AS121:AS126"/>
    <mergeCell ref="J121:J126"/>
    <mergeCell ref="K121:K126"/>
    <mergeCell ref="L121:L126"/>
    <mergeCell ref="M121:M126"/>
    <mergeCell ref="N121:N126"/>
    <mergeCell ref="AT103:AT108"/>
    <mergeCell ref="AU103:AU108"/>
    <mergeCell ref="A109:A114"/>
    <mergeCell ref="B109:B114"/>
    <mergeCell ref="C109:C114"/>
    <mergeCell ref="D109:D114"/>
    <mergeCell ref="AL103:AL108"/>
    <mergeCell ref="AM103:AM108"/>
    <mergeCell ref="AR103:AR108"/>
    <mergeCell ref="AS103:AS108"/>
    <mergeCell ref="J103:J108"/>
    <mergeCell ref="K103:K108"/>
    <mergeCell ref="L103:L108"/>
    <mergeCell ref="M103:M108"/>
    <mergeCell ref="N103:N108"/>
    <mergeCell ref="AT109:AT114"/>
    <mergeCell ref="AU109:AU114"/>
    <mergeCell ref="A103:A108"/>
    <mergeCell ref="B103:B108"/>
    <mergeCell ref="C103:C108"/>
    <mergeCell ref="D103:D108"/>
    <mergeCell ref="AL109:AL114"/>
    <mergeCell ref="AM109:AM114"/>
    <mergeCell ref="AR109:AR114"/>
    <mergeCell ref="AS109:AS114"/>
    <mergeCell ref="J109:J114"/>
    <mergeCell ref="K109:K114"/>
    <mergeCell ref="L109:L114"/>
    <mergeCell ref="M109:M114"/>
    <mergeCell ref="N109:N114"/>
    <mergeCell ref="AT91:AT96"/>
    <mergeCell ref="AU91:AU96"/>
    <mergeCell ref="A97:A102"/>
    <mergeCell ref="B97:B102"/>
    <mergeCell ref="C97:C102"/>
    <mergeCell ref="D97:D102"/>
    <mergeCell ref="AL91:AL96"/>
    <mergeCell ref="AM91:AM96"/>
    <mergeCell ref="AR91:AR96"/>
    <mergeCell ref="AS91:AS96"/>
    <mergeCell ref="J91:J96"/>
    <mergeCell ref="K91:K96"/>
    <mergeCell ref="L91:L96"/>
    <mergeCell ref="M91:M96"/>
    <mergeCell ref="N91:N96"/>
    <mergeCell ref="AT97:AT102"/>
    <mergeCell ref="AU97:AU102"/>
    <mergeCell ref="A91:A96"/>
    <mergeCell ref="B91:B96"/>
    <mergeCell ref="C91:C96"/>
    <mergeCell ref="D91:D96"/>
    <mergeCell ref="AL97:AL102"/>
    <mergeCell ref="AM97:AM102"/>
    <mergeCell ref="AR97:AR102"/>
    <mergeCell ref="AS97:AS102"/>
    <mergeCell ref="J97:J102"/>
    <mergeCell ref="K97:K102"/>
    <mergeCell ref="L97:L102"/>
    <mergeCell ref="M97:M102"/>
    <mergeCell ref="N97:N102"/>
    <mergeCell ref="AT79:AT84"/>
    <mergeCell ref="AU79:AU84"/>
    <mergeCell ref="A85:A90"/>
    <mergeCell ref="B85:B90"/>
    <mergeCell ref="C85:C90"/>
    <mergeCell ref="D85:D90"/>
    <mergeCell ref="AL79:AL84"/>
    <mergeCell ref="AM79:AM84"/>
    <mergeCell ref="AR79:AR84"/>
    <mergeCell ref="AS79:AS84"/>
    <mergeCell ref="J79:J84"/>
    <mergeCell ref="K79:K84"/>
    <mergeCell ref="L79:L84"/>
    <mergeCell ref="M79:M84"/>
    <mergeCell ref="N79:N84"/>
    <mergeCell ref="AT85:AT90"/>
    <mergeCell ref="AU85:AU90"/>
    <mergeCell ref="A79:A84"/>
    <mergeCell ref="B79:B84"/>
    <mergeCell ref="C79:C84"/>
    <mergeCell ref="D79:D84"/>
    <mergeCell ref="AL85:AL90"/>
    <mergeCell ref="AM85:AM90"/>
    <mergeCell ref="AR85:AR90"/>
    <mergeCell ref="AS85:AS90"/>
    <mergeCell ref="J85:J90"/>
    <mergeCell ref="K85:K90"/>
    <mergeCell ref="L85:L90"/>
    <mergeCell ref="M85:M90"/>
    <mergeCell ref="N85:N90"/>
    <mergeCell ref="AT67:AT72"/>
    <mergeCell ref="AU67:AU72"/>
    <mergeCell ref="A73:A78"/>
    <mergeCell ref="B73:B78"/>
    <mergeCell ref="C73:C78"/>
    <mergeCell ref="D73:D78"/>
    <mergeCell ref="AL67:AL72"/>
    <mergeCell ref="AM67:AM72"/>
    <mergeCell ref="AR67:AR72"/>
    <mergeCell ref="AS67:AS72"/>
    <mergeCell ref="J67:J72"/>
    <mergeCell ref="K67:K72"/>
    <mergeCell ref="L67:L72"/>
    <mergeCell ref="M67:M72"/>
    <mergeCell ref="N67:N72"/>
    <mergeCell ref="AT73:AT78"/>
    <mergeCell ref="AU73:AU78"/>
    <mergeCell ref="A67:A72"/>
    <mergeCell ref="B67:B72"/>
    <mergeCell ref="C67:C72"/>
    <mergeCell ref="D67:D72"/>
    <mergeCell ref="AL73:AL78"/>
    <mergeCell ref="AM73:AM78"/>
    <mergeCell ref="AR73:AR78"/>
    <mergeCell ref="AS73:AS78"/>
    <mergeCell ref="J73:J78"/>
    <mergeCell ref="K73:K78"/>
    <mergeCell ref="L73:L78"/>
    <mergeCell ref="M73:M78"/>
    <mergeCell ref="N73:N78"/>
    <mergeCell ref="AT55:AT60"/>
    <mergeCell ref="AU55:AU60"/>
    <mergeCell ref="A61:A66"/>
    <mergeCell ref="B61:B66"/>
    <mergeCell ref="C61:C66"/>
    <mergeCell ref="D61:D66"/>
    <mergeCell ref="AL55:AL60"/>
    <mergeCell ref="AM55:AM60"/>
    <mergeCell ref="AR55:AR60"/>
    <mergeCell ref="AS55:AS60"/>
    <mergeCell ref="J55:J60"/>
    <mergeCell ref="K55:K60"/>
    <mergeCell ref="L55:L60"/>
    <mergeCell ref="M55:M60"/>
    <mergeCell ref="N55:N60"/>
    <mergeCell ref="AT61:AT66"/>
    <mergeCell ref="AU61:AU66"/>
    <mergeCell ref="A55:A60"/>
    <mergeCell ref="B55:B60"/>
    <mergeCell ref="C55:C60"/>
    <mergeCell ref="D55:D60"/>
    <mergeCell ref="AL61:AL66"/>
    <mergeCell ref="AM61:AM66"/>
    <mergeCell ref="AR61:AR66"/>
    <mergeCell ref="AS61:AS66"/>
    <mergeCell ref="J61:J66"/>
    <mergeCell ref="K61:K66"/>
    <mergeCell ref="L61:L66"/>
    <mergeCell ref="M61:M66"/>
    <mergeCell ref="N61:N66"/>
    <mergeCell ref="AT43:AT48"/>
    <mergeCell ref="AU43:AU48"/>
    <mergeCell ref="A49:A54"/>
    <mergeCell ref="B49:B54"/>
    <mergeCell ref="C49:C54"/>
    <mergeCell ref="D49:D54"/>
    <mergeCell ref="AL43:AL48"/>
    <mergeCell ref="AM43:AM48"/>
    <mergeCell ref="AR43:AR48"/>
    <mergeCell ref="AS43:AS48"/>
    <mergeCell ref="J43:J48"/>
    <mergeCell ref="K43:K48"/>
    <mergeCell ref="L43:L48"/>
    <mergeCell ref="M43:M48"/>
    <mergeCell ref="N43:N48"/>
    <mergeCell ref="AT49:AT54"/>
    <mergeCell ref="AU49:AU54"/>
    <mergeCell ref="A43:A48"/>
    <mergeCell ref="B43:B48"/>
    <mergeCell ref="C43:C48"/>
    <mergeCell ref="D43:D48"/>
    <mergeCell ref="AL49:AL54"/>
    <mergeCell ref="AM49:AM54"/>
    <mergeCell ref="AR49:AR54"/>
    <mergeCell ref="AS49:AS54"/>
    <mergeCell ref="J49:J54"/>
    <mergeCell ref="K49:K54"/>
    <mergeCell ref="L49:L54"/>
    <mergeCell ref="M49:M54"/>
    <mergeCell ref="N49:N54"/>
    <mergeCell ref="AT31:AT36"/>
    <mergeCell ref="AU31:AU36"/>
    <mergeCell ref="A37:A42"/>
    <mergeCell ref="B37:B42"/>
    <mergeCell ref="C37:C42"/>
    <mergeCell ref="D37:D42"/>
    <mergeCell ref="AL31:AL36"/>
    <mergeCell ref="AM31:AM36"/>
    <mergeCell ref="AR31:AR36"/>
    <mergeCell ref="AS31:AS36"/>
    <mergeCell ref="J31:J36"/>
    <mergeCell ref="K31:K36"/>
    <mergeCell ref="L31:L36"/>
    <mergeCell ref="M31:M36"/>
    <mergeCell ref="N31:N36"/>
    <mergeCell ref="AT37:AT42"/>
    <mergeCell ref="AU37:AU42"/>
    <mergeCell ref="A31:A36"/>
    <mergeCell ref="B31:B36"/>
    <mergeCell ref="C31:C36"/>
    <mergeCell ref="D31:D36"/>
    <mergeCell ref="AL37:AL42"/>
    <mergeCell ref="AM37:AM42"/>
    <mergeCell ref="AR37:AR42"/>
    <mergeCell ref="AS37:AS42"/>
    <mergeCell ref="J37:J42"/>
    <mergeCell ref="K37:K42"/>
    <mergeCell ref="L37:L42"/>
    <mergeCell ref="M37:M42"/>
    <mergeCell ref="N37:N42"/>
    <mergeCell ref="AT19:AT24"/>
    <mergeCell ref="AU19:AU24"/>
    <mergeCell ref="A25:A30"/>
    <mergeCell ref="B25:B30"/>
    <mergeCell ref="C25:C30"/>
    <mergeCell ref="D25:D30"/>
    <mergeCell ref="AL19:AL24"/>
    <mergeCell ref="AM19:AM24"/>
    <mergeCell ref="AR19:AR24"/>
    <mergeCell ref="AS19:AS24"/>
    <mergeCell ref="J19:J24"/>
    <mergeCell ref="K19:K24"/>
    <mergeCell ref="L19:L24"/>
    <mergeCell ref="M19:M24"/>
    <mergeCell ref="N19:N24"/>
    <mergeCell ref="A19:A24"/>
    <mergeCell ref="B19:B24"/>
    <mergeCell ref="C19:C24"/>
    <mergeCell ref="D19:D24"/>
    <mergeCell ref="AT25:AT30"/>
    <mergeCell ref="AU25:AU30"/>
    <mergeCell ref="AL25:AL30"/>
    <mergeCell ref="AM25:AM30"/>
    <mergeCell ref="AR25:AR30"/>
    <mergeCell ref="AS25:AS30"/>
    <mergeCell ref="J25:J30"/>
    <mergeCell ref="K25:K30"/>
    <mergeCell ref="L25:L30"/>
    <mergeCell ref="M25:M30"/>
    <mergeCell ref="N25:N30"/>
    <mergeCell ref="A13:A18"/>
    <mergeCell ref="B13:B18"/>
    <mergeCell ref="C13:C18"/>
    <mergeCell ref="D13:D18"/>
    <mergeCell ref="AR7:AR12"/>
    <mergeCell ref="AS7:AS12"/>
    <mergeCell ref="AT7:AT12"/>
    <mergeCell ref="AU7:AU12"/>
    <mergeCell ref="K7:K12"/>
    <mergeCell ref="L7:L12"/>
    <mergeCell ref="M7:M12"/>
    <mergeCell ref="N7:N12"/>
    <mergeCell ref="AL7:AL12"/>
    <mergeCell ref="AM7:AM12"/>
    <mergeCell ref="J7:J12"/>
    <mergeCell ref="AR13:AR18"/>
    <mergeCell ref="AS13:AS18"/>
    <mergeCell ref="AT13:AT18"/>
    <mergeCell ref="AU13:AU18"/>
    <mergeCell ref="M13:M18"/>
    <mergeCell ref="N13:N18"/>
    <mergeCell ref="AL13:AL18"/>
    <mergeCell ref="AM13:AM18"/>
    <mergeCell ref="J13:J18"/>
    <mergeCell ref="K13:K18"/>
    <mergeCell ref="L13:L18"/>
    <mergeCell ref="AU4:AU5"/>
    <mergeCell ref="J5:N5"/>
    <mergeCell ref="O5:Q5"/>
    <mergeCell ref="R5:AG5"/>
    <mergeCell ref="AH5:AI5"/>
    <mergeCell ref="AJ5:AK5"/>
    <mergeCell ref="G1:AU2"/>
    <mergeCell ref="G3:H3"/>
    <mergeCell ref="J3:AU3"/>
    <mergeCell ref="AL5:AM5"/>
    <mergeCell ref="AR5:AT5"/>
    <mergeCell ref="A7:A12"/>
    <mergeCell ref="B7:B12"/>
    <mergeCell ref="C7:C12"/>
    <mergeCell ref="D7:D12"/>
    <mergeCell ref="A4:I5"/>
    <mergeCell ref="J4:N4"/>
    <mergeCell ref="O4:AT4"/>
    <mergeCell ref="A1:F3"/>
    <mergeCell ref="AV9:AX9"/>
    <mergeCell ref="AY9:BA9"/>
    <mergeCell ref="BB9:BD9"/>
    <mergeCell ref="AV10:AX10"/>
    <mergeCell ref="AY10:BA10"/>
    <mergeCell ref="BB10:BD10"/>
    <mergeCell ref="AV11:AX11"/>
    <mergeCell ref="AY11:BA11"/>
    <mergeCell ref="BB11:BD11"/>
    <mergeCell ref="AV5:AX6"/>
    <mergeCell ref="AY5:BA6"/>
    <mergeCell ref="BB5:BD6"/>
    <mergeCell ref="AV7:AX7"/>
    <mergeCell ref="AY7:BA7"/>
    <mergeCell ref="BB7:BD7"/>
    <mergeCell ref="AV8:AX8"/>
    <mergeCell ref="AY8:BA8"/>
    <mergeCell ref="BB8:BD8"/>
    <mergeCell ref="AV15:AX15"/>
    <mergeCell ref="AY15:BA15"/>
    <mergeCell ref="BB15:BD15"/>
    <mergeCell ref="AV16:AX16"/>
    <mergeCell ref="AY16:BA16"/>
    <mergeCell ref="BB16:BD16"/>
    <mergeCell ref="AV17:AX17"/>
    <mergeCell ref="AY17:BA17"/>
    <mergeCell ref="BB17:BD17"/>
    <mergeCell ref="AV12:AX12"/>
    <mergeCell ref="AY12:BA12"/>
    <mergeCell ref="BB12:BD12"/>
    <mergeCell ref="AV13:AX13"/>
    <mergeCell ref="AY13:BA13"/>
    <mergeCell ref="BB13:BD13"/>
    <mergeCell ref="AV14:AX14"/>
    <mergeCell ref="AY14:BA14"/>
    <mergeCell ref="BB14:BD14"/>
    <mergeCell ref="AV21:AX21"/>
    <mergeCell ref="AY21:BA21"/>
    <mergeCell ref="BB21:BD21"/>
    <mergeCell ref="AV22:AX22"/>
    <mergeCell ref="AY22:BA22"/>
    <mergeCell ref="BB22:BD22"/>
    <mergeCell ref="AV23:AX23"/>
    <mergeCell ref="AY23:BA23"/>
    <mergeCell ref="BB23:BD23"/>
    <mergeCell ref="AV18:AX18"/>
    <mergeCell ref="AY18:BA18"/>
    <mergeCell ref="BB18:BD18"/>
    <mergeCell ref="AV19:AX19"/>
    <mergeCell ref="AY19:BA19"/>
    <mergeCell ref="BB19:BD19"/>
    <mergeCell ref="AV20:AX20"/>
    <mergeCell ref="AY20:BA20"/>
    <mergeCell ref="BB20:BD20"/>
    <mergeCell ref="AV27:AX27"/>
    <mergeCell ref="AY27:BA27"/>
    <mergeCell ref="BB27:BD27"/>
    <mergeCell ref="AV28:AX28"/>
    <mergeCell ref="AY28:BA28"/>
    <mergeCell ref="BB28:BD28"/>
    <mergeCell ref="AV29:AX29"/>
    <mergeCell ref="AY29:BA29"/>
    <mergeCell ref="BB29:BD29"/>
    <mergeCell ref="AV24:AX24"/>
    <mergeCell ref="AY24:BA24"/>
    <mergeCell ref="BB24:BD24"/>
    <mergeCell ref="AV25:AX25"/>
    <mergeCell ref="AY25:BA25"/>
    <mergeCell ref="BB25:BD25"/>
    <mergeCell ref="AV26:AX26"/>
    <mergeCell ref="AY26:BA26"/>
    <mergeCell ref="BB26:BD26"/>
    <mergeCell ref="AV33:AX33"/>
    <mergeCell ref="AY33:BA33"/>
    <mergeCell ref="BB33:BD33"/>
    <mergeCell ref="AV34:AX34"/>
    <mergeCell ref="AY34:BA34"/>
    <mergeCell ref="BB34:BD34"/>
    <mergeCell ref="AV35:AX35"/>
    <mergeCell ref="AY35:BA35"/>
    <mergeCell ref="BB35:BD35"/>
    <mergeCell ref="AV30:AX30"/>
    <mergeCell ref="AY30:BA30"/>
    <mergeCell ref="BB30:BD30"/>
    <mergeCell ref="AV31:AX31"/>
    <mergeCell ref="AY31:BA31"/>
    <mergeCell ref="BB31:BD31"/>
    <mergeCell ref="AV32:AX32"/>
    <mergeCell ref="AY32:BA32"/>
    <mergeCell ref="BB32:BD32"/>
    <mergeCell ref="AV39:AX39"/>
    <mergeCell ref="AY39:BA39"/>
    <mergeCell ref="BB39:BD39"/>
    <mergeCell ref="AV40:AX40"/>
    <mergeCell ref="AY40:BA40"/>
    <mergeCell ref="BB40:BD40"/>
    <mergeCell ref="AV41:AX41"/>
    <mergeCell ref="AY41:BA41"/>
    <mergeCell ref="BB41:BD41"/>
    <mergeCell ref="AV36:AX36"/>
    <mergeCell ref="AY36:BA36"/>
    <mergeCell ref="BB36:BD36"/>
    <mergeCell ref="AV37:AX37"/>
    <mergeCell ref="AY37:BA37"/>
    <mergeCell ref="BB37:BD37"/>
    <mergeCell ref="AV38:AX38"/>
    <mergeCell ref="AY38:BA38"/>
    <mergeCell ref="BB38:BD38"/>
    <mergeCell ref="AV45:AX45"/>
    <mergeCell ref="AY45:BA45"/>
    <mergeCell ref="BB45:BD45"/>
    <mergeCell ref="AV46:AX46"/>
    <mergeCell ref="AY46:BA46"/>
    <mergeCell ref="BB46:BD46"/>
    <mergeCell ref="AV47:AX47"/>
    <mergeCell ref="AY47:BA47"/>
    <mergeCell ref="BB47:BD47"/>
    <mergeCell ref="AV42:AX42"/>
    <mergeCell ref="AY42:BA42"/>
    <mergeCell ref="BB42:BD42"/>
    <mergeCell ref="AV43:AX43"/>
    <mergeCell ref="AY43:BA43"/>
    <mergeCell ref="BB43:BD43"/>
    <mergeCell ref="AV44:AX44"/>
    <mergeCell ref="AY44:BA44"/>
    <mergeCell ref="BB44:BD44"/>
    <mergeCell ref="AV51:AX51"/>
    <mergeCell ref="AY51:BA51"/>
    <mergeCell ref="BB51:BD51"/>
    <mergeCell ref="AV52:AX52"/>
    <mergeCell ref="AY52:BA52"/>
    <mergeCell ref="BB52:BD52"/>
    <mergeCell ref="AV53:AX53"/>
    <mergeCell ref="AY53:BA53"/>
    <mergeCell ref="BB53:BD53"/>
    <mergeCell ref="AV48:AX48"/>
    <mergeCell ref="AY48:BA48"/>
    <mergeCell ref="BB48:BD48"/>
    <mergeCell ref="AV49:AX49"/>
    <mergeCell ref="AY49:BA49"/>
    <mergeCell ref="BB49:BD49"/>
    <mergeCell ref="AV50:AX50"/>
    <mergeCell ref="AY50:BA50"/>
    <mergeCell ref="BB50:BD50"/>
    <mergeCell ref="AV57:AX57"/>
    <mergeCell ref="AY57:BA57"/>
    <mergeCell ref="BB57:BD57"/>
    <mergeCell ref="AV58:AX58"/>
    <mergeCell ref="AY58:BA58"/>
    <mergeCell ref="BB58:BD58"/>
    <mergeCell ref="AV59:AX59"/>
    <mergeCell ref="AY59:BA59"/>
    <mergeCell ref="BB59:BD59"/>
    <mergeCell ref="AV54:AX54"/>
    <mergeCell ref="AY54:BA54"/>
    <mergeCell ref="BB54:BD54"/>
    <mergeCell ref="AV55:AX55"/>
    <mergeCell ref="AY55:BA55"/>
    <mergeCell ref="BB55:BD55"/>
    <mergeCell ref="AV56:AX56"/>
    <mergeCell ref="AY56:BA56"/>
    <mergeCell ref="BB56:BD56"/>
    <mergeCell ref="AV63:AX63"/>
    <mergeCell ref="AY63:BA63"/>
    <mergeCell ref="BB63:BD63"/>
    <mergeCell ref="AV64:AX64"/>
    <mergeCell ref="AY64:BA64"/>
    <mergeCell ref="BB64:BD64"/>
    <mergeCell ref="AV65:AX65"/>
    <mergeCell ref="AY65:BA65"/>
    <mergeCell ref="BB65:BD65"/>
    <mergeCell ref="AV60:AX60"/>
    <mergeCell ref="AY60:BA60"/>
    <mergeCell ref="BB60:BD60"/>
    <mergeCell ref="AV61:AX61"/>
    <mergeCell ref="AY61:BA61"/>
    <mergeCell ref="BB61:BD61"/>
    <mergeCell ref="AV62:AX62"/>
    <mergeCell ref="AY62:BA62"/>
    <mergeCell ref="BB62:BD62"/>
    <mergeCell ref="AV69:AX69"/>
    <mergeCell ref="AY69:BA69"/>
    <mergeCell ref="BB69:BD69"/>
    <mergeCell ref="AV70:AX70"/>
    <mergeCell ref="AY70:BA70"/>
    <mergeCell ref="BB70:BD70"/>
    <mergeCell ref="AV71:AX71"/>
    <mergeCell ref="AY71:BA71"/>
    <mergeCell ref="BB71:BD71"/>
    <mergeCell ref="AV66:AX66"/>
    <mergeCell ref="AY66:BA66"/>
    <mergeCell ref="BB66:BD66"/>
    <mergeCell ref="AV67:AX67"/>
    <mergeCell ref="AY67:BA67"/>
    <mergeCell ref="BB67:BD67"/>
    <mergeCell ref="AV68:AX68"/>
    <mergeCell ref="AY68:BA68"/>
    <mergeCell ref="BB68:BD68"/>
    <mergeCell ref="AV75:AX75"/>
    <mergeCell ref="AY75:BA75"/>
    <mergeCell ref="BB75:BD75"/>
    <mergeCell ref="AV76:AX76"/>
    <mergeCell ref="AY76:BA76"/>
    <mergeCell ref="BB76:BD76"/>
    <mergeCell ref="AV77:AX77"/>
    <mergeCell ref="AY77:BA77"/>
    <mergeCell ref="BB77:BD77"/>
    <mergeCell ref="AV72:AX72"/>
    <mergeCell ref="AY72:BA72"/>
    <mergeCell ref="BB72:BD72"/>
    <mergeCell ref="AV73:AX73"/>
    <mergeCell ref="AY73:BA73"/>
    <mergeCell ref="BB73:BD73"/>
    <mergeCell ref="AV74:AX74"/>
    <mergeCell ref="AY74:BA74"/>
    <mergeCell ref="BB74:BD74"/>
    <mergeCell ref="AV81:AX81"/>
    <mergeCell ref="AY81:BA81"/>
    <mergeCell ref="BB81:BD81"/>
    <mergeCell ref="AV82:AX82"/>
    <mergeCell ref="AY82:BA82"/>
    <mergeCell ref="BB82:BD82"/>
    <mergeCell ref="AV83:AX83"/>
    <mergeCell ref="AY83:BA83"/>
    <mergeCell ref="BB83:BD83"/>
    <mergeCell ref="AV78:AX78"/>
    <mergeCell ref="AY78:BA78"/>
    <mergeCell ref="BB78:BD78"/>
    <mergeCell ref="AV79:AX79"/>
    <mergeCell ref="AY79:BA79"/>
    <mergeCell ref="BB79:BD79"/>
    <mergeCell ref="AV80:AX80"/>
    <mergeCell ref="AY80:BA80"/>
    <mergeCell ref="BB80:BD80"/>
    <mergeCell ref="AV87:AX87"/>
    <mergeCell ref="AY87:BA87"/>
    <mergeCell ref="BB87:BD87"/>
    <mergeCell ref="AV88:AX88"/>
    <mergeCell ref="AY88:BA88"/>
    <mergeCell ref="BB88:BD88"/>
    <mergeCell ref="AV89:AX89"/>
    <mergeCell ref="AY89:BA89"/>
    <mergeCell ref="BB89:BD89"/>
    <mergeCell ref="AV84:AX84"/>
    <mergeCell ref="AY84:BA84"/>
    <mergeCell ref="BB84:BD84"/>
    <mergeCell ref="AV85:AX85"/>
    <mergeCell ref="AY85:BA85"/>
    <mergeCell ref="BB85:BD85"/>
    <mergeCell ref="AV86:AX86"/>
    <mergeCell ref="AY86:BA86"/>
    <mergeCell ref="BB86:BD86"/>
    <mergeCell ref="AV93:AX93"/>
    <mergeCell ref="AY93:BA93"/>
    <mergeCell ref="BB93:BD93"/>
    <mergeCell ref="AV94:AX94"/>
    <mergeCell ref="AY94:BA94"/>
    <mergeCell ref="BB94:BD94"/>
    <mergeCell ref="AV95:AX95"/>
    <mergeCell ref="AY95:BA95"/>
    <mergeCell ref="BB95:BD95"/>
    <mergeCell ref="AV90:AX90"/>
    <mergeCell ref="AY90:BA90"/>
    <mergeCell ref="BB90:BD90"/>
    <mergeCell ref="AV91:AX91"/>
    <mergeCell ref="AY91:BA91"/>
    <mergeCell ref="BB91:BD91"/>
    <mergeCell ref="AV92:AX92"/>
    <mergeCell ref="AY92:BA92"/>
    <mergeCell ref="BB92:BD92"/>
    <mergeCell ref="AV99:AX99"/>
    <mergeCell ref="AY99:BA99"/>
    <mergeCell ref="BB99:BD99"/>
    <mergeCell ref="AV100:AX100"/>
    <mergeCell ref="AY100:BA100"/>
    <mergeCell ref="BB100:BD100"/>
    <mergeCell ref="AV101:AX101"/>
    <mergeCell ref="AY101:BA101"/>
    <mergeCell ref="BB101:BD101"/>
    <mergeCell ref="AV96:AX96"/>
    <mergeCell ref="AY96:BA96"/>
    <mergeCell ref="BB96:BD96"/>
    <mergeCell ref="AV97:AX97"/>
    <mergeCell ref="AY97:BA97"/>
    <mergeCell ref="BB97:BD97"/>
    <mergeCell ref="AV98:AX98"/>
    <mergeCell ref="AY98:BA98"/>
    <mergeCell ref="BB98:BD98"/>
    <mergeCell ref="AV105:AX105"/>
    <mergeCell ref="AY105:BA105"/>
    <mergeCell ref="BB105:BD105"/>
    <mergeCell ref="AV106:AX106"/>
    <mergeCell ref="AY106:BA106"/>
    <mergeCell ref="BB106:BD106"/>
    <mergeCell ref="AV107:AX107"/>
    <mergeCell ref="AY107:BA107"/>
    <mergeCell ref="BB107:BD107"/>
    <mergeCell ref="AV102:AX102"/>
    <mergeCell ref="AY102:BA102"/>
    <mergeCell ref="BB102:BD102"/>
    <mergeCell ref="AV103:AX103"/>
    <mergeCell ref="AY103:BA103"/>
    <mergeCell ref="BB103:BD103"/>
    <mergeCell ref="AV104:AX104"/>
    <mergeCell ref="AY104:BA104"/>
    <mergeCell ref="BB104:BD104"/>
    <mergeCell ref="AV111:AX111"/>
    <mergeCell ref="AY111:BA111"/>
    <mergeCell ref="BB111:BD111"/>
    <mergeCell ref="AV112:AX112"/>
    <mergeCell ref="AY112:BA112"/>
    <mergeCell ref="BB112:BD112"/>
    <mergeCell ref="AV113:AX113"/>
    <mergeCell ref="AY113:BA113"/>
    <mergeCell ref="BB113:BD113"/>
    <mergeCell ref="AV108:AX108"/>
    <mergeCell ref="AY108:BA108"/>
    <mergeCell ref="BB108:BD108"/>
    <mergeCell ref="AV109:AX109"/>
    <mergeCell ref="AY109:BA109"/>
    <mergeCell ref="BB109:BD109"/>
    <mergeCell ref="AV110:AX110"/>
    <mergeCell ref="AY110:BA110"/>
    <mergeCell ref="BB110:BD110"/>
    <mergeCell ref="AV117:AX117"/>
    <mergeCell ref="AY117:BA117"/>
    <mergeCell ref="BB117:BD117"/>
    <mergeCell ref="AV118:AX118"/>
    <mergeCell ref="AY118:BA118"/>
    <mergeCell ref="BB118:BD118"/>
    <mergeCell ref="AV119:AX119"/>
    <mergeCell ref="AY119:BA119"/>
    <mergeCell ref="BB119:BD119"/>
    <mergeCell ref="AV114:AX114"/>
    <mergeCell ref="AY114:BA114"/>
    <mergeCell ref="BB114:BD114"/>
    <mergeCell ref="AV115:AX115"/>
    <mergeCell ref="AY115:BA115"/>
    <mergeCell ref="BB115:BD115"/>
    <mergeCell ref="AV116:AX116"/>
    <mergeCell ref="AY116:BA116"/>
    <mergeCell ref="BB116:BD116"/>
    <mergeCell ref="AV123:AX123"/>
    <mergeCell ref="AY123:BA123"/>
    <mergeCell ref="BB123:BD123"/>
    <mergeCell ref="AV124:AX124"/>
    <mergeCell ref="AY124:BA124"/>
    <mergeCell ref="BB124:BD124"/>
    <mergeCell ref="AV125:AX125"/>
    <mergeCell ref="AY125:BA125"/>
    <mergeCell ref="BB125:BD125"/>
    <mergeCell ref="AV120:AX120"/>
    <mergeCell ref="AY120:BA120"/>
    <mergeCell ref="BB120:BD120"/>
    <mergeCell ref="AV121:AX121"/>
    <mergeCell ref="AY121:BA121"/>
    <mergeCell ref="BB121:BD121"/>
    <mergeCell ref="AV122:AX122"/>
    <mergeCell ref="AY122:BA122"/>
    <mergeCell ref="BB122:BD122"/>
    <mergeCell ref="AV129:AX129"/>
    <mergeCell ref="AY129:BA129"/>
    <mergeCell ref="BB129:BD129"/>
    <mergeCell ref="AV130:AX130"/>
    <mergeCell ref="AY130:BA130"/>
    <mergeCell ref="BB130:BD130"/>
    <mergeCell ref="AV131:AX131"/>
    <mergeCell ref="AY131:BA131"/>
    <mergeCell ref="BB131:BD131"/>
    <mergeCell ref="AV126:AX126"/>
    <mergeCell ref="AY126:BA126"/>
    <mergeCell ref="BB126:BD126"/>
    <mergeCell ref="AV127:AX127"/>
    <mergeCell ref="AY127:BA127"/>
    <mergeCell ref="BB127:BD127"/>
    <mergeCell ref="AV128:AX128"/>
    <mergeCell ref="AY128:BA128"/>
    <mergeCell ref="BB128:BD128"/>
    <mergeCell ref="AV135:AX135"/>
    <mergeCell ref="AY135:BA135"/>
    <mergeCell ref="BB135:BD135"/>
    <mergeCell ref="AV136:AX136"/>
    <mergeCell ref="AY136:BA136"/>
    <mergeCell ref="BB136:BD136"/>
    <mergeCell ref="AV137:AX137"/>
    <mergeCell ref="AY137:BA137"/>
    <mergeCell ref="BB137:BD137"/>
    <mergeCell ref="AV132:AX132"/>
    <mergeCell ref="AY132:BA132"/>
    <mergeCell ref="BB132:BD132"/>
    <mergeCell ref="AV133:AX133"/>
    <mergeCell ref="AY133:BA133"/>
    <mergeCell ref="BB133:BD133"/>
    <mergeCell ref="AV134:AX134"/>
    <mergeCell ref="AY134:BA134"/>
    <mergeCell ref="BB134:BD134"/>
    <mergeCell ref="AV141:AX141"/>
    <mergeCell ref="AY141:BA141"/>
    <mergeCell ref="BB141:BD141"/>
    <mergeCell ref="AV142:AX142"/>
    <mergeCell ref="AY142:BA142"/>
    <mergeCell ref="BB142:BD142"/>
    <mergeCell ref="AV143:AX143"/>
    <mergeCell ref="AY143:BA143"/>
    <mergeCell ref="BB143:BD143"/>
    <mergeCell ref="AV138:AX138"/>
    <mergeCell ref="AY138:BA138"/>
    <mergeCell ref="BB138:BD138"/>
    <mergeCell ref="AV139:AX139"/>
    <mergeCell ref="AY139:BA139"/>
    <mergeCell ref="BB139:BD139"/>
    <mergeCell ref="AV140:AX140"/>
    <mergeCell ref="AY140:BA140"/>
    <mergeCell ref="BB140:BD140"/>
    <mergeCell ref="AV147:AX147"/>
    <mergeCell ref="AY147:BA147"/>
    <mergeCell ref="BB147:BD147"/>
    <mergeCell ref="AV148:AX148"/>
    <mergeCell ref="AY148:BA148"/>
    <mergeCell ref="BB148:BD148"/>
    <mergeCell ref="AV149:AX149"/>
    <mergeCell ref="AY149:BA149"/>
    <mergeCell ref="BB149:BD149"/>
    <mergeCell ref="AV144:AX144"/>
    <mergeCell ref="AY144:BA144"/>
    <mergeCell ref="BB144:BD144"/>
    <mergeCell ref="AV145:AX145"/>
    <mergeCell ref="AY145:BA145"/>
    <mergeCell ref="BB145:BD145"/>
    <mergeCell ref="AV146:AX146"/>
    <mergeCell ref="AY146:BA146"/>
    <mergeCell ref="BB146:BD146"/>
    <mergeCell ref="AV153:AX153"/>
    <mergeCell ref="AY153:BA153"/>
    <mergeCell ref="BB153:BD153"/>
    <mergeCell ref="AV154:AX154"/>
    <mergeCell ref="AY154:BA154"/>
    <mergeCell ref="BB154:BD154"/>
    <mergeCell ref="AV155:AX155"/>
    <mergeCell ref="AY155:BA155"/>
    <mergeCell ref="BB155:BD155"/>
    <mergeCell ref="AV150:AX150"/>
    <mergeCell ref="AY150:BA150"/>
    <mergeCell ref="BB150:BD150"/>
    <mergeCell ref="AV151:AX151"/>
    <mergeCell ref="AY151:BA151"/>
    <mergeCell ref="BB151:BD151"/>
    <mergeCell ref="AV152:AX152"/>
    <mergeCell ref="AY152:BA152"/>
    <mergeCell ref="BB152:BD152"/>
    <mergeCell ref="AV159:AX159"/>
    <mergeCell ref="AY159:BA159"/>
    <mergeCell ref="BB159:BD159"/>
    <mergeCell ref="AV160:AX160"/>
    <mergeCell ref="AY160:BA160"/>
    <mergeCell ref="BB160:BD160"/>
    <mergeCell ref="AV161:AX161"/>
    <mergeCell ref="AY161:BA161"/>
    <mergeCell ref="BB161:BD161"/>
    <mergeCell ref="AV156:AX156"/>
    <mergeCell ref="AY156:BA156"/>
    <mergeCell ref="BB156:BD156"/>
    <mergeCell ref="AV157:AX157"/>
    <mergeCell ref="AY157:BA157"/>
    <mergeCell ref="BB157:BD157"/>
    <mergeCell ref="AV158:AX158"/>
    <mergeCell ref="AY158:BA158"/>
    <mergeCell ref="BB158:BD158"/>
    <mergeCell ref="AV165:AX165"/>
    <mergeCell ref="AY165:BA165"/>
    <mergeCell ref="BB165:BD165"/>
    <mergeCell ref="AV166:AX166"/>
    <mergeCell ref="AY166:BA166"/>
    <mergeCell ref="BB166:BD166"/>
    <mergeCell ref="AV167:AX167"/>
    <mergeCell ref="AY167:BA167"/>
    <mergeCell ref="BB167:BD167"/>
    <mergeCell ref="AV162:AX162"/>
    <mergeCell ref="AY162:BA162"/>
    <mergeCell ref="BB162:BD162"/>
    <mergeCell ref="AV163:AX163"/>
    <mergeCell ref="AY163:BA163"/>
    <mergeCell ref="BB163:BD163"/>
    <mergeCell ref="AV164:AX164"/>
    <mergeCell ref="AY164:BA164"/>
    <mergeCell ref="BB164:BD164"/>
    <mergeCell ref="AV171:AX171"/>
    <mergeCell ref="AY171:BA171"/>
    <mergeCell ref="BB171:BD171"/>
    <mergeCell ref="AV172:AX172"/>
    <mergeCell ref="AY172:BA172"/>
    <mergeCell ref="BB172:BD172"/>
    <mergeCell ref="AV173:AX173"/>
    <mergeCell ref="AY173:BA173"/>
    <mergeCell ref="BB173:BD173"/>
    <mergeCell ref="AV168:AX168"/>
    <mergeCell ref="AY168:BA168"/>
    <mergeCell ref="BB168:BD168"/>
    <mergeCell ref="AV169:AX169"/>
    <mergeCell ref="AY169:BA169"/>
    <mergeCell ref="BB169:BD169"/>
    <mergeCell ref="AV170:AX170"/>
    <mergeCell ref="AY170:BA170"/>
    <mergeCell ref="BB170:BD170"/>
    <mergeCell ref="AV177:AX177"/>
    <mergeCell ref="AY177:BA177"/>
    <mergeCell ref="BB177:BD177"/>
    <mergeCell ref="AV178:AX178"/>
    <mergeCell ref="AY178:BA178"/>
    <mergeCell ref="BB178:BD178"/>
    <mergeCell ref="AV179:AX179"/>
    <mergeCell ref="AY179:BA179"/>
    <mergeCell ref="BB179:BD179"/>
    <mergeCell ref="AV174:AX174"/>
    <mergeCell ref="AY174:BA174"/>
    <mergeCell ref="BB174:BD174"/>
    <mergeCell ref="AV175:AX175"/>
    <mergeCell ref="AY175:BA175"/>
    <mergeCell ref="BB175:BD175"/>
    <mergeCell ref="AV176:AX176"/>
    <mergeCell ref="AY176:BA176"/>
    <mergeCell ref="BB176:BD176"/>
    <mergeCell ref="AV183:AX183"/>
    <mergeCell ref="AY183:BA183"/>
    <mergeCell ref="BB183:BD183"/>
    <mergeCell ref="AV184:AX184"/>
    <mergeCell ref="AY184:BA184"/>
    <mergeCell ref="BB184:BD184"/>
    <mergeCell ref="AV185:AX185"/>
    <mergeCell ref="AY185:BA185"/>
    <mergeCell ref="BB185:BD185"/>
    <mergeCell ref="AV180:AX180"/>
    <mergeCell ref="AY180:BA180"/>
    <mergeCell ref="BB180:BD180"/>
    <mergeCell ref="AV181:AX181"/>
    <mergeCell ref="AY181:BA181"/>
    <mergeCell ref="BB181:BD181"/>
    <mergeCell ref="AV182:AX182"/>
    <mergeCell ref="AY182:BA182"/>
    <mergeCell ref="BB182:BD182"/>
    <mergeCell ref="AV189:AX189"/>
    <mergeCell ref="AY189:BA189"/>
    <mergeCell ref="BB189:BD189"/>
    <mergeCell ref="AV190:AX190"/>
    <mergeCell ref="AY190:BA190"/>
    <mergeCell ref="BB190:BD190"/>
    <mergeCell ref="AV191:AX191"/>
    <mergeCell ref="AY191:BA191"/>
    <mergeCell ref="BB191:BD191"/>
    <mergeCell ref="AV186:AX186"/>
    <mergeCell ref="AY186:BA186"/>
    <mergeCell ref="BB186:BD186"/>
    <mergeCell ref="AV187:AX187"/>
    <mergeCell ref="AY187:BA187"/>
    <mergeCell ref="BB187:BD187"/>
    <mergeCell ref="AV188:AX188"/>
    <mergeCell ref="AY188:BA188"/>
    <mergeCell ref="BB188:BD188"/>
    <mergeCell ref="AV195:AX195"/>
    <mergeCell ref="AY195:BA195"/>
    <mergeCell ref="BB195:BD195"/>
    <mergeCell ref="AV196:AX196"/>
    <mergeCell ref="AY196:BA196"/>
    <mergeCell ref="BB196:BD196"/>
    <mergeCell ref="AV197:AX197"/>
    <mergeCell ref="AY197:BA197"/>
    <mergeCell ref="BB197:BD197"/>
    <mergeCell ref="AV192:AX192"/>
    <mergeCell ref="AY192:BA192"/>
    <mergeCell ref="BB192:BD192"/>
    <mergeCell ref="AV193:AX193"/>
    <mergeCell ref="AY193:BA193"/>
    <mergeCell ref="BB193:BD193"/>
    <mergeCell ref="AV194:AX194"/>
    <mergeCell ref="AY194:BA194"/>
    <mergeCell ref="BB194:BD194"/>
    <mergeCell ref="AV201:AX201"/>
    <mergeCell ref="AY201:BA201"/>
    <mergeCell ref="BB201:BD201"/>
    <mergeCell ref="AV202:AX202"/>
    <mergeCell ref="AY202:BA202"/>
    <mergeCell ref="BB202:BD202"/>
    <mergeCell ref="AV203:AX203"/>
    <mergeCell ref="AY203:BA203"/>
    <mergeCell ref="BB203:BD203"/>
    <mergeCell ref="AV198:AX198"/>
    <mergeCell ref="AY198:BA198"/>
    <mergeCell ref="BB198:BD198"/>
    <mergeCell ref="AV199:AX199"/>
    <mergeCell ref="AY199:BA199"/>
    <mergeCell ref="BB199:BD199"/>
    <mergeCell ref="AV200:AX200"/>
    <mergeCell ref="AY200:BA200"/>
    <mergeCell ref="BB200:BD200"/>
    <mergeCell ref="AV207:AX207"/>
    <mergeCell ref="AY207:BA207"/>
    <mergeCell ref="BB207:BD207"/>
    <mergeCell ref="AV208:AX208"/>
    <mergeCell ref="AY208:BA208"/>
    <mergeCell ref="BB208:BD208"/>
    <mergeCell ref="AV209:AX209"/>
    <mergeCell ref="AY209:BA209"/>
    <mergeCell ref="BB209:BD209"/>
    <mergeCell ref="AV204:AX204"/>
    <mergeCell ref="AY204:BA204"/>
    <mergeCell ref="BB204:BD204"/>
    <mergeCell ref="AV205:AX205"/>
    <mergeCell ref="AY205:BA205"/>
    <mergeCell ref="BB205:BD205"/>
    <mergeCell ref="AV206:AX206"/>
    <mergeCell ref="AY206:BA206"/>
    <mergeCell ref="BB206:BD206"/>
    <mergeCell ref="AV213:AX213"/>
    <mergeCell ref="AY213:BA213"/>
    <mergeCell ref="BB213:BD213"/>
    <mergeCell ref="AV214:AX214"/>
    <mergeCell ref="AY214:BA214"/>
    <mergeCell ref="BB214:BD214"/>
    <mergeCell ref="AV215:AX215"/>
    <mergeCell ref="AY215:BA215"/>
    <mergeCell ref="BB215:BD215"/>
    <mergeCell ref="AV210:AX210"/>
    <mergeCell ref="AY210:BA210"/>
    <mergeCell ref="BB210:BD210"/>
    <mergeCell ref="AV211:AX211"/>
    <mergeCell ref="AY211:BA211"/>
    <mergeCell ref="BB211:BD211"/>
    <mergeCell ref="AV212:AX212"/>
    <mergeCell ref="AY212:BA212"/>
    <mergeCell ref="BB212:BD212"/>
    <mergeCell ref="AV219:AX219"/>
    <mergeCell ref="AY219:BA219"/>
    <mergeCell ref="BB219:BD219"/>
    <mergeCell ref="AV220:AX220"/>
    <mergeCell ref="AY220:BA220"/>
    <mergeCell ref="BB220:BD220"/>
    <mergeCell ref="AV221:AX221"/>
    <mergeCell ref="AY221:BA221"/>
    <mergeCell ref="BB221:BD221"/>
    <mergeCell ref="AV216:AX216"/>
    <mergeCell ref="AY216:BA216"/>
    <mergeCell ref="BB216:BD216"/>
    <mergeCell ref="AV217:AX217"/>
    <mergeCell ref="AY217:BA217"/>
    <mergeCell ref="BB217:BD217"/>
    <mergeCell ref="AV218:AX218"/>
    <mergeCell ref="AY218:BA218"/>
    <mergeCell ref="BB218:BD218"/>
    <mergeCell ref="AV225:AX225"/>
    <mergeCell ref="AY225:BA225"/>
    <mergeCell ref="BB225:BD225"/>
    <mergeCell ref="AV226:AX226"/>
    <mergeCell ref="AY226:BA226"/>
    <mergeCell ref="BB226:BD226"/>
    <mergeCell ref="AV227:AX227"/>
    <mergeCell ref="AY227:BA227"/>
    <mergeCell ref="BB227:BD227"/>
    <mergeCell ref="AV222:AX222"/>
    <mergeCell ref="AY222:BA222"/>
    <mergeCell ref="BB222:BD222"/>
    <mergeCell ref="AV223:AX223"/>
    <mergeCell ref="AY223:BA223"/>
    <mergeCell ref="BB223:BD223"/>
    <mergeCell ref="AV224:AX224"/>
    <mergeCell ref="AY224:BA224"/>
    <mergeCell ref="BB224:BD224"/>
    <mergeCell ref="AV231:AX231"/>
    <mergeCell ref="AY231:BA231"/>
    <mergeCell ref="BB231:BD231"/>
    <mergeCell ref="AV232:AX232"/>
    <mergeCell ref="AY232:BA232"/>
    <mergeCell ref="BB232:BD232"/>
    <mergeCell ref="AV233:AX233"/>
    <mergeCell ref="AY233:BA233"/>
    <mergeCell ref="BB233:BD233"/>
    <mergeCell ref="AV228:AX228"/>
    <mergeCell ref="AY228:BA228"/>
    <mergeCell ref="BB228:BD228"/>
    <mergeCell ref="AV229:AX229"/>
    <mergeCell ref="AY229:BA229"/>
    <mergeCell ref="BB229:BD229"/>
    <mergeCell ref="AV230:AX230"/>
    <mergeCell ref="AY230:BA230"/>
    <mergeCell ref="BB230:BD230"/>
    <mergeCell ref="AV237:AX237"/>
    <mergeCell ref="AY237:BA237"/>
    <mergeCell ref="BB237:BD237"/>
    <mergeCell ref="AV238:AX238"/>
    <mergeCell ref="AY238:BA238"/>
    <mergeCell ref="BB238:BD238"/>
    <mergeCell ref="AV239:AX239"/>
    <mergeCell ref="AY239:BA239"/>
    <mergeCell ref="BB239:BD239"/>
    <mergeCell ref="AV234:AX234"/>
    <mergeCell ref="AY234:BA234"/>
    <mergeCell ref="BB234:BD234"/>
    <mergeCell ref="AV235:AX235"/>
    <mergeCell ref="AY235:BA235"/>
    <mergeCell ref="BB235:BD235"/>
    <mergeCell ref="AV236:AX236"/>
    <mergeCell ref="AY236:BA236"/>
    <mergeCell ref="BB236:BD236"/>
    <mergeCell ref="AV243:AX243"/>
    <mergeCell ref="AY243:BA243"/>
    <mergeCell ref="BB243:BD243"/>
    <mergeCell ref="AV244:AX244"/>
    <mergeCell ref="AY244:BA244"/>
    <mergeCell ref="BB244:BD244"/>
    <mergeCell ref="AV245:AX245"/>
    <mergeCell ref="AY245:BA245"/>
    <mergeCell ref="BB245:BD245"/>
    <mergeCell ref="AV240:AX240"/>
    <mergeCell ref="AY240:BA240"/>
    <mergeCell ref="BB240:BD240"/>
    <mergeCell ref="AV241:AX241"/>
    <mergeCell ref="AY241:BA241"/>
    <mergeCell ref="BB241:BD241"/>
    <mergeCell ref="AV242:AX242"/>
    <mergeCell ref="AY242:BA242"/>
    <mergeCell ref="BB242:BD242"/>
    <mergeCell ref="AV249:AX249"/>
    <mergeCell ref="AY249:BA249"/>
    <mergeCell ref="BB249:BD249"/>
    <mergeCell ref="AV250:AX250"/>
    <mergeCell ref="AY250:BA250"/>
    <mergeCell ref="BB250:BD250"/>
    <mergeCell ref="AV251:AX251"/>
    <mergeCell ref="AY251:BA251"/>
    <mergeCell ref="BB251:BD251"/>
    <mergeCell ref="AV246:AX246"/>
    <mergeCell ref="AY246:BA246"/>
    <mergeCell ref="BB246:BD246"/>
    <mergeCell ref="AV247:AX247"/>
    <mergeCell ref="AY247:BA247"/>
    <mergeCell ref="BB247:BD247"/>
    <mergeCell ref="AV248:AX248"/>
    <mergeCell ref="AY248:BA248"/>
    <mergeCell ref="BB248:BD248"/>
    <mergeCell ref="AV255:AX255"/>
    <mergeCell ref="AY255:BA255"/>
    <mergeCell ref="BB255:BD255"/>
    <mergeCell ref="AV256:AX256"/>
    <mergeCell ref="AY256:BA256"/>
    <mergeCell ref="BB256:BD256"/>
    <mergeCell ref="AV257:AX257"/>
    <mergeCell ref="AY257:BA257"/>
    <mergeCell ref="BB257:BD257"/>
    <mergeCell ref="AV252:AX252"/>
    <mergeCell ref="AY252:BA252"/>
    <mergeCell ref="BB252:BD252"/>
    <mergeCell ref="AV253:AX253"/>
    <mergeCell ref="AY253:BA253"/>
    <mergeCell ref="BB253:BD253"/>
    <mergeCell ref="AV254:AX254"/>
    <mergeCell ref="AY254:BA254"/>
    <mergeCell ref="BB254:BD254"/>
    <mergeCell ref="AV261:AX261"/>
    <mergeCell ref="AY261:BA261"/>
    <mergeCell ref="BB261:BD261"/>
    <mergeCell ref="AV262:AX262"/>
    <mergeCell ref="AY262:BA262"/>
    <mergeCell ref="BB262:BD262"/>
    <mergeCell ref="AV263:AX263"/>
    <mergeCell ref="AY263:BA263"/>
    <mergeCell ref="BB263:BD263"/>
    <mergeCell ref="AV258:AX258"/>
    <mergeCell ref="AY258:BA258"/>
    <mergeCell ref="BB258:BD258"/>
    <mergeCell ref="AV259:AX259"/>
    <mergeCell ref="AY259:BA259"/>
    <mergeCell ref="BB259:BD259"/>
    <mergeCell ref="AV260:AX260"/>
    <mergeCell ref="AY260:BA260"/>
    <mergeCell ref="BB260:BD260"/>
    <mergeCell ref="AV267:AX267"/>
    <mergeCell ref="AY267:BA267"/>
    <mergeCell ref="BB267:BD267"/>
    <mergeCell ref="AV268:AX268"/>
    <mergeCell ref="AY268:BA268"/>
    <mergeCell ref="BB268:BD268"/>
    <mergeCell ref="AV269:AX269"/>
    <mergeCell ref="AY269:BA269"/>
    <mergeCell ref="BB269:BD269"/>
    <mergeCell ref="AV264:AX264"/>
    <mergeCell ref="AY264:BA264"/>
    <mergeCell ref="BB264:BD264"/>
    <mergeCell ref="AV265:AX265"/>
    <mergeCell ref="AY265:BA265"/>
    <mergeCell ref="BB265:BD265"/>
    <mergeCell ref="AV266:AX266"/>
    <mergeCell ref="AY266:BA266"/>
    <mergeCell ref="BB266:BD266"/>
    <mergeCell ref="AV273:AX273"/>
    <mergeCell ref="AY273:BA273"/>
    <mergeCell ref="BB273:BD273"/>
    <mergeCell ref="AV274:AX274"/>
    <mergeCell ref="AY274:BA274"/>
    <mergeCell ref="BB274:BD274"/>
    <mergeCell ref="AV275:AX275"/>
    <mergeCell ref="AY275:BA275"/>
    <mergeCell ref="BB275:BD275"/>
    <mergeCell ref="AV270:AX270"/>
    <mergeCell ref="AY270:BA270"/>
    <mergeCell ref="BB270:BD270"/>
    <mergeCell ref="AV271:AX271"/>
    <mergeCell ref="AY271:BA271"/>
    <mergeCell ref="BB271:BD271"/>
    <mergeCell ref="AV272:AX272"/>
    <mergeCell ref="AY272:BA272"/>
    <mergeCell ref="BB272:BD272"/>
    <mergeCell ref="AV279:AX279"/>
    <mergeCell ref="AY279:BA279"/>
    <mergeCell ref="BB279:BD279"/>
    <mergeCell ref="AV280:AX280"/>
    <mergeCell ref="AY280:BA280"/>
    <mergeCell ref="BB280:BD280"/>
    <mergeCell ref="AV281:AX281"/>
    <mergeCell ref="AY281:BA281"/>
    <mergeCell ref="BB281:BD281"/>
    <mergeCell ref="AV276:AX276"/>
    <mergeCell ref="AY276:BA276"/>
    <mergeCell ref="BB276:BD276"/>
    <mergeCell ref="AV277:AX277"/>
    <mergeCell ref="AY277:BA277"/>
    <mergeCell ref="BB277:BD277"/>
    <mergeCell ref="AV278:AX278"/>
    <mergeCell ref="AY278:BA278"/>
    <mergeCell ref="BB278:BD278"/>
    <mergeCell ref="AV285:AX285"/>
    <mergeCell ref="AY285:BA285"/>
    <mergeCell ref="BB285:BD285"/>
    <mergeCell ref="AV286:AX286"/>
    <mergeCell ref="AY286:BA286"/>
    <mergeCell ref="BB286:BD286"/>
    <mergeCell ref="AV287:AX287"/>
    <mergeCell ref="AY287:BA287"/>
    <mergeCell ref="BB287:BD287"/>
    <mergeCell ref="AV282:AX282"/>
    <mergeCell ref="AY282:BA282"/>
    <mergeCell ref="BB282:BD282"/>
    <mergeCell ref="AV283:AX283"/>
    <mergeCell ref="AY283:BA283"/>
    <mergeCell ref="BB283:BD283"/>
    <mergeCell ref="AV284:AX284"/>
    <mergeCell ref="AY284:BA284"/>
    <mergeCell ref="BB284:BD284"/>
    <mergeCell ref="AV291:AX291"/>
    <mergeCell ref="AY291:BA291"/>
    <mergeCell ref="BB291:BD291"/>
    <mergeCell ref="AV292:AX292"/>
    <mergeCell ref="AY292:BA292"/>
    <mergeCell ref="BB292:BD292"/>
    <mergeCell ref="AV293:AX293"/>
    <mergeCell ref="AY293:BA293"/>
    <mergeCell ref="BB293:BD293"/>
    <mergeCell ref="AV288:AX288"/>
    <mergeCell ref="AY288:BA288"/>
    <mergeCell ref="BB288:BD288"/>
    <mergeCell ref="AV289:AX289"/>
    <mergeCell ref="AY289:BA289"/>
    <mergeCell ref="BB289:BD289"/>
    <mergeCell ref="AV290:AX290"/>
    <mergeCell ref="AY290:BA290"/>
    <mergeCell ref="BB290:BD290"/>
    <mergeCell ref="AV297:AX297"/>
    <mergeCell ref="AY297:BA297"/>
    <mergeCell ref="BB297:BD297"/>
    <mergeCell ref="AV298:AX298"/>
    <mergeCell ref="AY298:BA298"/>
    <mergeCell ref="BB298:BD298"/>
    <mergeCell ref="AV299:AX299"/>
    <mergeCell ref="AY299:BA299"/>
    <mergeCell ref="BB299:BD299"/>
    <mergeCell ref="AV294:AX294"/>
    <mergeCell ref="AY294:BA294"/>
    <mergeCell ref="BB294:BD294"/>
    <mergeCell ref="AV295:AX295"/>
    <mergeCell ref="AY295:BA295"/>
    <mergeCell ref="BB295:BD295"/>
    <mergeCell ref="AV296:AX296"/>
    <mergeCell ref="AY296:BA296"/>
    <mergeCell ref="BB296:BD296"/>
    <mergeCell ref="AV303:AX303"/>
    <mergeCell ref="AY303:BA303"/>
    <mergeCell ref="BB303:BD303"/>
    <mergeCell ref="AV304:AX304"/>
    <mergeCell ref="AY304:BA304"/>
    <mergeCell ref="BB304:BD304"/>
    <mergeCell ref="AV305:AX305"/>
    <mergeCell ref="AY305:BA305"/>
    <mergeCell ref="BB305:BD305"/>
    <mergeCell ref="AV300:AX300"/>
    <mergeCell ref="AY300:BA300"/>
    <mergeCell ref="BB300:BD300"/>
    <mergeCell ref="AV301:AX301"/>
    <mergeCell ref="AY301:BA301"/>
    <mergeCell ref="BB301:BD301"/>
    <mergeCell ref="AV302:AX302"/>
    <mergeCell ref="AY302:BA302"/>
    <mergeCell ref="BB302:BD302"/>
    <mergeCell ref="AV309:AX309"/>
    <mergeCell ref="AY309:BA309"/>
    <mergeCell ref="BB309:BD309"/>
    <mergeCell ref="AV310:AX310"/>
    <mergeCell ref="AY310:BA310"/>
    <mergeCell ref="BB310:BD310"/>
    <mergeCell ref="AV311:AX311"/>
    <mergeCell ref="AY311:BA311"/>
    <mergeCell ref="BB311:BD311"/>
    <mergeCell ref="AV306:AX306"/>
    <mergeCell ref="AY306:BA306"/>
    <mergeCell ref="BB306:BD306"/>
    <mergeCell ref="AV307:AX307"/>
    <mergeCell ref="AY307:BA307"/>
    <mergeCell ref="BB307:BD307"/>
    <mergeCell ref="AV308:AX308"/>
    <mergeCell ref="AY308:BA308"/>
    <mergeCell ref="BB308:BD308"/>
    <mergeCell ref="AV315:AX315"/>
    <mergeCell ref="AY315:BA315"/>
    <mergeCell ref="BB315:BD315"/>
    <mergeCell ref="AV316:AX316"/>
    <mergeCell ref="AY316:BA316"/>
    <mergeCell ref="BB316:BD316"/>
    <mergeCell ref="AV317:AX317"/>
    <mergeCell ref="AY317:BA317"/>
    <mergeCell ref="BB317:BD317"/>
    <mergeCell ref="AV312:AX312"/>
    <mergeCell ref="AY312:BA312"/>
    <mergeCell ref="BB312:BD312"/>
    <mergeCell ref="AV313:AX313"/>
    <mergeCell ref="AY313:BA313"/>
    <mergeCell ref="BB313:BD313"/>
    <mergeCell ref="AV314:AX314"/>
    <mergeCell ref="AY314:BA314"/>
    <mergeCell ref="BB314:BD314"/>
    <mergeCell ref="AV321:AX321"/>
    <mergeCell ref="AY321:BA321"/>
    <mergeCell ref="BB321:BD321"/>
    <mergeCell ref="AV322:AX322"/>
    <mergeCell ref="AY322:BA322"/>
    <mergeCell ref="BB322:BD322"/>
    <mergeCell ref="AV323:AX323"/>
    <mergeCell ref="AY323:BA323"/>
    <mergeCell ref="BB323:BD323"/>
    <mergeCell ref="AV318:AX318"/>
    <mergeCell ref="AY318:BA318"/>
    <mergeCell ref="BB318:BD318"/>
    <mergeCell ref="AV319:AX319"/>
    <mergeCell ref="AY319:BA319"/>
    <mergeCell ref="BB319:BD319"/>
    <mergeCell ref="AV320:AX320"/>
    <mergeCell ref="AY320:BA320"/>
    <mergeCell ref="BB320:BD320"/>
    <mergeCell ref="AV327:AX327"/>
    <mergeCell ref="AY327:BA327"/>
    <mergeCell ref="BB327:BD327"/>
    <mergeCell ref="AV328:AX328"/>
    <mergeCell ref="AY328:BA328"/>
    <mergeCell ref="BB328:BD328"/>
    <mergeCell ref="AV329:AX329"/>
    <mergeCell ref="AY329:BA329"/>
    <mergeCell ref="BB329:BD329"/>
    <mergeCell ref="AV324:AX324"/>
    <mergeCell ref="AY324:BA324"/>
    <mergeCell ref="BB324:BD324"/>
    <mergeCell ref="AV325:AX325"/>
    <mergeCell ref="AY325:BA325"/>
    <mergeCell ref="BB325:BD325"/>
    <mergeCell ref="AV326:AX326"/>
    <mergeCell ref="AY326:BA326"/>
    <mergeCell ref="BB326:BD326"/>
    <mergeCell ref="AV333:AX333"/>
    <mergeCell ref="AY333:BA333"/>
    <mergeCell ref="BB333:BD333"/>
    <mergeCell ref="AV334:AX334"/>
    <mergeCell ref="AY334:BA334"/>
    <mergeCell ref="BB334:BD334"/>
    <mergeCell ref="AV335:AX335"/>
    <mergeCell ref="AY335:BA335"/>
    <mergeCell ref="BB335:BD335"/>
    <mergeCell ref="AV330:AX330"/>
    <mergeCell ref="AY330:BA330"/>
    <mergeCell ref="BB330:BD330"/>
    <mergeCell ref="AV331:AX331"/>
    <mergeCell ref="AY331:BA331"/>
    <mergeCell ref="BB331:BD331"/>
    <mergeCell ref="AV332:AX332"/>
    <mergeCell ref="AY332:BA332"/>
    <mergeCell ref="BB332:BD332"/>
    <mergeCell ref="AV339:AX339"/>
    <mergeCell ref="AY339:BA339"/>
    <mergeCell ref="BB339:BD339"/>
    <mergeCell ref="AV340:AX340"/>
    <mergeCell ref="AY340:BA340"/>
    <mergeCell ref="BB340:BD340"/>
    <mergeCell ref="AV341:AX341"/>
    <mergeCell ref="AY341:BA341"/>
    <mergeCell ref="BB341:BD341"/>
    <mergeCell ref="AV336:AX336"/>
    <mergeCell ref="AY336:BA336"/>
    <mergeCell ref="BB336:BD336"/>
    <mergeCell ref="AV337:AX337"/>
    <mergeCell ref="AY337:BA337"/>
    <mergeCell ref="BB337:BD337"/>
    <mergeCell ref="AV338:AX338"/>
    <mergeCell ref="AY338:BA338"/>
    <mergeCell ref="BB338:BD338"/>
    <mergeCell ref="AV345:AX345"/>
    <mergeCell ref="AY345:BA345"/>
    <mergeCell ref="BB345:BD345"/>
    <mergeCell ref="AV346:AX346"/>
    <mergeCell ref="AY346:BA346"/>
    <mergeCell ref="BB346:BD346"/>
    <mergeCell ref="AV347:AX347"/>
    <mergeCell ref="AY347:BA347"/>
    <mergeCell ref="BB347:BD347"/>
    <mergeCell ref="AV342:AX342"/>
    <mergeCell ref="AY342:BA342"/>
    <mergeCell ref="BB342:BD342"/>
    <mergeCell ref="AV343:AX343"/>
    <mergeCell ref="AY343:BA343"/>
    <mergeCell ref="BB343:BD343"/>
    <mergeCell ref="AV344:AX344"/>
    <mergeCell ref="AY344:BA344"/>
    <mergeCell ref="BB344:BD344"/>
    <mergeCell ref="AV351:AX351"/>
    <mergeCell ref="AY351:BA351"/>
    <mergeCell ref="BB351:BD351"/>
    <mergeCell ref="AV352:AX352"/>
    <mergeCell ref="AY352:BA352"/>
    <mergeCell ref="BB352:BD352"/>
    <mergeCell ref="AV353:AX353"/>
    <mergeCell ref="AY353:BA353"/>
    <mergeCell ref="BB353:BD353"/>
    <mergeCell ref="AV348:AX348"/>
    <mergeCell ref="AY348:BA348"/>
    <mergeCell ref="BB348:BD348"/>
    <mergeCell ref="AV349:AX349"/>
    <mergeCell ref="AY349:BA349"/>
    <mergeCell ref="BB349:BD349"/>
    <mergeCell ref="AV350:AX350"/>
    <mergeCell ref="AY350:BA350"/>
    <mergeCell ref="BB350:BD350"/>
    <mergeCell ref="AV357:AX357"/>
    <mergeCell ref="AY357:BA357"/>
    <mergeCell ref="BB357:BD357"/>
    <mergeCell ref="AV358:AX358"/>
    <mergeCell ref="AY358:BA358"/>
    <mergeCell ref="BB358:BD358"/>
    <mergeCell ref="AV359:AX359"/>
    <mergeCell ref="AY359:BA359"/>
    <mergeCell ref="BB359:BD359"/>
    <mergeCell ref="AV354:AX354"/>
    <mergeCell ref="AY354:BA354"/>
    <mergeCell ref="BB354:BD354"/>
    <mergeCell ref="AV355:AX355"/>
    <mergeCell ref="AY355:BA355"/>
    <mergeCell ref="BB355:BD355"/>
    <mergeCell ref="AV356:AX356"/>
    <mergeCell ref="AY356:BA356"/>
    <mergeCell ref="BB356:BD356"/>
    <mergeCell ref="AV366:AX366"/>
    <mergeCell ref="AY366:BA366"/>
    <mergeCell ref="BB366:BD366"/>
    <mergeCell ref="AV363:AX363"/>
    <mergeCell ref="AY363:BA363"/>
    <mergeCell ref="BB363:BD363"/>
    <mergeCell ref="AV364:AX364"/>
    <mergeCell ref="AY364:BA364"/>
    <mergeCell ref="BB364:BD364"/>
    <mergeCell ref="AV365:AX365"/>
    <mergeCell ref="AY365:BA365"/>
    <mergeCell ref="BB365:BD365"/>
    <mergeCell ref="AV360:AX360"/>
    <mergeCell ref="AY360:BA360"/>
    <mergeCell ref="BB360:BD360"/>
    <mergeCell ref="AV361:AX361"/>
    <mergeCell ref="AY361:BA361"/>
    <mergeCell ref="BB361:BD361"/>
    <mergeCell ref="AV362:AX362"/>
    <mergeCell ref="AY362:BA362"/>
    <mergeCell ref="BB362:BD362"/>
  </mergeCells>
  <conditionalFormatting sqref="N7">
    <cfRule type="cellIs" dxfId="60" priority="13" operator="equal">
      <formula>"Extremo"</formula>
    </cfRule>
    <cfRule type="cellIs" dxfId="59" priority="14" operator="equal">
      <formula>"Alto"</formula>
    </cfRule>
    <cfRule type="cellIs" dxfId="58" priority="15" operator="equal">
      <formula>"Moderado"</formula>
    </cfRule>
    <cfRule type="cellIs" dxfId="57" priority="16" operator="equal">
      <formula>"Bajo"</formula>
    </cfRule>
  </conditionalFormatting>
  <conditionalFormatting sqref="N13 N19 N25 N31 N37 N43 N49 N55 N61 N67 N73 N79 N85 N91 N97 N103 N109 N115 N121 N127 N133 N139 N145 N151 N157 N163 N169 N175 N181 N187 N193 N199 N205 N211 N217 N223 N229 N235 N241 N247 N253 N259 N265 N271 N277 N283 N289 N295 N301 N307 N313 N319 N325 N331 N337 N343 N349 N355 N361">
    <cfRule type="cellIs" dxfId="56" priority="5" operator="equal">
      <formula>"Extremo"</formula>
    </cfRule>
    <cfRule type="cellIs" dxfId="55" priority="6" operator="equal">
      <formula>"Alto"</formula>
    </cfRule>
    <cfRule type="cellIs" dxfId="54" priority="7" operator="equal">
      <formula>"Moderado"</formula>
    </cfRule>
    <cfRule type="cellIs" dxfId="53" priority="8" operator="equal">
      <formula>"Bajo"</formula>
    </cfRule>
  </conditionalFormatting>
  <conditionalFormatting sqref="AT7">
    <cfRule type="cellIs" dxfId="52" priority="9" operator="equal">
      <formula>"Extremo"</formula>
    </cfRule>
    <cfRule type="cellIs" dxfId="51" priority="10" operator="equal">
      <formula>"Alto"</formula>
    </cfRule>
    <cfRule type="cellIs" dxfId="50" priority="11" operator="equal">
      <formula>"Moderado"</formula>
    </cfRule>
    <cfRule type="cellIs" dxfId="49" priority="12" operator="equal">
      <formula>"Bajo"</formula>
    </cfRule>
  </conditionalFormatting>
  <conditionalFormatting sqref="AT13 AT19 AT25 AT31 AT37 AT43 AT49 AT55 AT61 AT67 AT73 AT79 AT85 AT91 AT97 AT103 AT109 AT115 AT121 AT127 AT133 AT139 AT145 AT151 AT157 AT163 AT169 AT175 AT181 AT187 AT193 AT199 AT205 AT211 AT217 AT223 AT229 AT235 AT241 AT247 AT253 AT259 AT265 AT271 AT277 AT283 AT289 AT295 AT301 AT307 AT313 AT319 AT325 AT331 AT337 AT343 AT349 AT355 AT361">
    <cfRule type="cellIs" dxfId="48" priority="1" operator="equal">
      <formula>"Extremo"</formula>
    </cfRule>
    <cfRule type="cellIs" dxfId="47" priority="2" operator="equal">
      <formula>"Alto"</formula>
    </cfRule>
    <cfRule type="cellIs" dxfId="46" priority="3" operator="equal">
      <formula>"Moderado"</formula>
    </cfRule>
    <cfRule type="cellIs" dxfId="45" priority="4" operator="equal">
      <formula>"Bajo"</formula>
    </cfRule>
  </conditionalFormatting>
  <dataValidations count="60">
    <dataValidation type="list" allowBlank="1" showInputMessage="1" showErrorMessage="1" sqref="P203:P204">
      <formula1>$G$199:$G$204</formula1>
    </dataValidation>
    <dataValidation type="list" allowBlank="1" showInputMessage="1" showErrorMessage="1" sqref="P194:P198">
      <formula1>$G$193:$G$198</formula1>
    </dataValidation>
    <dataValidation type="list" allowBlank="1" showInputMessage="1" showErrorMessage="1" sqref="P190:P192">
      <formula1>$G$187:$G$192</formula1>
    </dataValidation>
    <dataValidation type="list" allowBlank="1" showInputMessage="1" showErrorMessage="1" sqref="P183:P186">
      <formula1>$G$181:$G$186</formula1>
    </dataValidation>
    <dataValidation type="list" allowBlank="1" showInputMessage="1" showErrorMessage="1" sqref="P177:P180">
      <formula1>$G$175:$G$180</formula1>
    </dataValidation>
    <dataValidation type="list" allowBlank="1" showInputMessage="1" showErrorMessage="1" sqref="P171:P174">
      <formula1>$G$169:$G$174</formula1>
    </dataValidation>
    <dataValidation type="list" allowBlank="1" showInputMessage="1" showErrorMessage="1" sqref="P166:P168">
      <formula1>$G$163:$G$168</formula1>
    </dataValidation>
    <dataValidation type="list" allowBlank="1" showInputMessage="1" showErrorMessage="1" sqref="P161:P162">
      <formula1>$G$157:$G$162</formula1>
    </dataValidation>
    <dataValidation type="list" allowBlank="1" showInputMessage="1" showErrorMessage="1" sqref="P154:P156">
      <formula1>$G$151:$G$156</formula1>
    </dataValidation>
    <dataValidation type="list" allowBlank="1" showInputMessage="1" showErrorMessage="1" sqref="P148:P150">
      <formula1>$G$145:$G$150</formula1>
    </dataValidation>
    <dataValidation type="list" allowBlank="1" showInputMessage="1" showErrorMessage="1" sqref="P143:P144">
      <formula1>$G$139:$G$144</formula1>
    </dataValidation>
    <dataValidation type="list" allowBlank="1" showInputMessage="1" showErrorMessage="1" sqref="P136:P138">
      <formula1>$G$133:$G$138</formula1>
    </dataValidation>
    <dataValidation type="list" allowBlank="1" showInputMessage="1" showErrorMessage="1" sqref="P131:P132">
      <formula1>$G$127:$G$132</formula1>
    </dataValidation>
    <dataValidation type="list" allowBlank="1" showInputMessage="1" showErrorMessage="1" sqref="P124:P126">
      <formula1>$G$121:$G$126</formula1>
    </dataValidation>
    <dataValidation type="list" allowBlank="1" showInputMessage="1" showErrorMessage="1" sqref="P118:P120">
      <formula1>$G$115:$G$120</formula1>
    </dataValidation>
    <dataValidation type="list" allowBlank="1" showInputMessage="1" showErrorMessage="1" sqref="P112:P114">
      <formula1>$G$109:$G$114</formula1>
    </dataValidation>
    <dataValidation type="list" allowBlank="1" showInputMessage="1" showErrorMessage="1" sqref="P106:P108">
      <formula1>$G$103:$G$108</formula1>
    </dataValidation>
    <dataValidation type="list" allowBlank="1" showInputMessage="1" showErrorMessage="1" sqref="P100:P102">
      <formula1>$G$97:$G$102</formula1>
    </dataValidation>
    <dataValidation type="list" allowBlank="1" showInputMessage="1" showErrorMessage="1" sqref="P94:P96">
      <formula1>$G$91:$G$96</formula1>
    </dataValidation>
    <dataValidation type="list" allowBlank="1" showInputMessage="1" showErrorMessage="1" sqref="P87:P90">
      <formula1>$G$85:$G$90</formula1>
    </dataValidation>
    <dataValidation type="list" allowBlank="1" showInputMessage="1" showErrorMessage="1" sqref="P82:P84">
      <formula1>$G$79:$G$84</formula1>
    </dataValidation>
    <dataValidation type="list" allowBlank="1" showInputMessage="1" showErrorMessage="1" sqref="P76:P78">
      <formula1>$G$73:$G$78</formula1>
    </dataValidation>
    <dataValidation type="list" allowBlank="1" showInputMessage="1" showErrorMessage="1" sqref="P71:P72">
      <formula1>$G$67:$G$72</formula1>
    </dataValidation>
    <dataValidation type="list" allowBlank="1" showInputMessage="1" showErrorMessage="1" sqref="P66">
      <formula1>$G$61:$G$66</formula1>
    </dataValidation>
    <dataValidation type="list" allowBlank="1" showInputMessage="1" showErrorMessage="1" sqref="P51:P54">
      <formula1>$G$49:$G$54</formula1>
    </dataValidation>
    <dataValidation type="list" allowBlank="1" showInputMessage="1" showErrorMessage="1" sqref="P47:P48">
      <formula1>$G$43:$G$48</formula1>
    </dataValidation>
    <dataValidation type="list" allowBlank="1" showInputMessage="1" showErrorMessage="1" sqref="P42 P241:P242">
      <formula1>$G$37:$G$42</formula1>
    </dataValidation>
    <dataValidation type="list" allowBlank="1" showInputMessage="1" showErrorMessage="1" sqref="P36 P193 P235:P236">
      <formula1>$G$31:$G$36</formula1>
    </dataValidation>
    <dataValidation type="list" allowBlank="1" showInputMessage="1" showErrorMessage="1" sqref="P29:P30 P85:P86 P187:P189 P229:P232">
      <formula1>$G$25:$G$30</formula1>
    </dataValidation>
    <dataValidation type="list" allowBlank="1" showInputMessage="1" showErrorMessage="1" sqref="P21:P24 P79:P81 P181:P182 P223 P283:P284">
      <formula1>$G$19:$G$24</formula1>
    </dataValidation>
    <dataValidation type="list" allowBlank="1" showInputMessage="1" showErrorMessage="1" sqref="P17:P20 P37:P41 P49:P50 P61:P65 P73:P75 P163:P165 P175 P205:P206 P217:P220 P253:P254 P271:P273">
      <formula1>$G$13:$G$18</formula1>
    </dataValidation>
    <dataValidation type="list" allowBlank="1" showInputMessage="1" showErrorMessage="1" sqref="P207:P210 P215:P216 P221:P222 P226:P228 P255:P258 P233:P234 P243:P246 P250:P252 P239:P240 P263:P264 P269:P270 P274:P276 P279:P282 P285:P288 P292:P294 P296:P300 P303:P306 P310:P312 P316:P318 P321:P366">
      <formula1>$G$13:$G$366</formula1>
    </dataValidation>
    <dataValidation type="list" allowBlank="1" showInputMessage="1" showErrorMessage="1" sqref="P7:P16 P25:P28 P31:P35 P43:P46 P289:P291 P67:P70 P103:P105 P109:P111 P115:P117 P121:P123 P157:P160 P169:P170 P199:P202 P211:P214 P259:P262 P224:P225 P247:P249 P237:P238 P277:P278 P55:P58">
      <formula1>$G$7:$G$12</formula1>
    </dataValidation>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J6"/>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K6:M6"/>
    <dataValidation allowBlank="1" showInputMessage="1" showErrorMessage="1" prompt="Si el resultado de las calificaciones del control o promedio en el diseño de los controles, está por debajo de 96%, se debe establecer un plan de acción que permita tener un control bien diseñado" sqref="AF6"/>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AJ6"/>
    <dataValidation allowBlank="1" showInputMessage="1" showErrorMessage="1" prompt="Promedio entre el diseño Total de Control y Total Solidez Individual " sqref="AL6"/>
    <dataValidation allowBlank="1" showInputMessage="1" showErrorMessage="1" prompt="- Adecuado (15)_x000a__x000a_- Inadecuado (0)_x000a_" sqref="T6:U6"/>
    <dataValidation allowBlank="1" showInputMessage="1" showErrorMessage="1" prompt="- Se investigan y se resuelven Oportunamente (15)_x000a__x000a_- No se investigan y resuelven Oportunamente (0)_x000a_" sqref="AB6:AC6"/>
    <dataValidation allowBlank="1" showInputMessage="1" showErrorMessage="1" prompt="Completa (10)_x000a__x000a_Incompleta (5)_x000a__x000a_No esxiste (0)" sqref="AD6:AE6"/>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Q6"/>
    <dataValidation allowBlank="1" showInputMessage="1" showErrorMessage="1" prompt="- Asignado (15)_x000a__x000a_- No Asignado (0)" sqref="R6:S6"/>
    <dataValidation allowBlank="1" showInputMessage="1" showErrorMessage="1" prompt="- Oportuna (15)_x000a__x000a_- Inoportuna (0)_x000a_" sqref="V6:W6"/>
    <dataValidation allowBlank="1" showInputMessage="1" showErrorMessage="1" prompt="- Prevenir (15)_x000a__x000a_- Detectar (10)_x000a__x000a_- No es un Control (0)" sqref="X6:Y6"/>
    <dataValidation allowBlank="1" showInputMessage="1" showErrorMessage="1" prompt="- Confiable (15)_x000a__x000a_- No Confiable (0)_x000a_" sqref="Z6:AA6"/>
    <dataValidation allowBlank="1" showInputMessage="1" showErrorMessage="1" prompt="Fuerte: Calificación entre 96 y 100_x000a__x000a_Moderado: Calificación entre 86 y 95_x000a__x000a_Débil: Calificación entre 0 y 85" sqref="AG6"/>
    <dataValidation allowBlank="1" showInputMessage="1" showErrorMessage="1" prompt="Fuerte: Siempre se ejecuta_x000a__x000a_Moderado: Algunas veces_x000a__x000a_Débil: No se ejecuta " sqref="AH6:AI6"/>
    <dataValidation allowBlank="1" showInputMessage="1" showErrorMessage="1" prompt="Fuerte: 100_x000a__x000a_Moderado: 50_x000a__x000a_Débil: 0" sqref="AK6"/>
    <dataValidation allowBlank="1" showInputMessage="1" showErrorMessage="1" prompt="Fuerte: 100_x000a__x000a_Moderado: Entre 50 y 99_x000a__x000a_Débil: Menor a 50" sqref="AM6"/>
    <dataValidation type="list" allowBlank="1" showInputMessage="1" showErrorMessage="1" sqref="P92:P93">
      <formula1>$F$7:$F$9</formula1>
    </dataValidation>
    <dataValidation type="list" allowBlank="1" showInputMessage="1" showErrorMessage="1" sqref="P97:P99">
      <formula1>$F$10:$F$13</formula1>
    </dataValidation>
    <dataValidation type="list" allowBlank="1" showInputMessage="1" showErrorMessage="1" sqref="P127:P130">
      <formula1>$F$7:$F$12</formula1>
    </dataValidation>
    <dataValidation type="list" allowBlank="1" showInputMessage="1" showErrorMessage="1" sqref="P133:P135 P265:P268">
      <formula1>$F$13:$F$16</formula1>
    </dataValidation>
    <dataValidation type="list" allowBlank="1" showInputMessage="1" showErrorMessage="1" sqref="P139:P142">
      <formula1>$F$17:$F$20</formula1>
    </dataValidation>
    <dataValidation type="list" allowBlank="1" showInputMessage="1" showErrorMessage="1" sqref="P145:P147">
      <formula1>$F$21:$F$23</formula1>
    </dataValidation>
    <dataValidation type="list" allowBlank="1" showInputMessage="1" showErrorMessage="1" sqref="P151:P153">
      <formula1>$F$24:$F$29</formula1>
    </dataValidation>
    <dataValidation type="list" allowBlank="1" showInputMessage="1" showErrorMessage="1" sqref="P301:P302">
      <formula1>$F$7:$F$10</formula1>
    </dataValidation>
    <dataValidation type="list" allowBlank="1" showInputMessage="1" showErrorMessage="1" sqref="P307:P309">
      <formula1>$F$11:$F$16</formula1>
    </dataValidation>
    <dataValidation type="list" allowBlank="1" showInputMessage="1" showErrorMessage="1" sqref="P313:P315">
      <formula1>$F$17:$F$22</formula1>
    </dataValidation>
  </dataValidations>
  <printOptions horizontalCentered="1"/>
  <pageMargins left="0" right="0" top="0.35433070866141736" bottom="0.35433070866141736" header="0.31496062992125984" footer="0.31496062992125984"/>
  <pageSetup paperSize="5" scale="50" pageOrder="overThenDown" orientation="portrait"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46">
        <x14:dataValidation type="list" allowBlank="1" showInputMessage="1" showErrorMessage="1">
          <x14:formula1>
            <xm:f>Listados!$E$3:$E$4</xm:f>
          </x14:formula1>
          <xm:sqref>H7:H12 H17:H18 H21:H24 H29:H30 H35:H36 H42 H47:H48 H51:H54 H60 H63:H66 H71:H72 H76:H78 H82:H84 H86:H90 H94:H96 H101:H102 H106:H108 H113:H114 H118:H120 H124:H126 H130:H132 H136:H138 H143:H144 H148:H150 H153:H156 H160:H162 H167:H168 H172:H174 H178:H180 H184:H186 H189:H192 H194:H198 H203:H204 H207:H210 H215:H216 H221:H222 H226:H228 H256:H258 H233:H234 H243:H246 H250:H252 H239:H240 H263:H264 H269:H270 H274:H276 H281:H288 H293:H294 H298:H300 H304:H1048576</xm:sqref>
        </x14:dataValidation>
        <x14:dataValidation type="list" allowBlank="1" showInputMessage="1" showErrorMessage="1">
          <x14:formula1>
            <xm:f>Listados!$E$26:$E$28</xm:f>
          </x14:formula1>
          <xm:sqref>AH7:AH90 AH94:AH366</xm:sqref>
        </x14:dataValidation>
        <x14:dataValidation type="list" allowBlank="1" showInputMessage="1" showErrorMessage="1">
          <x14:formula1>
            <xm:f>Listados!$C$26:$C$28</xm:f>
          </x14:formula1>
          <xm:sqref>AD7:AD90 AD94:AD366</xm:sqref>
        </x14:dataValidation>
        <x14:dataValidation type="list" allowBlank="1" showInputMessage="1" showErrorMessage="1">
          <x14:formula1>
            <xm:f>Listados!$G$26:$G$27</xm:f>
          </x14:formula1>
          <xm:sqref>Q17:Q24 Q29:Q30 Q35:Q36 Q42 Q47:Q48 Q51:Q54 Q60 Q66 Q71:Q72 Q76:Q78 Q82:Q84 Q87:Q90 Q94:Q96 Q100:Q102 Q106:Q114 Q118:Q120 Q124:Q126 Q131:Q132 Q136:Q138 Q143:Q144 Q148:Q150 Q154:Q156 Q161:Q162 Q166:Q168 Q171:Q174 Q176:Q180 Q183:Q192 Q194:Q198 Q203:Q210 Q215:Q216 Q221:Q222 Q226:Q228 Q255:Q258 Q233:Q234 Q243:Q246 Q250:Q252 Q239:Q240 Q263:Q264 Q269:Q276 Q7:Q12 Q279:Q288 Q292:Q300 Q303:Q366 X7:X90 X94:X96 X99 X101:X366</xm:sqref>
        </x14:dataValidation>
        <x14:dataValidation type="list" allowBlank="1" showInputMessage="1" showErrorMessage="1">
          <x14:formula1>
            <xm:f>Listados!$B$3:$B$20</xm:f>
          </x14:formula1>
          <xm:sqref>B361 B7:B12 B355 B349 B343 B337 B331 B325 B319 B223 B295 B301 B283 B91 B289 B97 B109 B277 B121 B127 B133 B139 B145 B241 B151 B271 B169 B217 B175 B181 B187 B193 B235 B211 B229 B265 B259 B307 B313</xm:sqref>
        </x14:dataValidation>
        <x14:dataValidation type="list" allowBlank="1" showInputMessage="1" showErrorMessage="1">
          <x14:formula1>
            <xm:f>Corrupción!$J$3:$J$7</xm:f>
          </x14:formula1>
          <xm:sqref>J7:J12 J91:J102 J133:J156 J265:J270 J295:J366</xm:sqref>
        </x14:dataValidation>
        <x14:dataValidation type="list" allowBlank="1" showInputMessage="1" showErrorMessage="1">
          <x14:formula1>
            <xm:f>Listados!$B$26:$B$27</xm:f>
          </x14:formula1>
          <xm:sqref>Z101:Z366 AB101:AB366 V101:V366 T101:T1048576 R7:R62 AB7:AB90 Z7:Z90 R64:R90 T7:T90 V7:V90 V94:V96 AB94:AB96 Z94:Z96 R94:R96 T94:T96 T99 V99 AB99 Z99 R99 R101:R366</xm:sqref>
        </x14:dataValidation>
        <x14:dataValidation type="list" allowBlank="1" showInputMessage="1" showErrorMessage="1">
          <x14:formula1>
            <xm:f>Listados!$G$3:$G$7</xm:f>
          </x14:formula1>
          <xm:sqref>L7:L12 L91:L102 L133:L156 L265:L270 L289:L366</xm:sqref>
        </x14:dataValidation>
        <x14:dataValidation type="list" allowBlank="1" showInputMessage="1" showErrorMessage="1">
          <x14:formula1>
            <xm:f>Listados!$D$3:$D$8</xm:f>
          </x14:formula1>
          <xm:sqref>E7:E12 E14:E18 E26:E30 E35:E36 E42 E47:E48 E51:E54 E56:E60 E62:E102 E104:E108 E110:E120 E122:E156 E158:E162 E164:E168 E172:E174 E178:E180 E184:E186 E189:E192 E194:E198 E200:E204 E206:E210 E212:E216 E221:E222 E226:E228 E256:E258 E233:E234 E243:E246 E250:E252 E237:E240 E260:E264 E266:E270 E272:E276 E281:E282 E284:E288 E293:E294 E296:E366</xm:sqref>
        </x14:dataValidation>
        <x14:dataValidation type="list" allowBlank="1" showInputMessage="1" showErrorMessage="1">
          <x14:formula1>
            <xm:f>Listados!$W$3:$W$7</xm:f>
          </x14:formula1>
          <xm:sqref>F7:F24 F27:F30 F35:F36 F42:F66 F69:F72 F74:F78 F82:F84 F86:F96 F98:F102 F107:F114 F118:F120 F124:F156 F160:F162 F167:F168 F172:F174 F178:F180 F184:F186 F189:F192 F194:F216 F221:F222 F226:F228 F250:F252 F243:F246 F233:F234 F237:F240 F256:F270 F272:F276 F281:F282 F284:F288 F293:F366</xm:sqref>
        </x14:dataValidation>
        <x14:dataValidation type="list" allowBlank="1" showInputMessage="1" showErrorMessage="1">
          <x14:formula1>
            <xm:f>'C:\Users\dpyate\Downloads\[MC-FO-07 MAPA DE RIEGOS DEL PROCESO (1).xlsm]Listados'!#REF!</xm:f>
          </x14:formula1>
          <xm:sqref>Q31:Q34 Q37:Q41 H31:H34 H37:H41 E31:F34 E37:F41 B25:B37 Q25:Q28 L25:L42 H25:H28 F25:F26 E25</xm:sqref>
        </x14:dataValidation>
        <x14:dataValidation type="list" allowBlank="1" showInputMessage="1" showErrorMessage="1">
          <x14:formula1>
            <xm:f>'C:\Users\dpyate\Downloads\[MC-FO-07 MAPA DE RIEGOS DEL PROCESO (1).xlsm]Corrupción'!#REF!</xm:f>
          </x14:formula1>
          <xm:sqref>J25:J42</xm:sqref>
        </x14:dataValidation>
        <x14:dataValidation type="list" allowBlank="1" showInputMessage="1" showErrorMessage="1">
          <x14:formula1>
            <xm:f>'C:\Users\ana sofia\Downloads\[RIESGO GRUPO GESTIÓN DOCUMENTAL (1).xlsx]Listados'!#REF!</xm:f>
          </x14:formula1>
          <xm:sqref>B43:B49 Q43:Q46 Q49:Q50 L43:L54 H43:H46 H49:H50 E49:E50 E43:E46</xm:sqref>
        </x14:dataValidation>
        <x14:dataValidation type="list" allowBlank="1" showInputMessage="1" showErrorMessage="1">
          <x14:formula1>
            <xm:f>'C:\Users\ana sofia\Downloads\[RIESGO GRUPO GESTIÓN DOCUMENTAL (1).xlsx]Corrupción'!#REF!</xm:f>
          </x14:formula1>
          <xm:sqref>J43:J54</xm:sqref>
        </x14:dataValidation>
        <x14:dataValidation type="list" allowBlank="1" showInputMessage="1" showErrorMessage="1">
          <x14:formula1>
            <xm:f>'C:\Users\Miguelito\Downloads\[Matriz de riesgos_Proceso GG_23062020.xlsx]Listados'!#REF!</xm:f>
          </x14:formula1>
          <xm:sqref>B55:B61 R63 Q55:Q59 Q61:Q65 L55:L66 H55:H59 H61:H62 E55 E61</xm:sqref>
        </x14:dataValidation>
        <x14:dataValidation type="list" allowBlank="1" showInputMessage="1" showErrorMessage="1">
          <x14:formula1>
            <xm:f>'C:\Users\Miguelito\Downloads\[Matriz de riesgos_Proceso GG_23062020.xlsx]Corrupción'!#REF!</xm:f>
          </x14:formula1>
          <xm:sqref>J55:J66</xm:sqref>
        </x14:dataValidation>
        <x14:dataValidation type="list" allowBlank="1" showInputMessage="1" showErrorMessage="1">
          <x14:formula1>
            <xm:f>'C:\Users\Miguelito\Downloads\[DDDOJ 190820 Formato de Riesgos VF1 (2).xlsx]Listados'!#REF!</xm:f>
          </x14:formula1>
          <xm:sqref>B67:B90 F67:F68 F73 F79:F81 F85 Q67:Q70 Q73:Q75 Q79:Q81 Q85:Q86 L67:L90 H67:H70 H73:H75 H85 H79:H80</xm:sqref>
        </x14:dataValidation>
        <x14:dataValidation type="list" allowBlank="1" showInputMessage="1" showErrorMessage="1">
          <x14:formula1>
            <xm:f>'C:\Users\Miguelito\Downloads\[DDDOJ 190820 Formato de Riesgos VF1 (2).xlsx]Corrupción'!#REF!</xm:f>
          </x14:formula1>
          <xm:sqref>J67:J90</xm:sqref>
        </x14:dataValidation>
        <x14:dataValidation type="list" allowBlank="1" showInputMessage="1" showErrorMessage="1">
          <x14:formula1>
            <xm:f>'C:\Users\Miguelito\Downloads\[Mapa de Riesgos_PROCESO SEGUIMIENTO Y EVALUACIÓN (1) (1).xlsx]Listados'!#REF!</xm:f>
          </x14:formula1>
          <xm:sqref>H91:H93 H97:H100 Q91:Q93 Q97:Q99</xm:sqref>
        </x14:dataValidation>
        <x14:dataValidation type="list" allowBlank="1" showInputMessage="1" showErrorMessage="1">
          <x14:formula1>
            <xm:f>'C:\Users\Miguelito\Downloads\[Mapa de Riesgos Seguridad jurídica.xlsx]Listados'!#REF!</xm:f>
          </x14:formula1>
          <xm:sqref>H81</xm:sqref>
        </x14:dataValidation>
        <x14:dataValidation type="list" allowBlank="1" showInputMessage="1" showErrorMessage="1">
          <x14:formula1>
            <xm:f>'C:\Users\Miguelito\Downloads\[Riesgos de Formulación (1).xlsx]Listados'!#REF!</xm:f>
          </x14:formula1>
          <xm:sqref>B103:B108 Q103:Q105 L103:L108 F103:F106 H103:H105 E103</xm:sqref>
        </x14:dataValidation>
        <x14:dataValidation type="list" allowBlank="1" showInputMessage="1" showErrorMessage="1">
          <x14:formula1>
            <xm:f>'C:\Users\Miguelito\Downloads\[Riesgos de Formulación (1).xlsx]Corrupción'!#REF!</xm:f>
          </x14:formula1>
          <xm:sqref>J103:J108</xm:sqref>
        </x14:dataValidation>
        <x14:dataValidation type="list" allowBlank="1" showInputMessage="1" showErrorMessage="1">
          <x14:formula1>
            <xm:f>'C:\Users\Miguelito\Downloads\[Riesgos Contractual (1).xlsx]Listados'!#REF!</xm:f>
          </x14:formula1>
          <xm:sqref>E109 K109:L114 H109:H112</xm:sqref>
        </x14:dataValidation>
        <x14:dataValidation type="list" allowBlank="1" showInputMessage="1" showErrorMessage="1">
          <x14:formula1>
            <xm:f>'C:\Users\Miguelito\Downloads\[Riesgos Contractual (1).xlsx]Corrupción'!#REF!</xm:f>
          </x14:formula1>
          <xm:sqref>J109:J114</xm:sqref>
        </x14:dataValidation>
        <x14:dataValidation type="list" allowBlank="1" showInputMessage="1" showErrorMessage="1">
          <x14:formula1>
            <xm:f>'C:\Users\Miguelito\Downloads\[Riesgos Prensa (1).xlsx]Listados'!#REF!</xm:f>
          </x14:formula1>
          <xm:sqref>B115:B120 Q115:Q117 L115:L120 H115:H117 F115:F117</xm:sqref>
        </x14:dataValidation>
        <x14:dataValidation type="list" allowBlank="1" showInputMessage="1" showErrorMessage="1">
          <x14:formula1>
            <xm:f>'C:\Users\Miguelito\Downloads\[Riesgos Prensa (1).xlsx]Corrupción'!#REF!</xm:f>
          </x14:formula1>
          <xm:sqref>J115:J120</xm:sqref>
        </x14:dataValidation>
        <x14:dataValidation type="list" allowBlank="1" showInputMessage="1" showErrorMessage="1">
          <x14:formula1>
            <xm:f>'C:\Users\Miguelito\Downloads\[Riesgos Proyectos Normativos (1).xlsx]Listados'!#REF!</xm:f>
          </x14:formula1>
          <xm:sqref>E121 Q121:Q123 L121:L126 H121:H123 F121:F123</xm:sqref>
        </x14:dataValidation>
        <x14:dataValidation type="list" allowBlank="1" showInputMessage="1" showErrorMessage="1">
          <x14:formula1>
            <xm:f>'C:\Users\Miguelito\Downloads\[Riesgos Proyectos Normativos (1).xlsx]Corrupción'!#REF!</xm:f>
          </x14:formula1>
          <xm:sqref>J121:J126</xm:sqref>
        </x14:dataValidation>
        <x14:dataValidation type="list" allowBlank="1" showInputMessage="1" showErrorMessage="1">
          <x14:formula1>
            <xm:f>'C:\Users\Miguelito\Downloads\[10. Mapa de Riesgos Gestión Juridica.xlsx]Listados'!#REF!</xm:f>
          </x14:formula1>
          <xm:sqref>C127:C132 Q127:Q130 Q133:Q135 Q139:Q142 Q145:Q147 Q151:Q153 Q157:Q160 Q163:Q165 L127:L132 H127:H129 H133:H135 H145:H147 H139:H142 H151:H152</xm:sqref>
        </x14:dataValidation>
        <x14:dataValidation type="list" allowBlank="1" showInputMessage="1" showErrorMessage="1">
          <x14:formula1>
            <xm:f>'C:\Users\Miguelito\Downloads\[10. Mapa de Riesgos Gestión Juridica.xlsx]Corrupción'!#REF!</xm:f>
          </x14:formula1>
          <xm:sqref>J127:J132</xm:sqref>
        </x14:dataValidation>
        <x14:dataValidation type="list" allowBlank="1" showInputMessage="1" showErrorMessage="1">
          <x14:formula1>
            <xm:f>'C:\Users\Miguelito\Downloads\[Gestión contra la criminalidad_SRPA-SPenintenciarioC.xlsx]Listados'!#REF!</xm:f>
          </x14:formula1>
          <xm:sqref>B157:B168 L157:L168 H157:H159 H163:H166 F157:F159 F163:F166 E157 E163</xm:sqref>
        </x14:dataValidation>
        <x14:dataValidation type="list" allowBlank="1" showInputMessage="1" showErrorMessage="1">
          <x14:formula1>
            <xm:f>'C:\Users\Miguelito\Downloads\[Gestión contra la criminalidad_SRPA-SPenintenciarioC.xlsx]Corrupción'!#REF!</xm:f>
          </x14:formula1>
          <xm:sqref>J157:J168</xm:sqref>
        </x14:dataValidation>
        <x14:dataValidation type="list" allowBlank="1" showInputMessage="1" showErrorMessage="1">
          <x14:formula1>
            <xm:f>'C:\Users\Miguelito\Downloads\[Riesgos Drogas_1 (1).xlsx]Listados'!#REF!</xm:f>
          </x14:formula1>
          <xm:sqref>Q169:Q170 Q175 Q181:Q182 Q193 L169:L198 H169:H171 H175:H177 H181:H183 H187:H188 H193 E169:F171 E175:F177 E181:F183 E187:F188 E193:F193</xm:sqref>
        </x14:dataValidation>
        <x14:dataValidation type="list" allowBlank="1" showInputMessage="1" showErrorMessage="1">
          <x14:formula1>
            <xm:f>'C:\Users\Miguelito\Downloads\[Riesgos Drogas_1 (1).xlsx]Corrupción'!#REF!</xm:f>
          </x14:formula1>
          <xm:sqref>J169:J198</xm:sqref>
        </x14:dataValidation>
        <x14:dataValidation type="list" allowBlank="1" showInputMessage="1" showErrorMessage="1">
          <x14:formula1>
            <xm:f>'C:\Users\Miguelito\Downloads\[Riesgos Gestión Financiera (1) (1).xlsx]Listados'!#REF!</xm:f>
          </x14:formula1>
          <xm:sqref>B199:B210 Q199:Q202 L199:L210 H199:H202 H205:H206 E199 E205</xm:sqref>
        </x14:dataValidation>
        <x14:dataValidation type="list" allowBlank="1" showInputMessage="1" showErrorMessage="1">
          <x14:formula1>
            <xm:f>'C:\Users\Miguelito\Downloads\[Riesgos Gestión Financiera (1) (1).xlsx]Corrupción'!#REF!</xm:f>
          </x14:formula1>
          <xm:sqref>J199:J210</xm:sqref>
        </x14:dataValidation>
        <x14:dataValidation type="list" allowBlank="1" showInputMessage="1" showErrorMessage="1">
          <x14:formula1>
            <xm:f>'C:\Users\Miguelito\Downloads\[Riesgos Gestión Humana (1).xlsx]Listados'!#REF!</xm:f>
          </x14:formula1>
          <xm:sqref>E211 E217:F220 Q211:Q214 Q217:Q220 L211:L222 H211:H214 H217:H220</xm:sqref>
        </x14:dataValidation>
        <x14:dataValidation type="list" allowBlank="1" showInputMessage="1" showErrorMessage="1">
          <x14:formula1>
            <xm:f>'C:\Users\Miguelito\Downloads\[Riesgos Gestión Humana (1).xlsx]Corrupción'!#REF!</xm:f>
          </x14:formula1>
          <xm:sqref>J211:J222</xm:sqref>
        </x14:dataValidation>
        <x14:dataValidation type="list" allowBlank="1" showInputMessage="1" showErrorMessage="1">
          <x14:formula1>
            <xm:f>'C:\Users\Miguelito\Downloads\[Formato matriz de riesgos_Gestión Mejora Institucional_071020.xlsx]Listados'!#REF!</xm:f>
          </x14:formula1>
          <xm:sqref>B247:B258 Q253:Q254 Q224:Q225 Q247:Q249 L247:L258 H253:H255 E247:F249 H247:H249 E224:E225 F223:F225 E253:F255 H225</xm:sqref>
        </x14:dataValidation>
        <x14:dataValidation type="list" allowBlank="1" showInputMessage="1" showErrorMessage="1">
          <x14:formula1>
            <xm:f>'C:\Users\Miguelito\Downloads\[Formato matriz de riesgos_Gestión Mejora Institucional_071020.xlsx]Corrupción'!#REF!</xm:f>
          </x14:formula1>
          <xm:sqref>J247:J258</xm:sqref>
        </x14:dataValidation>
        <x14:dataValidation type="list" allowBlank="1" showInputMessage="1" showErrorMessage="1">
          <x14:formula1>
            <xm:f>'C:\Users\Miguelito\Downloads\[PLANES Formato de Riesgos VF1.xlsx]Listados'!#REF!</xm:f>
          </x14:formula1>
          <xm:sqref>E259 H262 Q259:Q262 L259:L264 H237:H238 Q237:Q238</xm:sqref>
        </x14:dataValidation>
        <x14:dataValidation type="list" allowBlank="1" showInputMessage="1" showErrorMessage="1">
          <x14:formula1>
            <xm:f>'C:\Users\Miguelito\Downloads\[PLANES Formato de Riesgos VF1.xlsx]Corrupción'!#REF!</xm:f>
          </x14:formula1>
          <xm:sqref>J259:J264</xm:sqref>
        </x14:dataValidation>
        <x14:dataValidation type="list" allowBlank="1" showInputMessage="1" showErrorMessage="1">
          <x14:formula1>
            <xm:f>'C:\Users\Miguelito\Downloads\[Riesgos Gestión Humana oct 2020 (1).xlsx]Listados'!#REF!</xm:f>
          </x14:formula1>
          <xm:sqref>E223 E229:F232 E235:F236 E241:F242 Q223 Q229:Q232 Q241:Q242 L223:L246 H223:H224 H229:H232 H235:H236 H241:H242 Q235:Q236</xm:sqref>
        </x14:dataValidation>
        <x14:dataValidation type="list" allowBlank="1" showInputMessage="1" showErrorMessage="1">
          <x14:formula1>
            <xm:f>'C:\Users\Miguelito\Downloads\[Riesgos Gestión Humana oct 2020 (1).xlsx]Corrupción'!#REF!</xm:f>
          </x14:formula1>
          <xm:sqref>J223:J246</xm:sqref>
        </x14:dataValidation>
        <x14:dataValidation type="list" allowBlank="1" showInputMessage="1" showErrorMessage="1">
          <x14:formula1>
            <xm:f>'https://minjusticiagovco-my.sharepoint.com/personal/mjrodriguez_minjusticia_gov_co/Documents/MATRIZ DE RIESGOS/VIGENCIA 2022/PRIMER CUATRIMESTRE/[Riesgos OAP (1).xlsx]Listados'!#REF!</xm:f>
          </x14:formula1>
          <xm:sqref>E265</xm:sqref>
        </x14:dataValidation>
        <x14:dataValidation type="list" allowBlank="1" showInputMessage="1" showErrorMessage="1">
          <x14:formula1>
            <xm:f>'https://minjusticiagovco-my.sharepoint.com/personal/mjrodriguez_minjusticia_gov_co/Documents/MATRIZ DE RIESGOS/VIGENCIA 2022/PRIMER CUATRIMESTRE/[Mapa de Riesgos DIRECCIONAMIENTO (3).xlsx]Listados'!#REF!</xm:f>
          </x14:formula1>
          <xm:sqref>H259:H261 H265:H268 Q265:Q268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3"/>
  <sheetViews>
    <sheetView showGridLines="0" tabSelected="1" topLeftCell="BU28" zoomScale="85" zoomScaleNormal="85" zoomScaleSheetLayoutView="50" workbookViewId="0">
      <selection activeCell="BW28" sqref="BW28:BW30"/>
    </sheetView>
  </sheetViews>
  <sheetFormatPr baseColWidth="10" defaultColWidth="11.42578125" defaultRowHeight="15"/>
  <cols>
    <col min="1" max="1" width="4.85546875" style="281" customWidth="1"/>
    <col min="2" max="2" width="23.7109375" style="282" customWidth="1"/>
    <col min="3" max="3" width="39.85546875" style="282" customWidth="1"/>
    <col min="4" max="4" width="32.5703125" style="281" customWidth="1"/>
    <col min="5" max="5" width="35.85546875" style="281" customWidth="1"/>
    <col min="6" max="6" width="23" style="281" customWidth="1"/>
    <col min="7" max="7" width="27.7109375" style="282" customWidth="1"/>
    <col min="8" max="8" width="16.140625" style="282" customWidth="1"/>
    <col min="9" max="9" width="17" style="282" customWidth="1"/>
    <col min="10" max="10" width="15.28515625" style="282" customWidth="1"/>
    <col min="11" max="11" width="17.28515625" style="282" customWidth="1"/>
    <col min="12" max="12" width="14.42578125" style="282" customWidth="1"/>
    <col min="13" max="13" width="16.85546875" style="282" customWidth="1"/>
    <col min="14" max="14" width="15" style="282" customWidth="1"/>
    <col min="15" max="15" width="24.85546875" style="282" customWidth="1"/>
    <col min="16" max="16" width="13.7109375" style="282" customWidth="1"/>
    <col min="17" max="17" width="15.140625" style="282" customWidth="1"/>
    <col min="18" max="18" width="19.5703125" style="282" customWidth="1"/>
    <col min="19" max="19" width="17.85546875" style="282" customWidth="1"/>
    <col min="20" max="20" width="13" style="282" customWidth="1"/>
    <col min="21" max="21" width="13.28515625" style="282" customWidth="1"/>
    <col min="22" max="22" width="16" style="282" customWidth="1"/>
    <col min="23" max="23" width="14.42578125" style="282" customWidth="1"/>
    <col min="24" max="24" width="13" style="282" customWidth="1"/>
    <col min="25" max="25" width="13.7109375" style="282" customWidth="1"/>
    <col min="26" max="26" width="13.28515625" style="282" customWidth="1"/>
    <col min="27" max="27" width="16" style="282" customWidth="1"/>
    <col min="28" max="28" width="10.85546875" style="283" customWidth="1"/>
    <col min="29" max="29" width="7.28515625" style="283" customWidth="1"/>
    <col min="30" max="30" width="12.42578125" style="283" customWidth="1"/>
    <col min="31" max="31" width="15.5703125" style="283" customWidth="1"/>
    <col min="32" max="32" width="10.140625" style="283" customWidth="1"/>
    <col min="33" max="33" width="103.85546875" style="282" customWidth="1"/>
    <col min="34" max="34" width="38.42578125" style="282" customWidth="1"/>
    <col min="35" max="35" width="16.5703125" style="282" customWidth="1"/>
    <col min="36" max="36" width="20" style="282" customWidth="1"/>
    <col min="37" max="37" width="23.28515625" style="282" customWidth="1"/>
    <col min="38" max="38" width="22.85546875" style="282" customWidth="1"/>
    <col min="39" max="39" width="13.28515625" style="282" customWidth="1"/>
    <col min="40" max="40" width="28.140625" style="282" customWidth="1"/>
    <col min="41" max="41" width="12.7109375" style="282" customWidth="1"/>
    <col min="42" max="42" width="34.7109375" style="282" customWidth="1"/>
    <col min="43" max="43" width="24" style="282" customWidth="1"/>
    <col min="44" max="44" width="24.140625" style="282" customWidth="1"/>
    <col min="45" max="45" width="13.28515625" style="282" customWidth="1"/>
    <col min="46" max="46" width="27.85546875" style="282" customWidth="1"/>
    <col min="47" max="47" width="18.5703125" style="282" customWidth="1"/>
    <col min="48" max="48" width="23.85546875" style="282" customWidth="1"/>
    <col min="49" max="49" width="13.7109375" style="282" customWidth="1"/>
    <col min="50" max="50" width="15.85546875" style="282" customWidth="1"/>
    <col min="51" max="51" width="18.5703125" style="282" customWidth="1"/>
    <col min="52" max="53" width="20.5703125" style="282" customWidth="1"/>
    <col min="54" max="55" width="15.5703125" style="282" customWidth="1"/>
    <col min="56" max="56" width="16.28515625" style="282" customWidth="1"/>
    <col min="57" max="57" width="18.85546875" style="282" customWidth="1"/>
    <col min="58" max="58" width="14.5703125" style="282" customWidth="1"/>
    <col min="59" max="59" width="15.28515625" style="282" customWidth="1"/>
    <col min="60" max="60" width="11.85546875" style="283" customWidth="1"/>
    <col min="61" max="61" width="13.85546875" style="283" customWidth="1"/>
    <col min="62" max="62" width="11.42578125" style="282" customWidth="1"/>
    <col min="63" max="63" width="17.5703125" style="282" customWidth="1"/>
    <col min="64" max="64" width="45.42578125" style="241" customWidth="1"/>
    <col min="65" max="65" width="18.85546875" style="241" customWidth="1"/>
    <col min="66" max="66" width="11.42578125" style="241"/>
    <col min="67" max="67" width="14.5703125" style="241" customWidth="1"/>
    <col min="68" max="68" width="18.140625" style="241" customWidth="1"/>
    <col min="69" max="69" width="36" style="241" customWidth="1"/>
    <col min="70" max="70" width="77.28515625" style="241" customWidth="1"/>
    <col min="71" max="71" width="67.42578125" style="241" customWidth="1"/>
    <col min="72" max="72" width="80.42578125" style="241" customWidth="1"/>
    <col min="73" max="73" width="72.28515625" style="241" customWidth="1"/>
    <col min="74" max="74" width="86.5703125" style="241" customWidth="1"/>
    <col min="75" max="75" width="90.85546875" style="241" customWidth="1"/>
    <col min="76" max="76" width="32.5703125" style="241" customWidth="1"/>
    <col min="77" max="16384" width="11.42578125" style="241"/>
  </cols>
  <sheetData>
    <row r="1" spans="1:75" ht="24" customHeight="1" thickTop="1">
      <c r="A1" s="555" t="s">
        <v>628</v>
      </c>
      <c r="B1" s="556"/>
      <c r="C1" s="556"/>
      <c r="D1" s="556"/>
      <c r="E1" s="569" t="s">
        <v>629</v>
      </c>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570"/>
      <c r="BD1" s="570"/>
      <c r="BE1" s="570"/>
      <c r="BF1" s="570"/>
      <c r="BG1" s="570"/>
      <c r="BH1" s="570"/>
      <c r="BI1" s="570"/>
      <c r="BJ1" s="570"/>
      <c r="BK1" s="570"/>
      <c r="BL1" s="570"/>
      <c r="BM1" s="570"/>
      <c r="BN1" s="570"/>
      <c r="BO1" s="570"/>
      <c r="BP1" s="570"/>
      <c r="BQ1" s="570"/>
      <c r="BR1" s="570"/>
      <c r="BS1" s="570"/>
      <c r="BT1" s="570"/>
      <c r="BU1" s="570"/>
      <c r="BV1" s="570"/>
      <c r="BW1" s="570"/>
    </row>
    <row r="2" spans="1:75" ht="43.5" customHeight="1">
      <c r="A2" s="557"/>
      <c r="B2" s="558"/>
      <c r="C2" s="558"/>
      <c r="D2" s="558"/>
      <c r="E2" s="569"/>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0"/>
      <c r="BU2" s="570"/>
      <c r="BV2" s="570"/>
      <c r="BW2" s="570"/>
    </row>
    <row r="3" spans="1:75" ht="53.45" customHeight="1" thickBot="1">
      <c r="A3" s="559"/>
      <c r="B3" s="560"/>
      <c r="C3" s="560"/>
      <c r="D3" s="560"/>
      <c r="E3" s="561" t="s">
        <v>130</v>
      </c>
      <c r="F3" s="561"/>
      <c r="G3" s="242">
        <v>2024</v>
      </c>
      <c r="H3" s="562"/>
      <c r="I3" s="562"/>
      <c r="J3" s="562"/>
      <c r="K3" s="562"/>
      <c r="L3" s="563"/>
      <c r="M3" s="563"/>
      <c r="N3" s="563"/>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562"/>
      <c r="AW3" s="562"/>
      <c r="AX3" s="562"/>
      <c r="AY3" s="562"/>
      <c r="AZ3" s="562"/>
      <c r="BA3" s="562"/>
      <c r="BB3" s="562"/>
      <c r="BC3" s="562"/>
      <c r="BD3" s="562"/>
      <c r="BE3" s="562"/>
      <c r="BF3" s="562"/>
      <c r="BG3" s="562"/>
      <c r="BH3" s="562"/>
      <c r="BI3" s="562"/>
      <c r="BJ3" s="562"/>
      <c r="BK3" s="562"/>
    </row>
    <row r="4" spans="1:75" ht="30" customHeight="1">
      <c r="A4" s="548" t="s">
        <v>131</v>
      </c>
      <c r="B4" s="549"/>
      <c r="C4" s="549"/>
      <c r="D4" s="549"/>
      <c r="E4" s="549"/>
      <c r="F4" s="549"/>
      <c r="G4" s="549"/>
      <c r="H4" s="552" t="s">
        <v>630</v>
      </c>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3" t="s">
        <v>134</v>
      </c>
      <c r="BL4" s="552" t="s">
        <v>631</v>
      </c>
      <c r="BM4" s="552"/>
      <c r="BN4" s="552"/>
      <c r="BO4" s="552"/>
      <c r="BP4" s="552"/>
      <c r="BQ4" s="552"/>
      <c r="BR4" s="554" t="s">
        <v>632</v>
      </c>
      <c r="BS4" s="552"/>
      <c r="BT4" s="552"/>
      <c r="BU4" s="554" t="s">
        <v>633</v>
      </c>
      <c r="BV4" s="552"/>
      <c r="BW4" s="552"/>
    </row>
    <row r="5" spans="1:75" ht="30" customHeight="1" thickBot="1">
      <c r="A5" s="550"/>
      <c r="B5" s="551"/>
      <c r="C5" s="551"/>
      <c r="D5" s="551"/>
      <c r="E5" s="551"/>
      <c r="F5" s="551"/>
      <c r="G5" s="551"/>
      <c r="H5" s="552" t="s">
        <v>634</v>
      </c>
      <c r="I5" s="552"/>
      <c r="J5" s="552"/>
      <c r="K5" s="552"/>
      <c r="L5" s="552"/>
      <c r="M5" s="552"/>
      <c r="N5" s="552"/>
      <c r="O5" s="552"/>
      <c r="P5" s="552"/>
      <c r="Q5" s="552"/>
      <c r="R5" s="552"/>
      <c r="S5" s="552"/>
      <c r="T5" s="552"/>
      <c r="U5" s="552"/>
      <c r="V5" s="552"/>
      <c r="W5" s="552"/>
      <c r="X5" s="552"/>
      <c r="Y5" s="552"/>
      <c r="Z5" s="552"/>
      <c r="AA5" s="552"/>
      <c r="AB5" s="554" t="s">
        <v>135</v>
      </c>
      <c r="AC5" s="554"/>
      <c r="AD5" s="554"/>
      <c r="AE5" s="554"/>
      <c r="AF5" s="554"/>
      <c r="AG5" s="564" t="s">
        <v>136</v>
      </c>
      <c r="AH5" s="565"/>
      <c r="AI5" s="566"/>
      <c r="AJ5" s="564" t="s">
        <v>137</v>
      </c>
      <c r="AK5" s="565"/>
      <c r="AL5" s="565"/>
      <c r="AM5" s="565"/>
      <c r="AN5" s="565"/>
      <c r="AO5" s="565"/>
      <c r="AP5" s="565"/>
      <c r="AQ5" s="565"/>
      <c r="AR5" s="565"/>
      <c r="AS5" s="565"/>
      <c r="AT5" s="565"/>
      <c r="AU5" s="565"/>
      <c r="AV5" s="565"/>
      <c r="AW5" s="565"/>
      <c r="AX5" s="565"/>
      <c r="AY5" s="566"/>
      <c r="AZ5" s="553" t="s">
        <v>113</v>
      </c>
      <c r="BA5" s="567"/>
      <c r="BB5" s="553" t="s">
        <v>138</v>
      </c>
      <c r="BC5" s="568"/>
      <c r="BD5" s="553" t="s">
        <v>139</v>
      </c>
      <c r="BE5" s="568"/>
      <c r="BF5" s="243"/>
      <c r="BG5" s="243"/>
      <c r="BH5" s="554" t="s">
        <v>140</v>
      </c>
      <c r="BI5" s="554"/>
      <c r="BJ5" s="554"/>
      <c r="BK5" s="553"/>
      <c r="BL5" s="552"/>
      <c r="BM5" s="552"/>
      <c r="BN5" s="552"/>
      <c r="BO5" s="552"/>
      <c r="BP5" s="552"/>
      <c r="BQ5" s="552"/>
      <c r="BR5" s="552"/>
      <c r="BS5" s="552"/>
      <c r="BT5" s="552"/>
      <c r="BU5" s="552"/>
      <c r="BV5" s="552"/>
      <c r="BW5" s="552"/>
    </row>
    <row r="6" spans="1:75" ht="99" customHeight="1" thickBot="1">
      <c r="A6" s="244" t="s">
        <v>144</v>
      </c>
      <c r="B6" s="245" t="s">
        <v>145</v>
      </c>
      <c r="C6" s="245" t="s">
        <v>146</v>
      </c>
      <c r="D6" s="245" t="s">
        <v>147</v>
      </c>
      <c r="E6" s="245" t="s">
        <v>150</v>
      </c>
      <c r="F6" s="245" t="s">
        <v>151</v>
      </c>
      <c r="G6" s="245" t="s">
        <v>152</v>
      </c>
      <c r="H6" s="246" t="s">
        <v>635</v>
      </c>
      <c r="I6" s="246" t="s">
        <v>636</v>
      </c>
      <c r="J6" s="246" t="s">
        <v>637</v>
      </c>
      <c r="K6" s="246" t="s">
        <v>638</v>
      </c>
      <c r="L6" s="246" t="s">
        <v>639</v>
      </c>
      <c r="M6" s="246" t="s">
        <v>640</v>
      </c>
      <c r="N6" s="246" t="s">
        <v>641</v>
      </c>
      <c r="O6" s="246" t="s">
        <v>642</v>
      </c>
      <c r="P6" s="246" t="s">
        <v>643</v>
      </c>
      <c r="Q6" s="246" t="s">
        <v>644</v>
      </c>
      <c r="R6" s="246" t="s">
        <v>645</v>
      </c>
      <c r="S6" s="246" t="s">
        <v>646</v>
      </c>
      <c r="T6" s="246" t="s">
        <v>647</v>
      </c>
      <c r="U6" s="246" t="s">
        <v>648</v>
      </c>
      <c r="V6" s="246" t="s">
        <v>649</v>
      </c>
      <c r="W6" s="246" t="s">
        <v>650</v>
      </c>
      <c r="X6" s="246" t="s">
        <v>651</v>
      </c>
      <c r="Y6" s="246" t="s">
        <v>652</v>
      </c>
      <c r="Z6" s="246" t="s">
        <v>653</v>
      </c>
      <c r="AA6" s="286" t="s">
        <v>654</v>
      </c>
      <c r="AB6" s="247" t="s">
        <v>153</v>
      </c>
      <c r="AC6" s="247"/>
      <c r="AD6" s="247" t="s">
        <v>154</v>
      </c>
      <c r="AE6" s="247"/>
      <c r="AF6" s="247" t="s">
        <v>155</v>
      </c>
      <c r="AG6" s="248" t="s">
        <v>156</v>
      </c>
      <c r="AH6" s="248" t="s">
        <v>157</v>
      </c>
      <c r="AI6" s="248" t="s">
        <v>158</v>
      </c>
      <c r="AJ6" s="248" t="s">
        <v>159</v>
      </c>
      <c r="AK6" s="248"/>
      <c r="AL6" s="248" t="s">
        <v>160</v>
      </c>
      <c r="AM6" s="248"/>
      <c r="AN6" s="248" t="s">
        <v>161</v>
      </c>
      <c r="AO6" s="287"/>
      <c r="AP6" s="248" t="s">
        <v>162</v>
      </c>
      <c r="AQ6" s="287"/>
      <c r="AR6" s="248" t="s">
        <v>163</v>
      </c>
      <c r="AS6" s="248"/>
      <c r="AT6" s="248" t="s">
        <v>164</v>
      </c>
      <c r="AU6" s="248"/>
      <c r="AV6" s="248" t="s">
        <v>165</v>
      </c>
      <c r="AW6" s="248"/>
      <c r="AX6" s="248" t="s">
        <v>166</v>
      </c>
      <c r="AY6" s="248" t="s">
        <v>167</v>
      </c>
      <c r="AZ6" s="248" t="s">
        <v>168</v>
      </c>
      <c r="BA6" s="287" t="s">
        <v>169</v>
      </c>
      <c r="BB6" s="287" t="s">
        <v>170</v>
      </c>
      <c r="BC6" s="287" t="s">
        <v>171</v>
      </c>
      <c r="BD6" s="287" t="s">
        <v>172</v>
      </c>
      <c r="BE6" s="287" t="s">
        <v>173</v>
      </c>
      <c r="BF6" s="287" t="s">
        <v>174</v>
      </c>
      <c r="BG6" s="287"/>
      <c r="BH6" s="306" t="s">
        <v>153</v>
      </c>
      <c r="BI6" s="306" t="s">
        <v>154</v>
      </c>
      <c r="BJ6" s="306" t="s">
        <v>155</v>
      </c>
      <c r="BK6" s="307" t="s">
        <v>176</v>
      </c>
      <c r="BL6" s="246" t="s">
        <v>655</v>
      </c>
      <c r="BM6" s="246" t="s">
        <v>656</v>
      </c>
      <c r="BN6" s="246" t="s">
        <v>657</v>
      </c>
      <c r="BO6" s="246" t="s">
        <v>658</v>
      </c>
      <c r="BP6" s="246" t="s">
        <v>659</v>
      </c>
      <c r="BQ6" s="246" t="s">
        <v>660</v>
      </c>
      <c r="BR6" s="249" t="s">
        <v>661</v>
      </c>
      <c r="BS6" s="249" t="s">
        <v>662</v>
      </c>
      <c r="BT6" s="249" t="s">
        <v>663</v>
      </c>
      <c r="BU6" s="250" t="s">
        <v>664</v>
      </c>
      <c r="BV6" s="250" t="s">
        <v>665</v>
      </c>
      <c r="BW6" s="250" t="s">
        <v>666</v>
      </c>
    </row>
    <row r="7" spans="1:75" ht="161.25" customHeight="1" thickBot="1">
      <c r="A7" s="532">
        <v>1</v>
      </c>
      <c r="B7" s="546" t="s">
        <v>68</v>
      </c>
      <c r="C7" s="526" t="str">
        <f>IFERROR(VLOOKUP(B7,Listados!B$3:C$20,2,FALSE),"")</f>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
      <c r="D7" s="467" t="s">
        <v>667</v>
      </c>
      <c r="E7" s="100" t="s">
        <v>668</v>
      </c>
      <c r="F7" s="17" t="s">
        <v>16</v>
      </c>
      <c r="G7" s="448" t="s">
        <v>669</v>
      </c>
      <c r="H7" s="451" t="s">
        <v>116</v>
      </c>
      <c r="I7" s="461" t="s">
        <v>116</v>
      </c>
      <c r="J7" s="461" t="s">
        <v>116</v>
      </c>
      <c r="K7" s="461" t="s">
        <v>670</v>
      </c>
      <c r="L7" s="461" t="s">
        <v>116</v>
      </c>
      <c r="M7" s="461" t="s">
        <v>120</v>
      </c>
      <c r="N7" s="461" t="s">
        <v>116</v>
      </c>
      <c r="O7" s="461" t="s">
        <v>120</v>
      </c>
      <c r="P7" s="461" t="s">
        <v>120</v>
      </c>
      <c r="Q7" s="461" t="s">
        <v>116</v>
      </c>
      <c r="R7" s="461" t="s">
        <v>116</v>
      </c>
      <c r="S7" s="461" t="s">
        <v>116</v>
      </c>
      <c r="T7" s="461" t="s">
        <v>120</v>
      </c>
      <c r="U7" s="461" t="s">
        <v>116</v>
      </c>
      <c r="V7" s="461" t="s">
        <v>670</v>
      </c>
      <c r="W7" s="461" t="s">
        <v>120</v>
      </c>
      <c r="X7" s="461" t="s">
        <v>120</v>
      </c>
      <c r="Y7" s="461" t="s">
        <v>670</v>
      </c>
      <c r="Z7" s="522" t="s">
        <v>120</v>
      </c>
      <c r="AA7" s="459">
        <f>COUNTIF(H7:Z8, "SI")</f>
        <v>9</v>
      </c>
      <c r="AB7" s="522" t="s">
        <v>21</v>
      </c>
      <c r="AC7" s="455">
        <f>+VLOOKUP(AB7,Listados!$K$8:$L$12,2,0)</f>
        <v>1</v>
      </c>
      <c r="AD7" s="459" t="str">
        <f>+IF(OR(AA7=1,AA7&lt;=5),"Moderado",IF(OR(AA7=6,AA7&lt;=11),"Mayor","Catastrófico"))</f>
        <v>Mayor</v>
      </c>
      <c r="AE7" s="455">
        <f>+VLOOKUP(AD7,Listados!K13:L17,2,0)</f>
        <v>4</v>
      </c>
      <c r="AF7" s="513" t="str">
        <f>IF(AND(AB7&lt;&gt;"",AD7&lt;&gt;""),VLOOKUP(AB7&amp;AD7,Listados!$M$3:$N$27,2,FALSE),"")</f>
        <v>Alto</v>
      </c>
      <c r="AG7" s="218" t="s">
        <v>671</v>
      </c>
      <c r="AH7" s="60" t="s">
        <v>668</v>
      </c>
      <c r="AI7" s="61" t="s">
        <v>123</v>
      </c>
      <c r="AJ7" s="239" t="s">
        <v>116</v>
      </c>
      <c r="AK7" s="251">
        <f t="shared" ref="AK7:AK9" si="0">+IF(AJ7="si",15,"")</f>
        <v>15</v>
      </c>
      <c r="AL7" s="223" t="s">
        <v>116</v>
      </c>
      <c r="AM7" s="223" t="s">
        <v>116</v>
      </c>
      <c r="AN7" s="223" t="s">
        <v>116</v>
      </c>
      <c r="AO7" s="288">
        <f>+IF(AN7="si",15,"")</f>
        <v>15</v>
      </c>
      <c r="AP7" s="228" t="s">
        <v>123</v>
      </c>
      <c r="AQ7" s="288">
        <f>+IF(AP7="Preventivo",15,IF(AP7="Detectivo",10,""))</f>
        <v>10</v>
      </c>
      <c r="AR7" s="216" t="s">
        <v>116</v>
      </c>
      <c r="AS7" s="216" t="s">
        <v>116</v>
      </c>
      <c r="AT7" s="216" t="s">
        <v>116</v>
      </c>
      <c r="AU7" s="288">
        <f>+IF(AT7="si",15,"")</f>
        <v>15</v>
      </c>
      <c r="AV7" s="295" t="s">
        <v>117</v>
      </c>
      <c r="AW7" s="290">
        <f>+IF(AV7="Completa",10,IF(AV7="Incompleta",5,""))</f>
        <v>10</v>
      </c>
      <c r="AX7" s="511">
        <f>IF((SUM(AK7,AM7,AO7,AQ7,AS7,AU7,AW7)=0),"",(SUM(AK7,AM7,AO7,AQ7,AS7,AU7,AW7)))</f>
        <v>65</v>
      </c>
      <c r="AY7" s="511" t="str">
        <f>IF(AX7&lt;=85,"Débil",IF(AX7&lt;=95,"Moderado",IF(AX7=100,"Fuerte","")))</f>
        <v>Débil</v>
      </c>
      <c r="AZ7" s="503" t="s">
        <v>118</v>
      </c>
      <c r="BA7" s="515" t="str">
        <f>+IF(AZ7="siempre","Fuerte",IF(AZ7="Algunas veces","Moderado","Débil"))</f>
        <v>Fuerte</v>
      </c>
      <c r="BB7" s="515" t="str">
        <f>IFERROR(VLOOKUP((CONCATENATE(AY7,BA7)),Listados!$U$3:$V$11,2,FALSE),"")</f>
        <v>Débil</v>
      </c>
      <c r="BC7" s="511">
        <f>IF(ISBLANK(BB7),"",IF(BB7="Débil", 0, IF(BB7="Moderado",50,100)))</f>
        <v>0</v>
      </c>
      <c r="BD7" s="511">
        <f>AVERAGE(BC7:BC8)</f>
        <v>0</v>
      </c>
      <c r="BE7" s="517" t="str">
        <f>IF(BD7&lt;=50, "Débil", IF(BD7&lt;=99,"Moderado","Fuerte"))</f>
        <v>Débil</v>
      </c>
      <c r="BF7" s="515">
        <f>+IF(BE7="Fuerte",2,IF(BE7="Moderado",1,0))</f>
        <v>0</v>
      </c>
      <c r="BG7" s="515">
        <f>+AC7-BF7</f>
        <v>1</v>
      </c>
      <c r="BH7" s="483" t="str">
        <f>+VLOOKUP(BG7,Listados!$J$18:$K$24,2,TRUE)</f>
        <v>Rara Vez</v>
      </c>
      <c r="BI7" s="572" t="str">
        <f>IF(ISBLANK(AD7),"",AD7)</f>
        <v>Mayor</v>
      </c>
      <c r="BJ7" s="483" t="str">
        <f>IF(AND(BH7&lt;&gt;"",BI7&lt;&gt;""),VLOOKUP(BH7&amp;BI7,Listados!$M$3:$N$27,2,FALSE),"")</f>
        <v>Alto</v>
      </c>
      <c r="BK7" s="577" t="str">
        <f>+VLOOKUP(BJ7,Listados!$P$3:$Q$6,2,FALSE)</f>
        <v>Reducir el riesgo</v>
      </c>
      <c r="BL7" s="477" t="s">
        <v>672</v>
      </c>
      <c r="BM7" s="477" t="s">
        <v>673</v>
      </c>
      <c r="BN7" s="579">
        <v>45292</v>
      </c>
      <c r="BO7" s="579">
        <v>45657</v>
      </c>
      <c r="BP7" s="477" t="s">
        <v>674</v>
      </c>
      <c r="BQ7" s="477" t="s">
        <v>675</v>
      </c>
      <c r="BR7" s="490" t="s">
        <v>1226</v>
      </c>
      <c r="BS7" s="490" t="s">
        <v>1233</v>
      </c>
      <c r="BT7" s="587" t="s">
        <v>1331</v>
      </c>
      <c r="BU7" s="481" t="s">
        <v>1298</v>
      </c>
      <c r="BV7" s="479" t="s">
        <v>1301</v>
      </c>
      <c r="BW7" s="690" t="s">
        <v>1421</v>
      </c>
    </row>
    <row r="8" spans="1:75" ht="71.25" customHeight="1" thickBot="1">
      <c r="A8" s="534"/>
      <c r="B8" s="547"/>
      <c r="C8" s="541"/>
      <c r="D8" s="524"/>
      <c r="E8" s="53" t="s">
        <v>676</v>
      </c>
      <c r="F8" s="66" t="s">
        <v>16</v>
      </c>
      <c r="G8" s="444"/>
      <c r="H8" s="462"/>
      <c r="I8" s="508"/>
      <c r="J8" s="508"/>
      <c r="K8" s="508"/>
      <c r="L8" s="508"/>
      <c r="M8" s="508"/>
      <c r="N8" s="508"/>
      <c r="O8" s="508"/>
      <c r="P8" s="508"/>
      <c r="Q8" s="508"/>
      <c r="R8" s="508"/>
      <c r="S8" s="508"/>
      <c r="T8" s="508"/>
      <c r="U8" s="508"/>
      <c r="V8" s="508"/>
      <c r="W8" s="462"/>
      <c r="X8" s="462"/>
      <c r="Y8" s="462"/>
      <c r="Z8" s="509"/>
      <c r="AA8" s="510"/>
      <c r="AB8" s="509"/>
      <c r="AC8" s="510"/>
      <c r="AD8" s="510"/>
      <c r="AE8" s="510"/>
      <c r="AF8" s="514"/>
      <c r="AG8" s="220"/>
      <c r="AH8" s="67"/>
      <c r="AI8" s="61"/>
      <c r="AJ8" s="240"/>
      <c r="AK8" s="251" t="str">
        <f t="shared" si="0"/>
        <v/>
      </c>
      <c r="AL8" s="69"/>
      <c r="AM8" s="99"/>
      <c r="AN8" s="69"/>
      <c r="AO8" s="289"/>
      <c r="AP8" s="238"/>
      <c r="AQ8" s="288" t="str">
        <f t="shared" ref="AQ8:AQ24" si="1">+IF(AP8="Preventivo",15,IF(AP8="Detectivo",10,""))</f>
        <v/>
      </c>
      <c r="AR8" s="216"/>
      <c r="AS8" s="99"/>
      <c r="AT8" s="69"/>
      <c r="AU8" s="289"/>
      <c r="AV8" s="295"/>
      <c r="AW8" s="290" t="str">
        <f t="shared" ref="AW8:AW22" si="2">+IF(AV8="Completa",10,IF(AV8="Incompleta",5,""))</f>
        <v/>
      </c>
      <c r="AX8" s="512"/>
      <c r="AY8" s="512"/>
      <c r="AZ8" s="504"/>
      <c r="BA8" s="516"/>
      <c r="BB8" s="516"/>
      <c r="BC8" s="512"/>
      <c r="BD8" s="512"/>
      <c r="BE8" s="512"/>
      <c r="BF8" s="516"/>
      <c r="BG8" s="516"/>
      <c r="BH8" s="485"/>
      <c r="BI8" s="485"/>
      <c r="BJ8" s="485"/>
      <c r="BK8" s="578"/>
      <c r="BL8" s="486"/>
      <c r="BM8" s="486"/>
      <c r="BN8" s="581"/>
      <c r="BO8" s="581"/>
      <c r="BP8" s="486"/>
      <c r="BQ8" s="486"/>
      <c r="BR8" s="491"/>
      <c r="BS8" s="491"/>
      <c r="BT8" s="588"/>
      <c r="BU8" s="583"/>
      <c r="BV8" s="582"/>
      <c r="BW8" s="691"/>
    </row>
    <row r="9" spans="1:75" ht="100.9" customHeight="1" thickBot="1">
      <c r="A9" s="532">
        <v>2</v>
      </c>
      <c r="B9" s="546" t="s">
        <v>86</v>
      </c>
      <c r="C9" s="526" t="str">
        <f>IFERROR(VLOOKUP(B9,Listados!B$3:C$20,2,FALSE),"")</f>
        <v>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v>
      </c>
      <c r="D9" s="467" t="s">
        <v>677</v>
      </c>
      <c r="E9" s="100" t="s">
        <v>678</v>
      </c>
      <c r="F9" s="17" t="s">
        <v>16</v>
      </c>
      <c r="G9" s="448" t="s">
        <v>679</v>
      </c>
      <c r="H9" s="451" t="s">
        <v>116</v>
      </c>
      <c r="I9" s="461" t="s">
        <v>120</v>
      </c>
      <c r="J9" s="461" t="s">
        <v>116</v>
      </c>
      <c r="K9" s="461" t="s">
        <v>116</v>
      </c>
      <c r="L9" s="461" t="s">
        <v>116</v>
      </c>
      <c r="M9" s="461" t="s">
        <v>116</v>
      </c>
      <c r="N9" s="461" t="s">
        <v>116</v>
      </c>
      <c r="O9" s="461" t="s">
        <v>116</v>
      </c>
      <c r="P9" s="461" t="s">
        <v>116</v>
      </c>
      <c r="Q9" s="461" t="s">
        <v>116</v>
      </c>
      <c r="R9" s="461" t="s">
        <v>116</v>
      </c>
      <c r="S9" s="461" t="s">
        <v>116</v>
      </c>
      <c r="T9" s="461" t="s">
        <v>116</v>
      </c>
      <c r="U9" s="461" t="s">
        <v>116</v>
      </c>
      <c r="V9" s="461" t="s">
        <v>116</v>
      </c>
      <c r="W9" s="461" t="s">
        <v>116</v>
      </c>
      <c r="X9" s="461" t="s">
        <v>116</v>
      </c>
      <c r="Y9" s="461" t="s">
        <v>116</v>
      </c>
      <c r="Z9" s="461" t="s">
        <v>116</v>
      </c>
      <c r="AA9" s="459">
        <f>COUNTIF(H9:Z10, "SI")</f>
        <v>18</v>
      </c>
      <c r="AB9" s="522" t="s">
        <v>21</v>
      </c>
      <c r="AC9" s="455">
        <f>+VLOOKUP(AB9,Listados!$K$8:$L$12,2,0)</f>
        <v>1</v>
      </c>
      <c r="AD9" s="459" t="str">
        <f>+IF(OR(AA9=1,AA9&lt;=5),"Moderado",IF(OR(AA9=6,AA9&lt;=11),"Mayor","Catastrófico"))</f>
        <v>Catastrófico</v>
      </c>
      <c r="AE9" s="455">
        <f>+VLOOKUP(AD9,Listados!K13:L17,2,0)</f>
        <v>5</v>
      </c>
      <c r="AF9" s="513" t="str">
        <f>IF(AND(AB9&lt;&gt;"",AD9&lt;&gt;""),VLOOKUP(AB9&amp;AD9,Listados!$M$3:$N$27,2,FALSE),"")</f>
        <v>Extremo</v>
      </c>
      <c r="AG9" s="221" t="s">
        <v>1244</v>
      </c>
      <c r="AH9" s="222" t="s">
        <v>678</v>
      </c>
      <c r="AI9" s="61" t="s">
        <v>123</v>
      </c>
      <c r="AJ9" s="223" t="s">
        <v>116</v>
      </c>
      <c r="AK9" s="251">
        <f t="shared" si="0"/>
        <v>15</v>
      </c>
      <c r="AL9" s="223" t="s">
        <v>116</v>
      </c>
      <c r="AM9" s="251">
        <f t="shared" ref="AM9" si="3">+IF(AL9="si",15,"")</f>
        <v>15</v>
      </c>
      <c r="AN9" s="216" t="s">
        <v>116</v>
      </c>
      <c r="AO9" s="290">
        <f t="shared" ref="AO9" si="4">+IF(AN9="si",15,"")</f>
        <v>15</v>
      </c>
      <c r="AP9" s="216" t="s">
        <v>20</v>
      </c>
      <c r="AQ9" s="288">
        <f t="shared" si="1"/>
        <v>15</v>
      </c>
      <c r="AR9" s="216" t="s">
        <v>116</v>
      </c>
      <c r="AS9" s="251">
        <f t="shared" ref="AS9" si="5">+IF(AR9="si",15,"")</f>
        <v>15</v>
      </c>
      <c r="AT9" s="216" t="s">
        <v>116</v>
      </c>
      <c r="AU9" s="290">
        <f t="shared" ref="AU9" si="6">+IF(AT9="si",15,"")</f>
        <v>15</v>
      </c>
      <c r="AV9" s="295" t="s">
        <v>117</v>
      </c>
      <c r="AW9" s="290">
        <f t="shared" si="2"/>
        <v>10</v>
      </c>
      <c r="AX9" s="301">
        <f t="shared" ref="AX9" si="7">IF((SUM(AK9,AM9,AO9,AQ9,AS9,AU9,AW9)=0),"",(SUM(AK9,AM9,AO9,AQ9,AS9,AU9,AW9)))</f>
        <v>100</v>
      </c>
      <c r="AY9" s="301" t="str">
        <f t="shared" ref="AY9" si="8">IF(AX9&lt;=85,"Débil",IF(AX9&lt;=95,"Moderado",IF(AX9=100,"Fuerte","")))</f>
        <v>Fuerte</v>
      </c>
      <c r="AZ9" s="224" t="s">
        <v>118</v>
      </c>
      <c r="BA9" s="298" t="str">
        <f t="shared" ref="BA9" si="9">+IF(AZ9="siempre","Fuerte",IF(AZ9="Algunas veces","Moderado","Débil"))</f>
        <v>Fuerte</v>
      </c>
      <c r="BB9" s="298" t="str">
        <f>IFERROR(VLOOKUP((CONCATENATE(AY9,BA9)),Listados!$U$3:$V$11,2,FALSE),"")</f>
        <v>Fuerte</v>
      </c>
      <c r="BC9" s="313">
        <f>IF(ISBLANK(BB9),"",IF(BB9="Débil", 0, IF(BB9="Moderado",50,100)))</f>
        <v>100</v>
      </c>
      <c r="BD9" s="313">
        <f>AVERAGE(BC9:BC10)</f>
        <v>75</v>
      </c>
      <c r="BE9" s="517" t="str">
        <f>IF(BD9&lt;=50, "Débil", IF(BD9&lt;=99,"Moderado","Fuerte"))</f>
        <v>Moderado</v>
      </c>
      <c r="BF9" s="515">
        <f>+IF(BE9="Fuerte",2,IF(BE9="Moderado",1,0))</f>
        <v>1</v>
      </c>
      <c r="BG9" s="515">
        <f>+AC9-BF9</f>
        <v>0</v>
      </c>
      <c r="BH9" s="483" t="str">
        <f>+VLOOKUP(BG9,Listados!$J$18:$K$24,2,TRUE)</f>
        <v>Rara Vez</v>
      </c>
      <c r="BI9" s="572" t="str">
        <f>IF(ISBLANK(AD9),"",AD9)</f>
        <v>Catastrófico</v>
      </c>
      <c r="BJ9" s="483" t="str">
        <f>IF(AND(BH9&lt;&gt;"",BI9&lt;&gt;""),VLOOKUP(BH9&amp;BI9,Listados!$M$3:$N$27,2,FALSE),"")</f>
        <v>Extremo</v>
      </c>
      <c r="BK9" s="577" t="str">
        <f>+VLOOKUP(BJ9,Listados!$P$3:$Q$6,2,FALSE)</f>
        <v>Evitar el riesgo</v>
      </c>
      <c r="BL9" s="233" t="s">
        <v>680</v>
      </c>
      <c r="BM9" s="255" t="s">
        <v>673</v>
      </c>
      <c r="BN9" s="256">
        <v>45292</v>
      </c>
      <c r="BO9" s="256">
        <v>45657</v>
      </c>
      <c r="BP9" s="257" t="s">
        <v>681</v>
      </c>
      <c r="BQ9" s="233" t="s">
        <v>682</v>
      </c>
      <c r="BR9" s="477" t="s">
        <v>1250</v>
      </c>
      <c r="BS9" s="519" t="s">
        <v>1249</v>
      </c>
      <c r="BT9" s="585" t="s">
        <v>1332</v>
      </c>
      <c r="BU9" s="481" t="s">
        <v>1263</v>
      </c>
      <c r="BV9" s="479" t="s">
        <v>1299</v>
      </c>
      <c r="BW9" s="690" t="s">
        <v>1422</v>
      </c>
    </row>
    <row r="10" spans="1:75" ht="141" thickBot="1">
      <c r="A10" s="534"/>
      <c r="B10" s="547"/>
      <c r="C10" s="541"/>
      <c r="D10" s="524"/>
      <c r="E10" s="53" t="s">
        <v>683</v>
      </c>
      <c r="F10" s="66" t="s">
        <v>16</v>
      </c>
      <c r="G10" s="444"/>
      <c r="H10" s="462"/>
      <c r="I10" s="508"/>
      <c r="J10" s="508"/>
      <c r="K10" s="508"/>
      <c r="L10" s="508"/>
      <c r="M10" s="508"/>
      <c r="N10" s="508"/>
      <c r="O10" s="508"/>
      <c r="P10" s="508"/>
      <c r="Q10" s="508"/>
      <c r="R10" s="508"/>
      <c r="S10" s="508"/>
      <c r="T10" s="508"/>
      <c r="U10" s="508"/>
      <c r="V10" s="508"/>
      <c r="W10" s="508"/>
      <c r="X10" s="508"/>
      <c r="Y10" s="508"/>
      <c r="Z10" s="508"/>
      <c r="AA10" s="510"/>
      <c r="AB10" s="509"/>
      <c r="AC10" s="510"/>
      <c r="AD10" s="507" t="str">
        <f>+IF(OR(AB10=1,AB10&lt;=5),"Moderado",IF(OR(AB10=6,AB10&lt;=11),"Mayor","Catastrófico"))</f>
        <v>Moderado</v>
      </c>
      <c r="AE10" s="510"/>
      <c r="AF10" s="514"/>
      <c r="AG10" s="53" t="s">
        <v>684</v>
      </c>
      <c r="AH10" s="225" t="s">
        <v>683</v>
      </c>
      <c r="AI10" s="61" t="s">
        <v>123</v>
      </c>
      <c r="AJ10" s="226" t="s">
        <v>116</v>
      </c>
      <c r="AK10" s="254">
        <f t="shared" ref="AK10:AK11" si="10">+IF(AJ10="si",15,"")</f>
        <v>15</v>
      </c>
      <c r="AL10" s="226" t="s">
        <v>116</v>
      </c>
      <c r="AM10" s="254">
        <f t="shared" ref="AM10:AM13" si="11">+IF(AL10="si",15,"")</f>
        <v>15</v>
      </c>
      <c r="AN10" s="215" t="s">
        <v>116</v>
      </c>
      <c r="AO10" s="291">
        <f t="shared" ref="AO10:AO13" si="12">+IF(AN10="si",15,"")</f>
        <v>15</v>
      </c>
      <c r="AP10" s="215" t="s">
        <v>123</v>
      </c>
      <c r="AQ10" s="288">
        <f t="shared" si="1"/>
        <v>10</v>
      </c>
      <c r="AR10" s="215" t="s">
        <v>116</v>
      </c>
      <c r="AS10" s="254">
        <f t="shared" ref="AS10:AS13" si="13">+IF(AR10="si",15,"")</f>
        <v>15</v>
      </c>
      <c r="AT10" s="215" t="s">
        <v>116</v>
      </c>
      <c r="AU10" s="291">
        <f t="shared" ref="AU10:AU13" si="14">+IF(AT10="si",15,"")</f>
        <v>15</v>
      </c>
      <c r="AV10" s="299" t="s">
        <v>117</v>
      </c>
      <c r="AW10" s="290">
        <f t="shared" si="2"/>
        <v>10</v>
      </c>
      <c r="AX10" s="303">
        <f t="shared" ref="AX10:AX30" si="15">IF((SUM(AK10,AM10,AO10,AQ10,AS10,AU10,AW10)=0),"",(SUM(AK10,AM10,AO10,AQ10,AS10,AU10,AW10)))</f>
        <v>95</v>
      </c>
      <c r="AY10" s="303" t="str">
        <f t="shared" ref="AY10:AY30" si="16">IF(AX10&lt;=85,"Débil",IF(AX10&lt;=95,"Moderado",IF(AX10=100,"Fuerte","")))</f>
        <v>Moderado</v>
      </c>
      <c r="AZ10" s="227" t="s">
        <v>118</v>
      </c>
      <c r="BA10" s="305" t="str">
        <f t="shared" ref="BA10:BA30" si="17">+IF(AZ10="siempre","Fuerte",IF(AZ10="Algunas veces","Moderado","Débil"))</f>
        <v>Fuerte</v>
      </c>
      <c r="BB10" s="297" t="str">
        <f>IFERROR(VLOOKUP((CONCATENATE(AY10,BA10)),Listados!$U$3:$V$11,2,FALSE),"")</f>
        <v>Moderado</v>
      </c>
      <c r="BC10" s="313">
        <f>IF(ISBLANK(BB10),"",IF(BB10="Débil", 0, IF(BB10="Moderado",50,100)))</f>
        <v>50</v>
      </c>
      <c r="BD10" s="313">
        <f>AVERAGE(BC10:BC11)</f>
        <v>50</v>
      </c>
      <c r="BE10" s="518"/>
      <c r="BF10" s="516"/>
      <c r="BG10" s="516"/>
      <c r="BH10" s="485"/>
      <c r="BI10" s="573"/>
      <c r="BJ10" s="485"/>
      <c r="BK10" s="578"/>
      <c r="BL10" s="253" t="s">
        <v>1245</v>
      </c>
      <c r="BM10" s="215" t="s">
        <v>1246</v>
      </c>
      <c r="BN10" s="258">
        <v>45292</v>
      </c>
      <c r="BO10" s="258">
        <v>45657</v>
      </c>
      <c r="BP10" s="259" t="s">
        <v>1247</v>
      </c>
      <c r="BQ10" s="260" t="s">
        <v>1248</v>
      </c>
      <c r="BR10" s="486"/>
      <c r="BS10" s="520"/>
      <c r="BT10" s="586"/>
      <c r="BU10" s="498"/>
      <c r="BV10" s="502"/>
      <c r="BW10" s="691"/>
    </row>
    <row r="11" spans="1:75" ht="127.5" customHeight="1" thickBot="1">
      <c r="A11" s="321">
        <v>3</v>
      </c>
      <c r="B11" s="347" t="s">
        <v>27</v>
      </c>
      <c r="C11" s="216" t="str">
        <f>IFERROR(VLOOKUP(B11,Listados!B$3:C$20,2,FALSE),"")</f>
        <v>Proveer información oportuna, confiable, veraz y accesible a clientes internos y externos del Ministerio de Justicia y del Derecho.</v>
      </c>
      <c r="D11" s="324" t="s">
        <v>685</v>
      </c>
      <c r="E11" s="53" t="s">
        <v>1308</v>
      </c>
      <c r="F11" s="17" t="s">
        <v>16</v>
      </c>
      <c r="G11" s="107" t="s">
        <v>686</v>
      </c>
      <c r="H11" s="318" t="s">
        <v>116</v>
      </c>
      <c r="I11" s="62" t="s">
        <v>116</v>
      </c>
      <c r="J11" s="62" t="s">
        <v>116</v>
      </c>
      <c r="K11" s="62" t="s">
        <v>120</v>
      </c>
      <c r="L11" s="62" t="s">
        <v>116</v>
      </c>
      <c r="M11" s="62" t="s">
        <v>116</v>
      </c>
      <c r="N11" s="62" t="s">
        <v>120</v>
      </c>
      <c r="O11" s="62" t="s">
        <v>120</v>
      </c>
      <c r="P11" s="62" t="s">
        <v>116</v>
      </c>
      <c r="Q11" s="62" t="s">
        <v>116</v>
      </c>
      <c r="R11" s="62" t="s">
        <v>116</v>
      </c>
      <c r="S11" s="62" t="s">
        <v>116</v>
      </c>
      <c r="T11" s="62" t="s">
        <v>120</v>
      </c>
      <c r="U11" s="62" t="s">
        <v>120</v>
      </c>
      <c r="V11" s="62" t="s">
        <v>116</v>
      </c>
      <c r="W11" s="62" t="s">
        <v>120</v>
      </c>
      <c r="X11" s="62" t="s">
        <v>120</v>
      </c>
      <c r="Y11" s="62" t="s">
        <v>120</v>
      </c>
      <c r="Z11" s="62" t="s">
        <v>120</v>
      </c>
      <c r="AA11" s="320">
        <f>COUNTIF(H11:Z11, "SI")</f>
        <v>10</v>
      </c>
      <c r="AB11" s="216" t="s">
        <v>31</v>
      </c>
      <c r="AC11" s="319">
        <f>+VLOOKUP(AB11,Listados!$K$8:$L$12,2,0)</f>
        <v>2</v>
      </c>
      <c r="AD11" s="320" t="str">
        <f>+IF(OR(AA11=1,AA11&lt;=5),"Moderado",IF(OR(AA11=6,AA11&lt;=11),"Mayor","Catastrófico"))</f>
        <v>Mayor</v>
      </c>
      <c r="AE11" s="319">
        <f>+VLOOKUP(AD11,Listados!K13:L17,2,0)</f>
        <v>4</v>
      </c>
      <c r="AF11" s="310" t="str">
        <f>IF(AND(AB11&lt;&gt;"",AD11&lt;&gt;""),VLOOKUP(AB11&amp;AD11,Listados!$M$3:$N$27,2,FALSE),"")</f>
        <v>Alto</v>
      </c>
      <c r="AG11" s="100" t="s">
        <v>1355</v>
      </c>
      <c r="AH11" s="222" t="s">
        <v>1356</v>
      </c>
      <c r="AI11" s="61" t="s">
        <v>123</v>
      </c>
      <c r="AJ11" s="223" t="s">
        <v>116</v>
      </c>
      <c r="AK11" s="251">
        <f t="shared" si="10"/>
        <v>15</v>
      </c>
      <c r="AL11" s="223" t="s">
        <v>116</v>
      </c>
      <c r="AM11" s="251">
        <f t="shared" si="11"/>
        <v>15</v>
      </c>
      <c r="AN11" s="216" t="s">
        <v>116</v>
      </c>
      <c r="AO11" s="290">
        <f t="shared" si="12"/>
        <v>15</v>
      </c>
      <c r="AP11" s="216" t="s">
        <v>123</v>
      </c>
      <c r="AQ11" s="288">
        <f t="shared" si="1"/>
        <v>10</v>
      </c>
      <c r="AR11" s="216" t="s">
        <v>116</v>
      </c>
      <c r="AS11" s="251">
        <f t="shared" si="13"/>
        <v>15</v>
      </c>
      <c r="AT11" s="216" t="s">
        <v>116</v>
      </c>
      <c r="AU11" s="290">
        <f t="shared" si="14"/>
        <v>15</v>
      </c>
      <c r="AV11" s="295" t="s">
        <v>117</v>
      </c>
      <c r="AW11" s="290">
        <f t="shared" si="2"/>
        <v>10</v>
      </c>
      <c r="AX11" s="301">
        <f t="shared" si="15"/>
        <v>95</v>
      </c>
      <c r="AY11" s="301" t="str">
        <f t="shared" si="16"/>
        <v>Moderado</v>
      </c>
      <c r="AZ11" s="224" t="s">
        <v>118</v>
      </c>
      <c r="BA11" s="298" t="str">
        <f t="shared" si="17"/>
        <v>Fuerte</v>
      </c>
      <c r="BB11" s="298" t="str">
        <f>IFERROR(VLOOKUP((CONCATENATE(AY11,BA11)),Listados!$U$3:$V$11,2,FALSE),"")</f>
        <v>Moderado</v>
      </c>
      <c r="BC11" s="313">
        <f t="shared" ref="BC11:BC48" si="18">IF(ISBLANK(BB11),"",IF(BB11="Débil", 0, IF(BB11="Moderado",50,100)))</f>
        <v>50</v>
      </c>
      <c r="BD11" s="313">
        <f>AVERAGE(BC11:BC11)</f>
        <v>50</v>
      </c>
      <c r="BE11" s="301" t="str">
        <f>IF(BD11&lt;=50, "Débil", IF(BD11&lt;=99,"Moderado","Fuerte"))</f>
        <v>Débil</v>
      </c>
      <c r="BF11" s="296">
        <f>+IF(BE11="Fuerte",2,IF(BE11="Moderado",1,0))</f>
        <v>0</v>
      </c>
      <c r="BG11" s="296">
        <f>+AC11-BF11</f>
        <v>2</v>
      </c>
      <c r="BH11" s="293" t="str">
        <f>+VLOOKUP(BG11,Listados!$J$18:$K$24,2,TRUE)</f>
        <v>Improbable</v>
      </c>
      <c r="BI11" s="295" t="str">
        <f>IF(ISBLANK(AD11),"",AD11)</f>
        <v>Mayor</v>
      </c>
      <c r="BJ11" s="293" t="str">
        <f>IF(AND(BH11&lt;&gt;"",BI11&lt;&gt;""),VLOOKUP(BH11&amp;BI11,Listados!$M$3:$N$27,2,FALSE),"")</f>
        <v>Alto</v>
      </c>
      <c r="BK11" s="322" t="str">
        <f>+VLOOKUP(BJ11,Listados!$P$3:$Q$6,2,FALSE)</f>
        <v>Reducir el riesgo</v>
      </c>
      <c r="BL11" s="100" t="s">
        <v>687</v>
      </c>
      <c r="BM11" s="257" t="s">
        <v>1246</v>
      </c>
      <c r="BN11" s="256">
        <v>45292</v>
      </c>
      <c r="BO11" s="256">
        <v>45657</v>
      </c>
      <c r="BP11" s="100" t="s">
        <v>688</v>
      </c>
      <c r="BQ11" s="100" t="s">
        <v>689</v>
      </c>
      <c r="BR11" s="218" t="s">
        <v>1222</v>
      </c>
      <c r="BS11" s="317" t="s">
        <v>1257</v>
      </c>
      <c r="BT11" s="323" t="s">
        <v>1357</v>
      </c>
      <c r="BU11" s="316" t="s">
        <v>1264</v>
      </c>
      <c r="BV11" s="252" t="s">
        <v>1276</v>
      </c>
      <c r="BW11" s="692" t="s">
        <v>1423</v>
      </c>
    </row>
    <row r="12" spans="1:75" ht="87.6" customHeight="1" thickBot="1">
      <c r="A12" s="532">
        <v>4</v>
      </c>
      <c r="B12" s="542" t="s">
        <v>98</v>
      </c>
      <c r="C12" s="522" t="str">
        <f>IFERROR(VLOOKUP(B12,Listados!B$3:C$20,2,FALSE),"")</f>
        <v>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v>
      </c>
      <c r="D12" s="467" t="s">
        <v>1376</v>
      </c>
      <c r="E12" s="128" t="s">
        <v>1377</v>
      </c>
      <c r="F12" s="17" t="s">
        <v>16</v>
      </c>
      <c r="G12" s="448" t="s">
        <v>1379</v>
      </c>
      <c r="H12" s="451" t="s">
        <v>116</v>
      </c>
      <c r="I12" s="461" t="s">
        <v>116</v>
      </c>
      <c r="J12" s="461" t="s">
        <v>116</v>
      </c>
      <c r="K12" s="461" t="s">
        <v>120</v>
      </c>
      <c r="L12" s="461" t="s">
        <v>116</v>
      </c>
      <c r="M12" s="461" t="s">
        <v>120</v>
      </c>
      <c r="N12" s="461" t="s">
        <v>116</v>
      </c>
      <c r="O12" s="461" t="s">
        <v>120</v>
      </c>
      <c r="P12" s="461" t="s">
        <v>116</v>
      </c>
      <c r="Q12" s="461" t="s">
        <v>116</v>
      </c>
      <c r="R12" s="461" t="s">
        <v>116</v>
      </c>
      <c r="S12" s="461" t="s">
        <v>116</v>
      </c>
      <c r="T12" s="461" t="s">
        <v>116</v>
      </c>
      <c r="U12" s="461" t="s">
        <v>116</v>
      </c>
      <c r="V12" s="461" t="s">
        <v>116</v>
      </c>
      <c r="W12" s="461" t="s">
        <v>120</v>
      </c>
      <c r="X12" s="461" t="s">
        <v>116</v>
      </c>
      <c r="Y12" s="461" t="s">
        <v>120</v>
      </c>
      <c r="Z12" s="461" t="s">
        <v>116</v>
      </c>
      <c r="AA12" s="459">
        <f>COUNTIF(H12:Z13, "SI")</f>
        <v>14</v>
      </c>
      <c r="AB12" s="522" t="s">
        <v>21</v>
      </c>
      <c r="AC12" s="455">
        <f>+VLOOKUP(AB12,Listados!$K$8:$L$12,2,0)</f>
        <v>1</v>
      </c>
      <c r="AD12" s="459" t="str">
        <f>+IF(OR(AA12=1,AA12&lt;=5),"Moderado",IF(OR(AA12=6,AA12&lt;=11),"Mayor","Catastrófico"))</f>
        <v>Catastrófico</v>
      </c>
      <c r="AE12" s="455">
        <f>+VLOOKUP(AD12,Listados!K13:L17,2,0)</f>
        <v>5</v>
      </c>
      <c r="AF12" s="513" t="str">
        <f>IF(AND(AB12&lt;&gt;"",AD12&lt;&gt;""),VLOOKUP(AB12&amp;AD12,Listados!$M$3:$N$27,2,FALSE),"")</f>
        <v>Extremo</v>
      </c>
      <c r="AG12" s="351" t="s">
        <v>1380</v>
      </c>
      <c r="AH12" s="352" t="s">
        <v>1382</v>
      </c>
      <c r="AI12" s="451" t="s">
        <v>123</v>
      </c>
      <c r="AJ12" s="505" t="s">
        <v>116</v>
      </c>
      <c r="AK12" s="251">
        <f>+IF(AJ12="si",15,"")</f>
        <v>15</v>
      </c>
      <c r="AL12" s="505" t="s">
        <v>116</v>
      </c>
      <c r="AM12" s="251">
        <f>+IF(AL12="si",15,"")</f>
        <v>15</v>
      </c>
      <c r="AN12" s="453" t="s">
        <v>116</v>
      </c>
      <c r="AO12" s="290">
        <f>+IF(AN12="si",15,"")</f>
        <v>15</v>
      </c>
      <c r="AP12" s="453" t="s">
        <v>123</v>
      </c>
      <c r="AQ12" s="288">
        <f t="shared" si="1"/>
        <v>10</v>
      </c>
      <c r="AR12" s="216" t="s">
        <v>116</v>
      </c>
      <c r="AS12" s="251">
        <f>+IF(AR12="si",15,"")</f>
        <v>15</v>
      </c>
      <c r="AT12" s="215" t="s">
        <v>116</v>
      </c>
      <c r="AU12" s="290">
        <f>+IF(AT12="si",15,"")</f>
        <v>15</v>
      </c>
      <c r="AV12" s="299" t="s">
        <v>117</v>
      </c>
      <c r="AW12" s="290">
        <f t="shared" si="2"/>
        <v>10</v>
      </c>
      <c r="AX12" s="511">
        <f t="shared" si="15"/>
        <v>95</v>
      </c>
      <c r="AY12" s="511" t="str">
        <f t="shared" si="16"/>
        <v>Moderado</v>
      </c>
      <c r="AZ12" s="503" t="s">
        <v>118</v>
      </c>
      <c r="BA12" s="515" t="str">
        <f t="shared" ref="BA12" si="19">+IF(AZ12="siempre","Fuerte",IF(AZ12="Algunas veces","Moderado","Débil"))</f>
        <v>Fuerte</v>
      </c>
      <c r="BB12" s="515" t="str">
        <f>IFERROR(VLOOKUP((CONCATENATE(AY12,BA12)),[25]Listados!$U$3:$V$11,2,FALSE),"")</f>
        <v>Moderado</v>
      </c>
      <c r="BC12" s="313">
        <f t="shared" si="18"/>
        <v>50</v>
      </c>
      <c r="BD12" s="313">
        <f>AVERAGE(BC12:BC13)</f>
        <v>50</v>
      </c>
      <c r="BE12" s="517" t="str">
        <f>IF(BD12&lt;=50, "Débil", IF(BD12&lt;=99,"Moderado","Fuerte"))</f>
        <v>Débil</v>
      </c>
      <c r="BF12" s="515">
        <f>+IF(BE12="Fuerte",2,IF(BE12="Moderado",1,0))</f>
        <v>0</v>
      </c>
      <c r="BG12" s="515">
        <f>+AC12-BF12</f>
        <v>1</v>
      </c>
      <c r="BH12" s="483" t="str">
        <f>+VLOOKUP(BG12,[25]Listados!$J$18:$K$24,2,TRUE)</f>
        <v>Rara Vez</v>
      </c>
      <c r="BI12" s="572" t="str">
        <f>IF(ISBLANK(AD12),"",AD12)</f>
        <v>Catastrófico</v>
      </c>
      <c r="BJ12" s="483" t="str">
        <f>IF(AND(BH12&lt;&gt;"",BI12&lt;&gt;""),VLOOKUP(BH12&amp;BI12,[25]Listados!$M$3:$N$27,2,FALSE),"")</f>
        <v>Extremo</v>
      </c>
      <c r="BK12" s="577" t="str">
        <f>+VLOOKUP(BJ12,[25]Listados!$P$3:$Q$6,2,FALSE)</f>
        <v>Evitar el riesgo</v>
      </c>
      <c r="BL12" s="481" t="s">
        <v>690</v>
      </c>
      <c r="BM12" s="477" t="s">
        <v>691</v>
      </c>
      <c r="BN12" s="487">
        <v>45292</v>
      </c>
      <c r="BO12" s="487">
        <v>45657</v>
      </c>
      <c r="BP12" s="477" t="s">
        <v>692</v>
      </c>
      <c r="BQ12" s="477" t="s">
        <v>693</v>
      </c>
      <c r="BR12" s="481" t="s">
        <v>694</v>
      </c>
      <c r="BS12" s="477" t="s">
        <v>1262</v>
      </c>
      <c r="BT12" s="353" t="s">
        <v>1384</v>
      </c>
      <c r="BU12" s="490" t="s">
        <v>1265</v>
      </c>
      <c r="BV12" s="469" t="s">
        <v>1300</v>
      </c>
      <c r="BW12" s="690" t="s">
        <v>1424</v>
      </c>
    </row>
    <row r="13" spans="1:75" ht="81.75" customHeight="1" thickBot="1">
      <c r="A13" s="534"/>
      <c r="B13" s="543"/>
      <c r="C13" s="525"/>
      <c r="D13" s="524"/>
      <c r="E13" s="128" t="s">
        <v>1378</v>
      </c>
      <c r="F13" s="66" t="s">
        <v>16</v>
      </c>
      <c r="G13" s="444"/>
      <c r="H13" s="462"/>
      <c r="I13" s="508"/>
      <c r="J13" s="508"/>
      <c r="K13" s="508"/>
      <c r="L13" s="508"/>
      <c r="M13" s="508"/>
      <c r="N13" s="508"/>
      <c r="O13" s="508"/>
      <c r="P13" s="508"/>
      <c r="Q13" s="508"/>
      <c r="R13" s="508"/>
      <c r="S13" s="508"/>
      <c r="T13" s="508"/>
      <c r="U13" s="508"/>
      <c r="V13" s="508"/>
      <c r="W13" s="508"/>
      <c r="X13" s="508"/>
      <c r="Y13" s="508"/>
      <c r="Z13" s="508"/>
      <c r="AA13" s="507"/>
      <c r="AB13" s="509"/>
      <c r="AC13" s="510"/>
      <c r="AD13" s="507" t="str">
        <f>+IF(OR(AB13=1,AB13&lt;=5),"Moderado",IF(OR(AB13=6,AB13&lt;=11),"Mayor","Catastrófico"))</f>
        <v>Moderado</v>
      </c>
      <c r="AE13" s="510"/>
      <c r="AF13" s="514"/>
      <c r="AG13" s="351" t="s">
        <v>1381</v>
      </c>
      <c r="AH13" s="352" t="s">
        <v>1383</v>
      </c>
      <c r="AI13" s="462"/>
      <c r="AJ13" s="506"/>
      <c r="AK13" s="251" t="str">
        <f>+IF(AJ13="si",15,"")</f>
        <v/>
      </c>
      <c r="AL13" s="506"/>
      <c r="AM13" s="254" t="str">
        <f t="shared" si="11"/>
        <v/>
      </c>
      <c r="AN13" s="509"/>
      <c r="AO13" s="291" t="str">
        <f t="shared" si="12"/>
        <v/>
      </c>
      <c r="AP13" s="509"/>
      <c r="AQ13" s="288" t="str">
        <f t="shared" ref="AQ13" si="20">+IF(AP13="Preventivo",15,IF(AP13="Detectivo",10,""))</f>
        <v/>
      </c>
      <c r="AR13" s="216" t="s">
        <v>116</v>
      </c>
      <c r="AS13" s="254">
        <f t="shared" si="13"/>
        <v>15</v>
      </c>
      <c r="AT13" s="215"/>
      <c r="AU13" s="291" t="str">
        <f t="shared" si="14"/>
        <v/>
      </c>
      <c r="AV13" s="299"/>
      <c r="AW13" s="290" t="str">
        <f t="shared" si="2"/>
        <v/>
      </c>
      <c r="AX13" s="512"/>
      <c r="AY13" s="512"/>
      <c r="AZ13" s="504"/>
      <c r="BA13" s="516"/>
      <c r="BB13" s="516"/>
      <c r="BC13" s="331"/>
      <c r="BD13" s="313">
        <f t="shared" ref="BD13:BD48" si="21">AVERAGE(BC13:BC14)</f>
        <v>100</v>
      </c>
      <c r="BE13" s="518"/>
      <c r="BF13" s="516"/>
      <c r="BG13" s="516"/>
      <c r="BH13" s="485"/>
      <c r="BI13" s="573"/>
      <c r="BJ13" s="485"/>
      <c r="BK13" s="578"/>
      <c r="BL13" s="498"/>
      <c r="BM13" s="486"/>
      <c r="BN13" s="489"/>
      <c r="BO13" s="489"/>
      <c r="BP13" s="486"/>
      <c r="BQ13" s="486"/>
      <c r="BR13" s="498"/>
      <c r="BS13" s="486"/>
      <c r="BT13" s="353" t="s">
        <v>1385</v>
      </c>
      <c r="BU13" s="491"/>
      <c r="BV13" s="492"/>
      <c r="BW13" s="691"/>
    </row>
    <row r="14" spans="1:75" ht="96.75" customHeight="1" thickBot="1">
      <c r="A14" s="532">
        <v>5</v>
      </c>
      <c r="B14" s="544" t="s">
        <v>104</v>
      </c>
      <c r="C14" s="522" t="str">
        <f>IFERROR(VLOOKUP(B14,Listados!B$3:C$20,2,FALSE),"")</f>
        <v>Evaluar y/o hacer seguimiento a la planeación, ejecución y control en la gestión de los procesos (SIG), programas, planes y proyectos del Ministerio de Justicia y del Derecho para el mejoramiento continuo de la gestión de la Entidad.</v>
      </c>
      <c r="D14" s="467" t="s">
        <v>696</v>
      </c>
      <c r="E14" s="61" t="s">
        <v>697</v>
      </c>
      <c r="F14" s="17" t="s">
        <v>16</v>
      </c>
      <c r="G14" s="448" t="s">
        <v>698</v>
      </c>
      <c r="H14" s="451" t="s">
        <v>116</v>
      </c>
      <c r="I14" s="451" t="s">
        <v>116</v>
      </c>
      <c r="J14" s="451" t="s">
        <v>116</v>
      </c>
      <c r="K14" s="451" t="s">
        <v>116</v>
      </c>
      <c r="L14" s="451" t="s">
        <v>116</v>
      </c>
      <c r="M14" s="451" t="s">
        <v>120</v>
      </c>
      <c r="N14" s="451" t="s">
        <v>116</v>
      </c>
      <c r="O14" s="451" t="s">
        <v>120</v>
      </c>
      <c r="P14" s="451" t="s">
        <v>116</v>
      </c>
      <c r="Q14" s="451" t="s">
        <v>116</v>
      </c>
      <c r="R14" s="451" t="s">
        <v>120</v>
      </c>
      <c r="S14" s="451" t="s">
        <v>116</v>
      </c>
      <c r="T14" s="451" t="s">
        <v>120</v>
      </c>
      <c r="U14" s="451" t="s">
        <v>116</v>
      </c>
      <c r="V14" s="451" t="s">
        <v>116</v>
      </c>
      <c r="W14" s="451" t="s">
        <v>120</v>
      </c>
      <c r="X14" s="451" t="s">
        <v>116</v>
      </c>
      <c r="Y14" s="451" t="s">
        <v>116</v>
      </c>
      <c r="Z14" s="451" t="s">
        <v>120</v>
      </c>
      <c r="AA14" s="459">
        <f>COUNTIF(H14:Z16, "SI")</f>
        <v>13</v>
      </c>
      <c r="AB14" s="453" t="s">
        <v>21</v>
      </c>
      <c r="AC14" s="455">
        <f>+VLOOKUP(AB14,Listados!$K$8:$L$12,2,0)</f>
        <v>1</v>
      </c>
      <c r="AD14" s="459" t="str">
        <f>+IF(OR(AA14=1,AA14&lt;=5),"Moderado",IF(OR(AA14=6,AA14&lt;=11),"Mayor","Catastrófico"))</f>
        <v>Catastrófico</v>
      </c>
      <c r="AE14" s="455">
        <f>+VLOOKUP(AD14,Listados!K13:L17,2,0)</f>
        <v>5</v>
      </c>
      <c r="AF14" s="457" t="str">
        <f>IF(AND(AB14&lt;&gt;"",AD14&lt;&gt;""),VLOOKUP(AB14&amp;AD14,Listados!$M$3:$N$27,2,FALSE),"")</f>
        <v>Extremo</v>
      </c>
      <c r="AG14" s="214" t="s">
        <v>699</v>
      </c>
      <c r="AH14" s="100" t="str">
        <f>+E14</f>
        <v>Solicitudes de terceros o partes interesadas</v>
      </c>
      <c r="AI14" s="330" t="s">
        <v>123</v>
      </c>
      <c r="AJ14" s="239" t="s">
        <v>116</v>
      </c>
      <c r="AK14" s="251">
        <f t="shared" ref="AK14:AK48" si="22">+IF(AJ14="si",15,"")</f>
        <v>15</v>
      </c>
      <c r="AL14" s="239" t="s">
        <v>116</v>
      </c>
      <c r="AM14" s="251">
        <f>+IF(AL14="si",15,"")</f>
        <v>15</v>
      </c>
      <c r="AN14" s="216" t="s">
        <v>312</v>
      </c>
      <c r="AO14" s="290">
        <f>+IF(AN14="si",15,"")</f>
        <v>15</v>
      </c>
      <c r="AP14" s="228" t="s">
        <v>20</v>
      </c>
      <c r="AQ14" s="288">
        <f t="shared" si="1"/>
        <v>15</v>
      </c>
      <c r="AR14" s="216" t="s">
        <v>116</v>
      </c>
      <c r="AS14" s="251">
        <f>+IF(AR14="si",15,"")</f>
        <v>15</v>
      </c>
      <c r="AT14" s="215" t="s">
        <v>116</v>
      </c>
      <c r="AU14" s="290">
        <f>+IF(AT14="si",15,"")</f>
        <v>15</v>
      </c>
      <c r="AV14" s="299" t="s">
        <v>117</v>
      </c>
      <c r="AW14" s="290">
        <f t="shared" si="2"/>
        <v>10</v>
      </c>
      <c r="AX14" s="301">
        <f t="shared" si="15"/>
        <v>100</v>
      </c>
      <c r="AY14" s="301" t="str">
        <f t="shared" si="16"/>
        <v>Fuerte</v>
      </c>
      <c r="AZ14" s="224" t="s">
        <v>118</v>
      </c>
      <c r="BA14" s="298" t="str">
        <f t="shared" si="17"/>
        <v>Fuerte</v>
      </c>
      <c r="BB14" s="298" t="str">
        <f>IFERROR(VLOOKUP((CONCATENATE(AY14,BA14)),Listados!$U$3:$V$11,2,FALSE),"")</f>
        <v>Fuerte</v>
      </c>
      <c r="BC14" s="313">
        <f t="shared" si="18"/>
        <v>100</v>
      </c>
      <c r="BD14" s="313">
        <f t="shared" si="21"/>
        <v>50</v>
      </c>
      <c r="BE14" s="517" t="str">
        <f>IF(BD14&lt;=50, "Débil", IF(BD14&lt;=99,"Moderado","Fuerte"))</f>
        <v>Débil</v>
      </c>
      <c r="BF14" s="515">
        <f>+IF(BE14="Fuerte",2,IF(BE14="Moderado",1,0))</f>
        <v>0</v>
      </c>
      <c r="BG14" s="515">
        <f>+AC14-BF14</f>
        <v>1</v>
      </c>
      <c r="BH14" s="483" t="str">
        <f>+VLOOKUP(BG14,Listados!$J$18:$K$24,2,TRUE)</f>
        <v>Rara Vez</v>
      </c>
      <c r="BI14" s="572" t="str">
        <f>IF(ISBLANK(AD14),"",AD14)</f>
        <v>Catastrófico</v>
      </c>
      <c r="BJ14" s="483" t="str">
        <f>IF(AND(BH14&lt;&gt;"",BI14&lt;&gt;""),VLOOKUP(BH14&amp;BI14,Listados!$M$3:$N$27,2,FALSE),"")</f>
        <v>Extremo</v>
      </c>
      <c r="BK14" s="577" t="str">
        <f>+VLOOKUP(BJ14,Listados!$P$3:$Q$6,2,FALSE)</f>
        <v>Evitar el riesgo</v>
      </c>
      <c r="BL14" s="479" t="s">
        <v>700</v>
      </c>
      <c r="BM14" s="451" t="s">
        <v>701</v>
      </c>
      <c r="BN14" s="579">
        <v>45292</v>
      </c>
      <c r="BO14" s="579">
        <v>45657</v>
      </c>
      <c r="BP14" s="451" t="s">
        <v>702</v>
      </c>
      <c r="BQ14" s="451" t="s">
        <v>703</v>
      </c>
      <c r="BR14" s="490" t="s">
        <v>704</v>
      </c>
      <c r="BS14" s="490" t="s">
        <v>1258</v>
      </c>
      <c r="BT14" s="490" t="s">
        <v>1316</v>
      </c>
      <c r="BU14" s="490" t="s">
        <v>1266</v>
      </c>
      <c r="BV14" s="469" t="s">
        <v>1277</v>
      </c>
      <c r="BW14" s="690" t="s">
        <v>1425</v>
      </c>
    </row>
    <row r="15" spans="1:75" ht="77.25" thickBot="1">
      <c r="A15" s="533"/>
      <c r="B15" s="545"/>
      <c r="C15" s="446"/>
      <c r="D15" s="468"/>
      <c r="E15" s="145" t="s">
        <v>705</v>
      </c>
      <c r="F15" s="129" t="s">
        <v>16</v>
      </c>
      <c r="G15" s="443"/>
      <c r="H15" s="452"/>
      <c r="I15" s="452"/>
      <c r="J15" s="452"/>
      <c r="K15" s="452"/>
      <c r="L15" s="452"/>
      <c r="M15" s="452"/>
      <c r="N15" s="452"/>
      <c r="O15" s="452"/>
      <c r="P15" s="452"/>
      <c r="Q15" s="452"/>
      <c r="R15" s="452"/>
      <c r="S15" s="452"/>
      <c r="T15" s="452"/>
      <c r="U15" s="452"/>
      <c r="V15" s="452"/>
      <c r="W15" s="452"/>
      <c r="X15" s="452"/>
      <c r="Y15" s="452"/>
      <c r="Z15" s="452"/>
      <c r="AA15" s="460"/>
      <c r="AB15" s="454"/>
      <c r="AC15" s="456"/>
      <c r="AD15" s="460" t="str">
        <f>+IF(OR(AB15=1,AB15&lt;=5),"Moderado",IF(OR(AB15=6,AB15&lt;=11),"Mayor","Catastrófico"))</f>
        <v>Moderado</v>
      </c>
      <c r="AE15" s="456"/>
      <c r="AF15" s="458"/>
      <c r="AG15" s="153" t="s">
        <v>706</v>
      </c>
      <c r="AH15" s="128" t="str">
        <f t="shared" ref="AH15:AH16" si="23">+E15</f>
        <v>Presión de superiores para la modificación</v>
      </c>
      <c r="AI15" s="330" t="s">
        <v>123</v>
      </c>
      <c r="AJ15" s="239" t="s">
        <v>116</v>
      </c>
      <c r="AK15" s="251">
        <f t="shared" si="22"/>
        <v>15</v>
      </c>
      <c r="AL15" s="239" t="s">
        <v>116</v>
      </c>
      <c r="AM15" s="261">
        <f t="shared" ref="AM15" si="24">+IF(AL15="si",15,"")</f>
        <v>15</v>
      </c>
      <c r="AN15" s="151" t="s">
        <v>312</v>
      </c>
      <c r="AO15" s="292">
        <f t="shared" ref="AO15" si="25">+IF(AN15="si",15,"")</f>
        <v>15</v>
      </c>
      <c r="AP15" s="228" t="s">
        <v>123</v>
      </c>
      <c r="AQ15" s="288">
        <f t="shared" si="1"/>
        <v>10</v>
      </c>
      <c r="AR15" s="216" t="s">
        <v>116</v>
      </c>
      <c r="AS15" s="216" t="s">
        <v>116</v>
      </c>
      <c r="AT15" s="216" t="s">
        <v>116</v>
      </c>
      <c r="AU15" s="292">
        <f t="shared" ref="AU15" si="26">+IF(AT15="si",15,"")</f>
        <v>15</v>
      </c>
      <c r="AV15" s="299" t="s">
        <v>117</v>
      </c>
      <c r="AW15" s="290">
        <f t="shared" si="2"/>
        <v>10</v>
      </c>
      <c r="AX15" s="302">
        <f t="shared" si="15"/>
        <v>80</v>
      </c>
      <c r="AY15" s="302" t="str">
        <f t="shared" si="16"/>
        <v>Débil</v>
      </c>
      <c r="AZ15" s="131" t="s">
        <v>118</v>
      </c>
      <c r="BA15" s="304" t="str">
        <f t="shared" si="17"/>
        <v>Fuerte</v>
      </c>
      <c r="BB15" s="300" t="str">
        <f>IFERROR(VLOOKUP((CONCATENATE(AY15,BA15)),Listados!$U$3:$V$11,2,FALSE),"")</f>
        <v>Débil</v>
      </c>
      <c r="BC15" s="313">
        <f t="shared" si="18"/>
        <v>0</v>
      </c>
      <c r="BD15" s="313">
        <f>AVERAGE(BC15:BC16)</f>
        <v>0</v>
      </c>
      <c r="BE15" s="575"/>
      <c r="BF15" s="571"/>
      <c r="BG15" s="571"/>
      <c r="BH15" s="484"/>
      <c r="BI15" s="574"/>
      <c r="BJ15" s="484"/>
      <c r="BK15" s="584"/>
      <c r="BL15" s="493"/>
      <c r="BM15" s="452"/>
      <c r="BN15" s="580"/>
      <c r="BO15" s="580"/>
      <c r="BP15" s="452"/>
      <c r="BQ15" s="452"/>
      <c r="BR15" s="495"/>
      <c r="BS15" s="495"/>
      <c r="BT15" s="495"/>
      <c r="BU15" s="495"/>
      <c r="BV15" s="470"/>
      <c r="BW15" s="693"/>
    </row>
    <row r="16" spans="1:75" ht="77.25" thickBot="1">
      <c r="A16" s="534"/>
      <c r="B16" s="543"/>
      <c r="C16" s="525"/>
      <c r="D16" s="524"/>
      <c r="E16" s="68" t="s">
        <v>707</v>
      </c>
      <c r="F16" s="66" t="s">
        <v>16</v>
      </c>
      <c r="G16" s="444"/>
      <c r="H16" s="452"/>
      <c r="I16" s="462"/>
      <c r="J16" s="462"/>
      <c r="K16" s="462"/>
      <c r="L16" s="462"/>
      <c r="M16" s="462"/>
      <c r="N16" s="462"/>
      <c r="O16" s="462"/>
      <c r="P16" s="462"/>
      <c r="Q16" s="462"/>
      <c r="R16" s="462"/>
      <c r="S16" s="462"/>
      <c r="T16" s="462"/>
      <c r="U16" s="462"/>
      <c r="V16" s="462"/>
      <c r="W16" s="462"/>
      <c r="X16" s="462"/>
      <c r="Y16" s="462"/>
      <c r="Z16" s="462"/>
      <c r="AA16" s="507"/>
      <c r="AB16" s="509"/>
      <c r="AC16" s="510"/>
      <c r="AD16" s="507" t="str">
        <f>+IF(OR(AB16=1,AB16&lt;=5),"Moderado",IF(OR(AB16=6,AB16&lt;=11),"Mayor","Catastrófico"))</f>
        <v>Moderado</v>
      </c>
      <c r="AE16" s="510"/>
      <c r="AF16" s="521"/>
      <c r="AG16" s="234" t="s">
        <v>706</v>
      </c>
      <c r="AH16" s="53" t="str">
        <f t="shared" si="23"/>
        <v>Falencias en la revisión de informes</v>
      </c>
      <c r="AI16" s="330" t="s">
        <v>123</v>
      </c>
      <c r="AJ16" s="239" t="s">
        <v>116</v>
      </c>
      <c r="AK16" s="251">
        <f t="shared" si="22"/>
        <v>15</v>
      </c>
      <c r="AL16" s="239" t="s">
        <v>116</v>
      </c>
      <c r="AM16" s="254">
        <f t="shared" ref="AM16" si="27">+IF(AL16="si",15,"")</f>
        <v>15</v>
      </c>
      <c r="AN16" s="215" t="s">
        <v>312</v>
      </c>
      <c r="AO16" s="291">
        <f t="shared" ref="AO16" si="28">+IF(AN16="si",15,"")</f>
        <v>15</v>
      </c>
      <c r="AP16" s="228" t="s">
        <v>123</v>
      </c>
      <c r="AQ16" s="288">
        <f t="shared" si="1"/>
        <v>10</v>
      </c>
      <c r="AR16" s="216" t="s">
        <v>116</v>
      </c>
      <c r="AS16" s="216" t="s">
        <v>116</v>
      </c>
      <c r="AT16" s="216" t="s">
        <v>116</v>
      </c>
      <c r="AU16" s="291">
        <f t="shared" ref="AU16" si="29">+IF(AT16="si",15,"")</f>
        <v>15</v>
      </c>
      <c r="AV16" s="299" t="s">
        <v>117</v>
      </c>
      <c r="AW16" s="290">
        <f t="shared" si="2"/>
        <v>10</v>
      </c>
      <c r="AX16" s="303">
        <f t="shared" si="15"/>
        <v>80</v>
      </c>
      <c r="AY16" s="303" t="str">
        <f t="shared" si="16"/>
        <v>Débil</v>
      </c>
      <c r="AZ16" s="227" t="s">
        <v>118</v>
      </c>
      <c r="BA16" s="305" t="str">
        <f t="shared" si="17"/>
        <v>Fuerte</v>
      </c>
      <c r="BB16" s="297" t="str">
        <f>IFERROR(VLOOKUP((CONCATENATE(AY16,BA16)),Listados!$U$3:$V$11,2,FALSE),"")</f>
        <v>Débil</v>
      </c>
      <c r="BC16" s="313">
        <f t="shared" si="18"/>
        <v>0</v>
      </c>
      <c r="BD16" s="313">
        <f t="shared" si="21"/>
        <v>0</v>
      </c>
      <c r="BE16" s="518"/>
      <c r="BF16" s="516"/>
      <c r="BG16" s="516"/>
      <c r="BH16" s="485"/>
      <c r="BI16" s="573"/>
      <c r="BJ16" s="485"/>
      <c r="BK16" s="578"/>
      <c r="BL16" s="502"/>
      <c r="BM16" s="462"/>
      <c r="BN16" s="581"/>
      <c r="BO16" s="581"/>
      <c r="BP16" s="462"/>
      <c r="BQ16" s="462"/>
      <c r="BR16" s="491"/>
      <c r="BS16" s="491"/>
      <c r="BT16" s="491"/>
      <c r="BU16" s="491"/>
      <c r="BV16" s="492"/>
      <c r="BW16" s="691"/>
    </row>
    <row r="17" spans="1:75" ht="150.75" customHeight="1" thickBot="1">
      <c r="A17" s="532">
        <v>6</v>
      </c>
      <c r="B17" s="544" t="s">
        <v>68</v>
      </c>
      <c r="C17" s="522" t="s">
        <v>708</v>
      </c>
      <c r="D17" s="467" t="s">
        <v>709</v>
      </c>
      <c r="E17" s="229" t="s">
        <v>710</v>
      </c>
      <c r="F17" s="17" t="s">
        <v>16</v>
      </c>
      <c r="G17" s="448" t="s">
        <v>711</v>
      </c>
      <c r="H17" s="452" t="s">
        <v>116</v>
      </c>
      <c r="I17" s="451" t="s">
        <v>116</v>
      </c>
      <c r="J17" s="451" t="s">
        <v>120</v>
      </c>
      <c r="K17" s="451" t="s">
        <v>120</v>
      </c>
      <c r="L17" s="451" t="s">
        <v>116</v>
      </c>
      <c r="M17" s="451" t="s">
        <v>116</v>
      </c>
      <c r="N17" s="451" t="s">
        <v>120</v>
      </c>
      <c r="O17" s="451" t="s">
        <v>120</v>
      </c>
      <c r="P17" s="451" t="s">
        <v>116</v>
      </c>
      <c r="Q17" s="451" t="s">
        <v>116</v>
      </c>
      <c r="R17" s="451" t="s">
        <v>116</v>
      </c>
      <c r="S17" s="451" t="s">
        <v>116</v>
      </c>
      <c r="T17" s="451" t="s">
        <v>120</v>
      </c>
      <c r="U17" s="451" t="s">
        <v>116</v>
      </c>
      <c r="V17" s="451" t="s">
        <v>116</v>
      </c>
      <c r="W17" s="451" t="s">
        <v>120</v>
      </c>
      <c r="X17" s="451" t="s">
        <v>120</v>
      </c>
      <c r="Y17" s="451" t="s">
        <v>120</v>
      </c>
      <c r="Z17" s="451" t="s">
        <v>120</v>
      </c>
      <c r="AA17" s="459">
        <f>COUNTIF(H17:Z19, "SI")</f>
        <v>10</v>
      </c>
      <c r="AB17" s="453" t="s">
        <v>21</v>
      </c>
      <c r="AC17" s="455">
        <f>+VLOOKUP(AB17,Listados!$K$8:$L$12,2,0)</f>
        <v>1</v>
      </c>
      <c r="AD17" s="459" t="str">
        <f>+IF(OR(AA17=1,AA17&lt;=5),"Moderado",IF(OR(AA17=6,AA17&lt;=11),"Mayor","Catastrófico"))</f>
        <v>Mayor</v>
      </c>
      <c r="AE17" s="455">
        <f>+VLOOKUP(AD17,Listados!K13:L17,2,0)</f>
        <v>4</v>
      </c>
      <c r="AF17" s="457" t="str">
        <f>IF(AND(AB17&lt;&gt;"",AD17&lt;&gt;""),VLOOKUP(AB17&amp;AD17,Listados!$M$3:$N$27,2,FALSE),"")</f>
        <v>Alto</v>
      </c>
      <c r="AG17" s="230" t="s">
        <v>1411</v>
      </c>
      <c r="AH17" s="262" t="s">
        <v>710</v>
      </c>
      <c r="AI17" s="330" t="s">
        <v>123</v>
      </c>
      <c r="AJ17" s="239" t="s">
        <v>116</v>
      </c>
      <c r="AK17" s="251">
        <f t="shared" si="22"/>
        <v>15</v>
      </c>
      <c r="AL17" s="239" t="s">
        <v>116</v>
      </c>
      <c r="AM17" s="251">
        <f t="shared" ref="AM17:AM21" si="30">+IF(AL17="si",15,"")</f>
        <v>15</v>
      </c>
      <c r="AN17" s="216" t="s">
        <v>312</v>
      </c>
      <c r="AO17" s="290">
        <f t="shared" ref="AO17:AO21" si="31">+IF(AN17="si",15,"")</f>
        <v>15</v>
      </c>
      <c r="AP17" s="228" t="s">
        <v>20</v>
      </c>
      <c r="AQ17" s="288">
        <f t="shared" si="1"/>
        <v>15</v>
      </c>
      <c r="AR17" s="216" t="s">
        <v>116</v>
      </c>
      <c r="AS17" s="216" t="s">
        <v>116</v>
      </c>
      <c r="AT17" s="216" t="s">
        <v>116</v>
      </c>
      <c r="AU17" s="290">
        <f t="shared" ref="AU17:AU21" si="32">+IF(AT17="si",15,"")</f>
        <v>15</v>
      </c>
      <c r="AV17" s="299" t="s">
        <v>117</v>
      </c>
      <c r="AW17" s="290">
        <f t="shared" si="2"/>
        <v>10</v>
      </c>
      <c r="AX17" s="301">
        <f t="shared" si="15"/>
        <v>85</v>
      </c>
      <c r="AY17" s="301" t="str">
        <f t="shared" si="16"/>
        <v>Débil</v>
      </c>
      <c r="AZ17" s="224" t="s">
        <v>118</v>
      </c>
      <c r="BA17" s="298" t="str">
        <f t="shared" si="17"/>
        <v>Fuerte</v>
      </c>
      <c r="BB17" s="298" t="str">
        <f>IFERROR(VLOOKUP((CONCATENATE(AY17,BA17)),Listados!$U$3:$V$11,2,FALSE),"")</f>
        <v>Débil</v>
      </c>
      <c r="BC17" s="313">
        <f t="shared" si="18"/>
        <v>0</v>
      </c>
      <c r="BD17" s="313">
        <f t="shared" si="21"/>
        <v>0</v>
      </c>
      <c r="BE17" s="517" t="str">
        <f>IF(BD17&lt;=50, "Débil", IF(BD17&lt;=99,"Moderado","Fuerte"))</f>
        <v>Débil</v>
      </c>
      <c r="BF17" s="515">
        <f>+IF(BE17="Fuerte",2,IF(BE17="Moderado",1,0))</f>
        <v>0</v>
      </c>
      <c r="BG17" s="515">
        <f>+AC17-BF17</f>
        <v>1</v>
      </c>
      <c r="BH17" s="483" t="str">
        <f>+VLOOKUP(BG17,Listados!$J$18:$K$24,2,TRUE)</f>
        <v>Rara Vez</v>
      </c>
      <c r="BI17" s="572" t="str">
        <f>IF(ISBLANK(AD17),"",AD17)</f>
        <v>Mayor</v>
      </c>
      <c r="BJ17" s="483" t="str">
        <f>IF(AND(BH17&lt;&gt;"",BI17&lt;&gt;""),VLOOKUP(BH17&amp;BI17,Listados!$M$3:$N$27,2,FALSE),"")</f>
        <v>Alto</v>
      </c>
      <c r="BK17" s="577" t="str">
        <f>+VLOOKUP(BJ17,Listados!$P$3:$Q$6,2,FALSE)</f>
        <v>Reducir el riesgo</v>
      </c>
      <c r="BL17" s="252" t="s">
        <v>712</v>
      </c>
      <c r="BM17" s="61" t="s">
        <v>713</v>
      </c>
      <c r="BN17" s="256">
        <v>45292</v>
      </c>
      <c r="BO17" s="256">
        <v>45657</v>
      </c>
      <c r="BP17" s="61" t="s">
        <v>714</v>
      </c>
      <c r="BQ17" s="61" t="s">
        <v>715</v>
      </c>
      <c r="BR17" s="229" t="s">
        <v>716</v>
      </c>
      <c r="BS17" s="263" t="s">
        <v>1235</v>
      </c>
      <c r="BT17" s="355" t="s">
        <v>1386</v>
      </c>
      <c r="BU17" s="490" t="s">
        <v>1267</v>
      </c>
      <c r="BV17" s="469" t="s">
        <v>1278</v>
      </c>
      <c r="BW17" s="690" t="s">
        <v>1426</v>
      </c>
    </row>
    <row r="18" spans="1:75" ht="149.25" customHeight="1" thickBot="1">
      <c r="A18" s="533"/>
      <c r="B18" s="545"/>
      <c r="C18" s="446"/>
      <c r="D18" s="468"/>
      <c r="E18" s="193" t="s">
        <v>717</v>
      </c>
      <c r="F18" s="129" t="s">
        <v>16</v>
      </c>
      <c r="G18" s="443"/>
      <c r="H18" s="452"/>
      <c r="I18" s="452"/>
      <c r="J18" s="452"/>
      <c r="K18" s="452"/>
      <c r="L18" s="452"/>
      <c r="M18" s="452"/>
      <c r="N18" s="452"/>
      <c r="O18" s="452"/>
      <c r="P18" s="452"/>
      <c r="Q18" s="452"/>
      <c r="R18" s="452"/>
      <c r="S18" s="452"/>
      <c r="T18" s="452"/>
      <c r="U18" s="452"/>
      <c r="V18" s="452"/>
      <c r="W18" s="452"/>
      <c r="X18" s="452"/>
      <c r="Y18" s="452"/>
      <c r="Z18" s="452"/>
      <c r="AA18" s="460"/>
      <c r="AB18" s="454"/>
      <c r="AC18" s="456"/>
      <c r="AD18" s="460" t="str">
        <f>+IF(OR(AB18=1,AB18&lt;=5),"Moderado",IF(OR(AB18=6,AB18&lt;=11),"Mayor","Catastrófico"))</f>
        <v>Moderado</v>
      </c>
      <c r="AE18" s="456"/>
      <c r="AF18" s="458"/>
      <c r="AG18" s="145" t="s">
        <v>1412</v>
      </c>
      <c r="AH18" s="264" t="s">
        <v>718</v>
      </c>
      <c r="AI18" s="330" t="s">
        <v>123</v>
      </c>
      <c r="AJ18" s="239" t="s">
        <v>116</v>
      </c>
      <c r="AK18" s="251">
        <f t="shared" si="22"/>
        <v>15</v>
      </c>
      <c r="AL18" s="239" t="s">
        <v>116</v>
      </c>
      <c r="AM18" s="261">
        <f t="shared" si="30"/>
        <v>15</v>
      </c>
      <c r="AN18" s="151" t="s">
        <v>312</v>
      </c>
      <c r="AO18" s="292">
        <f t="shared" si="31"/>
        <v>15</v>
      </c>
      <c r="AP18" s="228" t="s">
        <v>123</v>
      </c>
      <c r="AQ18" s="288">
        <f t="shared" si="1"/>
        <v>10</v>
      </c>
      <c r="AR18" s="216" t="s">
        <v>116</v>
      </c>
      <c r="AS18" s="216" t="s">
        <v>116</v>
      </c>
      <c r="AT18" s="216" t="s">
        <v>116</v>
      </c>
      <c r="AU18" s="292">
        <f t="shared" si="32"/>
        <v>15</v>
      </c>
      <c r="AV18" s="299" t="s">
        <v>117</v>
      </c>
      <c r="AW18" s="290">
        <f t="shared" si="2"/>
        <v>10</v>
      </c>
      <c r="AX18" s="302">
        <f t="shared" si="15"/>
        <v>80</v>
      </c>
      <c r="AY18" s="302" t="str">
        <f t="shared" si="16"/>
        <v>Débil</v>
      </c>
      <c r="AZ18" s="131" t="s">
        <v>118</v>
      </c>
      <c r="BA18" s="304" t="str">
        <f t="shared" si="17"/>
        <v>Fuerte</v>
      </c>
      <c r="BB18" s="300" t="str">
        <f>IFERROR(VLOOKUP((CONCATENATE(AY18,BA18)),Listados!$U$3:$V$11,2,FALSE),"")</f>
        <v>Débil</v>
      </c>
      <c r="BC18" s="313">
        <f t="shared" si="18"/>
        <v>0</v>
      </c>
      <c r="BD18" s="313">
        <f t="shared" si="21"/>
        <v>0</v>
      </c>
      <c r="BE18" s="575"/>
      <c r="BF18" s="571"/>
      <c r="BG18" s="571"/>
      <c r="BH18" s="484"/>
      <c r="BI18" s="574"/>
      <c r="BJ18" s="484"/>
      <c r="BK18" s="584"/>
      <c r="BL18" s="354" t="s">
        <v>1268</v>
      </c>
      <c r="BM18" s="145" t="s">
        <v>713</v>
      </c>
      <c r="BN18" s="265">
        <v>45292</v>
      </c>
      <c r="BO18" s="265">
        <v>45657</v>
      </c>
      <c r="BP18" s="145" t="s">
        <v>714</v>
      </c>
      <c r="BQ18" s="145" t="s">
        <v>1236</v>
      </c>
      <c r="BR18" s="193" t="s">
        <v>719</v>
      </c>
      <c r="BS18" s="266" t="s">
        <v>1237</v>
      </c>
      <c r="BT18" s="356" t="s">
        <v>1387</v>
      </c>
      <c r="BU18" s="495"/>
      <c r="BV18" s="470"/>
      <c r="BW18" s="693"/>
    </row>
    <row r="19" spans="1:75" ht="142.5" customHeight="1" thickBot="1">
      <c r="A19" s="534"/>
      <c r="B19" s="543"/>
      <c r="C19" s="525"/>
      <c r="D19" s="524"/>
      <c r="E19" s="231" t="s">
        <v>720</v>
      </c>
      <c r="F19" s="66" t="s">
        <v>16</v>
      </c>
      <c r="G19" s="444"/>
      <c r="H19" s="462"/>
      <c r="I19" s="462"/>
      <c r="J19" s="462"/>
      <c r="K19" s="462"/>
      <c r="L19" s="462"/>
      <c r="M19" s="462"/>
      <c r="N19" s="462"/>
      <c r="O19" s="462"/>
      <c r="P19" s="462"/>
      <c r="Q19" s="462"/>
      <c r="R19" s="462"/>
      <c r="S19" s="462"/>
      <c r="T19" s="462"/>
      <c r="U19" s="462"/>
      <c r="V19" s="462"/>
      <c r="W19" s="462"/>
      <c r="X19" s="462"/>
      <c r="Y19" s="462"/>
      <c r="Z19" s="462"/>
      <c r="AA19" s="507"/>
      <c r="AB19" s="509"/>
      <c r="AC19" s="510"/>
      <c r="AD19" s="507" t="str">
        <f>+IF(OR(AB19=1,AB19&lt;=5),"Moderado",IF(OR(AB19=6,AB19&lt;=11),"Mayor","Catastrófico"))</f>
        <v>Moderado</v>
      </c>
      <c r="AE19" s="510"/>
      <c r="AF19" s="521"/>
      <c r="AG19" s="53" t="s">
        <v>1413</v>
      </c>
      <c r="AH19" s="267" t="s">
        <v>720</v>
      </c>
      <c r="AI19" s="330" t="s">
        <v>123</v>
      </c>
      <c r="AJ19" s="239" t="s">
        <v>116</v>
      </c>
      <c r="AK19" s="251">
        <f t="shared" si="22"/>
        <v>15</v>
      </c>
      <c r="AL19" s="239" t="s">
        <v>116</v>
      </c>
      <c r="AM19" s="254">
        <f t="shared" si="30"/>
        <v>15</v>
      </c>
      <c r="AN19" s="215" t="s">
        <v>312</v>
      </c>
      <c r="AO19" s="291">
        <f t="shared" si="31"/>
        <v>15</v>
      </c>
      <c r="AP19" s="228" t="s">
        <v>123</v>
      </c>
      <c r="AQ19" s="288">
        <f t="shared" si="1"/>
        <v>10</v>
      </c>
      <c r="AR19" s="216" t="s">
        <v>116</v>
      </c>
      <c r="AS19" s="216" t="s">
        <v>116</v>
      </c>
      <c r="AT19" s="216" t="s">
        <v>116</v>
      </c>
      <c r="AU19" s="291">
        <f t="shared" si="32"/>
        <v>15</v>
      </c>
      <c r="AV19" s="299" t="s">
        <v>117</v>
      </c>
      <c r="AW19" s="290">
        <f t="shared" si="2"/>
        <v>10</v>
      </c>
      <c r="AX19" s="303">
        <f t="shared" si="15"/>
        <v>80</v>
      </c>
      <c r="AY19" s="303" t="str">
        <f t="shared" si="16"/>
        <v>Débil</v>
      </c>
      <c r="AZ19" s="227" t="s">
        <v>118</v>
      </c>
      <c r="BA19" s="305" t="str">
        <f t="shared" si="17"/>
        <v>Fuerte</v>
      </c>
      <c r="BB19" s="297" t="str">
        <f>IFERROR(VLOOKUP((CONCATENATE(AY19,BA19)),Listados!$U$3:$V$11,2,FALSE),"")</f>
        <v>Débil</v>
      </c>
      <c r="BC19" s="313">
        <f t="shared" si="18"/>
        <v>0</v>
      </c>
      <c r="BD19" s="313">
        <f t="shared" si="21"/>
        <v>25</v>
      </c>
      <c r="BE19" s="518"/>
      <c r="BF19" s="516"/>
      <c r="BG19" s="516"/>
      <c r="BH19" s="485"/>
      <c r="BI19" s="573"/>
      <c r="BJ19" s="485"/>
      <c r="BK19" s="578"/>
      <c r="BL19" s="234" t="s">
        <v>1224</v>
      </c>
      <c r="BM19" s="68" t="s">
        <v>713</v>
      </c>
      <c r="BN19" s="258">
        <v>45292</v>
      </c>
      <c r="BO19" s="258">
        <v>45657</v>
      </c>
      <c r="BP19" s="68" t="s">
        <v>714</v>
      </c>
      <c r="BQ19" s="68" t="s">
        <v>1236</v>
      </c>
      <c r="BR19" s="231" t="s">
        <v>721</v>
      </c>
      <c r="BS19" s="268" t="s">
        <v>1237</v>
      </c>
      <c r="BT19" s="357" t="s">
        <v>1388</v>
      </c>
      <c r="BU19" s="491"/>
      <c r="BV19" s="492"/>
      <c r="BW19" s="691"/>
    </row>
    <row r="20" spans="1:75" ht="153.75" customHeight="1" thickBot="1">
      <c r="A20" s="532">
        <v>7</v>
      </c>
      <c r="B20" s="544" t="s">
        <v>68</v>
      </c>
      <c r="C20" s="522" t="s">
        <v>708</v>
      </c>
      <c r="D20" s="467" t="s">
        <v>722</v>
      </c>
      <c r="E20" s="100" t="s">
        <v>718</v>
      </c>
      <c r="F20" s="17" t="s">
        <v>16</v>
      </c>
      <c r="G20" s="448" t="s">
        <v>723</v>
      </c>
      <c r="H20" s="451" t="s">
        <v>116</v>
      </c>
      <c r="I20" s="451" t="s">
        <v>116</v>
      </c>
      <c r="J20" s="451" t="s">
        <v>116</v>
      </c>
      <c r="K20" s="451" t="s">
        <v>116</v>
      </c>
      <c r="L20" s="451" t="s">
        <v>116</v>
      </c>
      <c r="M20" s="451" t="s">
        <v>120</v>
      </c>
      <c r="N20" s="451" t="s">
        <v>116</v>
      </c>
      <c r="O20" s="451" t="s">
        <v>120</v>
      </c>
      <c r="P20" s="451" t="s">
        <v>116</v>
      </c>
      <c r="Q20" s="451" t="s">
        <v>116</v>
      </c>
      <c r="R20" s="451" t="s">
        <v>116</v>
      </c>
      <c r="S20" s="451" t="s">
        <v>116</v>
      </c>
      <c r="T20" s="451" t="s">
        <v>116</v>
      </c>
      <c r="U20" s="451" t="s">
        <v>116</v>
      </c>
      <c r="V20" s="451" t="s">
        <v>116</v>
      </c>
      <c r="W20" s="451" t="s">
        <v>120</v>
      </c>
      <c r="X20" s="451" t="s">
        <v>120</v>
      </c>
      <c r="Y20" s="451" t="s">
        <v>116</v>
      </c>
      <c r="Z20" s="451" t="s">
        <v>120</v>
      </c>
      <c r="AA20" s="459">
        <f>COUNTIF(H20:Z21, "SI")</f>
        <v>14</v>
      </c>
      <c r="AB20" s="453" t="s">
        <v>21</v>
      </c>
      <c r="AC20" s="455">
        <f>+VLOOKUP(AB20,Listados!$K$8:$L$12,2,0)</f>
        <v>1</v>
      </c>
      <c r="AD20" s="459" t="str">
        <f>+IF(OR(AA20=1,AA20&lt;=5),"Moderado",IF(OR(AA20=6,AA20&lt;=11),"Mayor","Catastrófico"))</f>
        <v>Catastrófico</v>
      </c>
      <c r="AE20" s="455">
        <f>+VLOOKUP(AD20,Listados!K13:L17,2,0)</f>
        <v>5</v>
      </c>
      <c r="AF20" s="457" t="str">
        <f>IF(AND(AB20&lt;&gt;"",AD20&lt;&gt;""),VLOOKUP(AB20&amp;AD20,Listados!$M$3:$N$27,2,FALSE),"")</f>
        <v>Extremo</v>
      </c>
      <c r="AG20" s="384" t="s">
        <v>1415</v>
      </c>
      <c r="AH20" s="269" t="s">
        <v>718</v>
      </c>
      <c r="AI20" s="330" t="s">
        <v>123</v>
      </c>
      <c r="AJ20" s="239" t="s">
        <v>116</v>
      </c>
      <c r="AK20" s="251">
        <f t="shared" si="22"/>
        <v>15</v>
      </c>
      <c r="AL20" s="239" t="s">
        <v>116</v>
      </c>
      <c r="AM20" s="251">
        <f t="shared" si="30"/>
        <v>15</v>
      </c>
      <c r="AN20" s="216" t="s">
        <v>312</v>
      </c>
      <c r="AO20" s="290">
        <f t="shared" si="31"/>
        <v>15</v>
      </c>
      <c r="AP20" s="228" t="s">
        <v>123</v>
      </c>
      <c r="AQ20" s="288">
        <f t="shared" si="1"/>
        <v>10</v>
      </c>
      <c r="AR20" s="216" t="s">
        <v>116</v>
      </c>
      <c r="AS20" s="251">
        <f t="shared" ref="AS20" si="33">+IF(AR20="si",15,"")</f>
        <v>15</v>
      </c>
      <c r="AT20" s="216" t="s">
        <v>312</v>
      </c>
      <c r="AU20" s="290">
        <f t="shared" si="32"/>
        <v>15</v>
      </c>
      <c r="AV20" s="299" t="s">
        <v>117</v>
      </c>
      <c r="AW20" s="290">
        <f t="shared" si="2"/>
        <v>10</v>
      </c>
      <c r="AX20" s="301">
        <f t="shared" si="15"/>
        <v>95</v>
      </c>
      <c r="AY20" s="301" t="str">
        <f t="shared" si="16"/>
        <v>Moderado</v>
      </c>
      <c r="AZ20" s="224" t="s">
        <v>118</v>
      </c>
      <c r="BA20" s="298" t="str">
        <f t="shared" si="17"/>
        <v>Fuerte</v>
      </c>
      <c r="BB20" s="298" t="str">
        <f>IFERROR(VLOOKUP((CONCATENATE(AY20,BA20)),Listados!$U$3:$V$11,2,FALSE),"")</f>
        <v>Moderado</v>
      </c>
      <c r="BC20" s="313">
        <f t="shared" si="18"/>
        <v>50</v>
      </c>
      <c r="BD20" s="313">
        <f t="shared" si="21"/>
        <v>25</v>
      </c>
      <c r="BE20" s="301" t="str">
        <f>IF(BD20&lt;=50, "Débil", IF(BD20&lt;=99,"Moderado","Fuerte"))</f>
        <v>Débil</v>
      </c>
      <c r="BF20" s="296">
        <f>+IF(BE20="Fuerte",2,IF(BE20="Moderado",1,0))</f>
        <v>0</v>
      </c>
      <c r="BG20" s="296">
        <f>+AC20-BF20</f>
        <v>1</v>
      </c>
      <c r="BH20" s="293" t="str">
        <f>+VLOOKUP(BG20,Listados!$J$18:$K$24,2,TRUE)</f>
        <v>Rara Vez</v>
      </c>
      <c r="BI20" s="308" t="str">
        <f>IF(ISBLANK(AD20),"",AD20)</f>
        <v>Catastrófico</v>
      </c>
      <c r="BJ20" s="483" t="str">
        <f>IF(AND(BH20&lt;&gt;"",BI20&lt;&gt;""),VLOOKUP(BH20&amp;BI20,Listados!$M$3:$N$27,2,FALSE),"")</f>
        <v>Extremo</v>
      </c>
      <c r="BK20" s="577" t="str">
        <f>+VLOOKUP(BJ20,Listados!$P$3:$Q$6,2,FALSE)</f>
        <v>Evitar el riesgo</v>
      </c>
      <c r="BL20" s="270" t="s">
        <v>1270</v>
      </c>
      <c r="BM20" s="461" t="s">
        <v>713</v>
      </c>
      <c r="BN20" s="589">
        <v>45292</v>
      </c>
      <c r="BO20" s="589">
        <v>45657</v>
      </c>
      <c r="BP20" s="461" t="s">
        <v>714</v>
      </c>
      <c r="BQ20" s="61" t="s">
        <v>1238</v>
      </c>
      <c r="BR20" s="100" t="s">
        <v>724</v>
      </c>
      <c r="BS20" s="100" t="s">
        <v>1239</v>
      </c>
      <c r="BT20" s="271" t="s">
        <v>1417</v>
      </c>
      <c r="BU20" s="490" t="s">
        <v>1269</v>
      </c>
      <c r="BV20" s="469" t="s">
        <v>1278</v>
      </c>
      <c r="BW20" s="690" t="s">
        <v>1426</v>
      </c>
    </row>
    <row r="21" spans="1:75" ht="164.25" customHeight="1" thickBot="1">
      <c r="A21" s="534"/>
      <c r="B21" s="543"/>
      <c r="C21" s="525"/>
      <c r="D21" s="524"/>
      <c r="E21" s="53" t="s">
        <v>725</v>
      </c>
      <c r="F21" s="66" t="s">
        <v>16</v>
      </c>
      <c r="G21" s="444"/>
      <c r="H21" s="462"/>
      <c r="I21" s="452"/>
      <c r="J21" s="452"/>
      <c r="K21" s="452"/>
      <c r="L21" s="452"/>
      <c r="M21" s="452"/>
      <c r="N21" s="452"/>
      <c r="O21" s="452"/>
      <c r="P21" s="452"/>
      <c r="Q21" s="452"/>
      <c r="R21" s="452"/>
      <c r="S21" s="452"/>
      <c r="T21" s="452"/>
      <c r="U21" s="452"/>
      <c r="V21" s="452"/>
      <c r="W21" s="452"/>
      <c r="X21" s="452"/>
      <c r="Y21" s="452"/>
      <c r="Z21" s="452"/>
      <c r="AA21" s="507"/>
      <c r="AB21" s="454"/>
      <c r="AC21" s="456"/>
      <c r="AD21" s="507" t="str">
        <f>+IF(OR(AB21=1,AB21&lt;=5),"Moderado",IF(OR(AB21=6,AB21&lt;=11),"Mayor","Catastrófico"))</f>
        <v>Moderado</v>
      </c>
      <c r="AE21" s="456"/>
      <c r="AF21" s="458"/>
      <c r="AG21" s="232" t="s">
        <v>1414</v>
      </c>
      <c r="AH21" s="272" t="s">
        <v>726</v>
      </c>
      <c r="AI21" s="330" t="s">
        <v>123</v>
      </c>
      <c r="AJ21" s="239" t="s">
        <v>116</v>
      </c>
      <c r="AK21" s="251">
        <f t="shared" si="22"/>
        <v>15</v>
      </c>
      <c r="AL21" s="239" t="s">
        <v>116</v>
      </c>
      <c r="AM21" s="254">
        <f t="shared" si="30"/>
        <v>15</v>
      </c>
      <c r="AN21" s="215" t="s">
        <v>312</v>
      </c>
      <c r="AO21" s="291">
        <f t="shared" si="31"/>
        <v>15</v>
      </c>
      <c r="AP21" s="228" t="s">
        <v>20</v>
      </c>
      <c r="AQ21" s="288">
        <f t="shared" si="1"/>
        <v>15</v>
      </c>
      <c r="AR21" s="216" t="s">
        <v>116</v>
      </c>
      <c r="AS21" s="216" t="s">
        <v>116</v>
      </c>
      <c r="AT21" s="216" t="s">
        <v>116</v>
      </c>
      <c r="AU21" s="291">
        <f t="shared" si="32"/>
        <v>15</v>
      </c>
      <c r="AV21" s="299" t="s">
        <v>117</v>
      </c>
      <c r="AW21" s="290">
        <f t="shared" si="2"/>
        <v>10</v>
      </c>
      <c r="AX21" s="303">
        <f t="shared" si="15"/>
        <v>85</v>
      </c>
      <c r="AY21" s="303" t="str">
        <f t="shared" si="16"/>
        <v>Débil</v>
      </c>
      <c r="AZ21" s="227" t="s">
        <v>118</v>
      </c>
      <c r="BA21" s="305" t="str">
        <f t="shared" si="17"/>
        <v>Fuerte</v>
      </c>
      <c r="BB21" s="297" t="str">
        <f>IFERROR(VLOOKUP((CONCATENATE(AY21,BA21)),Listados!$U$3:$V$11,2,FALSE),"")</f>
        <v>Débil</v>
      </c>
      <c r="BC21" s="313">
        <f t="shared" si="18"/>
        <v>0</v>
      </c>
      <c r="BD21" s="313">
        <f t="shared" si="21"/>
        <v>0</v>
      </c>
      <c r="BE21" s="303" t="str">
        <f>IF(BD21&lt;=50, "Débil", IF(BD21&lt;=99,"Moderado","Fuerte"))</f>
        <v>Débil</v>
      </c>
      <c r="BF21" s="305">
        <f>+IF(BE21="Fuerte",2,IF(BE21="Moderado",1,0))</f>
        <v>0</v>
      </c>
      <c r="BG21" s="305">
        <f>+AC21-BF21</f>
        <v>0</v>
      </c>
      <c r="BH21" s="299" t="str">
        <f>+VLOOKUP(BG21,Listados!$J$18:$K$24,2,TRUE)</f>
        <v>Rara Vez</v>
      </c>
      <c r="BI21" s="309" t="str">
        <f>IF(ISBLANK(AD21),"",AD21)</f>
        <v>Moderado</v>
      </c>
      <c r="BJ21" s="485"/>
      <c r="BK21" s="578"/>
      <c r="BL21" s="68" t="s">
        <v>1416</v>
      </c>
      <c r="BM21" s="508"/>
      <c r="BN21" s="590"/>
      <c r="BO21" s="590"/>
      <c r="BP21" s="508"/>
      <c r="BQ21" s="68" t="s">
        <v>727</v>
      </c>
      <c r="BR21" s="53" t="s">
        <v>728</v>
      </c>
      <c r="BS21" s="53" t="s">
        <v>1240</v>
      </c>
      <c r="BT21" s="358" t="s">
        <v>1418</v>
      </c>
      <c r="BU21" s="491"/>
      <c r="BV21" s="492"/>
      <c r="BW21" s="691"/>
    </row>
    <row r="22" spans="1:75" ht="143.25" customHeight="1" thickBot="1">
      <c r="A22" s="532">
        <v>8</v>
      </c>
      <c r="B22" s="535" t="s">
        <v>77</v>
      </c>
      <c r="C22" s="544" t="str">
        <f>IFERROR(VLOOKUP(B22,Listados!B$3:C$20,2,FALSE),"")</f>
        <v>Generar lineamientos, herramientas y acciones que propicien el acceso a la justicia a través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v>
      </c>
      <c r="D22" s="463" t="s">
        <v>1318</v>
      </c>
      <c r="E22" s="100" t="s">
        <v>729</v>
      </c>
      <c r="F22" s="17" t="s">
        <v>16</v>
      </c>
      <c r="G22" s="465" t="s">
        <v>1319</v>
      </c>
      <c r="H22" s="451" t="s">
        <v>116</v>
      </c>
      <c r="I22" s="451" t="s">
        <v>116</v>
      </c>
      <c r="J22" s="451" t="s">
        <v>116</v>
      </c>
      <c r="K22" s="451" t="s">
        <v>120</v>
      </c>
      <c r="L22" s="451" t="s">
        <v>116</v>
      </c>
      <c r="M22" s="451" t="s">
        <v>120</v>
      </c>
      <c r="N22" s="451" t="s">
        <v>120</v>
      </c>
      <c r="O22" s="451" t="s">
        <v>120</v>
      </c>
      <c r="P22" s="451" t="s">
        <v>116</v>
      </c>
      <c r="Q22" s="451" t="s">
        <v>116</v>
      </c>
      <c r="R22" s="451" t="s">
        <v>116</v>
      </c>
      <c r="S22" s="451" t="s">
        <v>116</v>
      </c>
      <c r="T22" s="451" t="s">
        <v>120</v>
      </c>
      <c r="U22" s="451" t="s">
        <v>120</v>
      </c>
      <c r="V22" s="451" t="s">
        <v>120</v>
      </c>
      <c r="W22" s="451" t="s">
        <v>120</v>
      </c>
      <c r="X22" s="451" t="s">
        <v>120</v>
      </c>
      <c r="Y22" s="451" t="s">
        <v>120</v>
      </c>
      <c r="Z22" s="451" t="s">
        <v>120</v>
      </c>
      <c r="AA22" s="455">
        <f>COUNTIF(H22:Z24, "SI")</f>
        <v>8</v>
      </c>
      <c r="AB22" s="453" t="s">
        <v>21</v>
      </c>
      <c r="AC22" s="455">
        <f>+VLOOKUP(AB22,Listados!$K$8:$L$12,2,0)</f>
        <v>1</v>
      </c>
      <c r="AD22" s="455" t="str">
        <f>+IF(OR(AA22=1,AA22&lt;=5),"Moderado",IF(OR(AA22=6,AA22&lt;=11),"Mayor","Catastrófico"))</f>
        <v>Mayor</v>
      </c>
      <c r="AE22" s="455">
        <f>+VLOOKUP(AD22,Listados!K13:L17,2,0)</f>
        <v>4</v>
      </c>
      <c r="AF22" s="457" t="str">
        <f>IF(AND(AB22&lt;&gt;"",AD22&lt;&gt;""),VLOOKUP(AB22&amp;AD22,Listados!$M$3:$N$27,2,FALSE),"")</f>
        <v>Alto</v>
      </c>
      <c r="AG22" s="229" t="s">
        <v>1320</v>
      </c>
      <c r="AH22" s="100" t="s">
        <v>1323</v>
      </c>
      <c r="AI22" s="330" t="s">
        <v>20</v>
      </c>
      <c r="AJ22" s="239" t="s">
        <v>116</v>
      </c>
      <c r="AK22" s="251">
        <f t="shared" si="22"/>
        <v>15</v>
      </c>
      <c r="AL22" s="239" t="s">
        <v>116</v>
      </c>
      <c r="AM22" s="251">
        <f>+IF(AL22="si",15,"")</f>
        <v>15</v>
      </c>
      <c r="AN22" s="216" t="s">
        <v>312</v>
      </c>
      <c r="AO22" s="290">
        <f>+IF(AN22="si",15,"")</f>
        <v>15</v>
      </c>
      <c r="AP22" s="228" t="s">
        <v>20</v>
      </c>
      <c r="AQ22" s="288">
        <f t="shared" si="1"/>
        <v>15</v>
      </c>
      <c r="AR22" s="216" t="s">
        <v>116</v>
      </c>
      <c r="AS22" s="216" t="s">
        <v>116</v>
      </c>
      <c r="AT22" s="216" t="s">
        <v>116</v>
      </c>
      <c r="AU22" s="290">
        <f t="shared" ref="AU22:AU27" si="34">+IF(AT22="si",15,"")</f>
        <v>15</v>
      </c>
      <c r="AV22" s="299" t="s">
        <v>117</v>
      </c>
      <c r="AW22" s="290">
        <f t="shared" si="2"/>
        <v>10</v>
      </c>
      <c r="AX22" s="301">
        <f t="shared" si="15"/>
        <v>85</v>
      </c>
      <c r="AY22" s="301" t="str">
        <f t="shared" si="16"/>
        <v>Débil</v>
      </c>
      <c r="AZ22" s="224" t="s">
        <v>118</v>
      </c>
      <c r="BA22" s="298" t="str">
        <f t="shared" si="17"/>
        <v>Fuerte</v>
      </c>
      <c r="BB22" s="298" t="str">
        <f>IFERROR(VLOOKUP((CONCATENATE(AY22,BA22)),Listados!$U$3:$V$11,2,FALSE),"")</f>
        <v>Débil</v>
      </c>
      <c r="BC22" s="313">
        <f t="shared" si="18"/>
        <v>0</v>
      </c>
      <c r="BD22" s="313">
        <f t="shared" si="21"/>
        <v>0</v>
      </c>
      <c r="BE22" s="511" t="str">
        <f>IF(BD22&lt;=50, "Débil", IF(BD22&lt;=99,"Moderado","Fuerte"))</f>
        <v>Débil</v>
      </c>
      <c r="BF22" s="515">
        <f>+IF(BE22="Fuerte",2,IF(BE22="Moderado",1,0))</f>
        <v>0</v>
      </c>
      <c r="BG22" s="515">
        <f>+AC22-BF22</f>
        <v>1</v>
      </c>
      <c r="BH22" s="483" t="str">
        <f>+VLOOKUP(BG22,Listados!$J$18:$K$24,2,TRUE)</f>
        <v>Rara Vez</v>
      </c>
      <c r="BI22" s="483" t="str">
        <f>IF(ISBLANK(AD22),"",AD22)</f>
        <v>Mayor</v>
      </c>
      <c r="BJ22" s="483" t="str">
        <f>IF(AND(BH22&lt;&gt;"",BI22&lt;&gt;""),VLOOKUP(BH22&amp;BI22,Listados!$M$3:$N$27,2,FALSE),"")</f>
        <v>Alto</v>
      </c>
      <c r="BK22" s="483" t="str">
        <f>+VLOOKUP(BJ22,Listados!$P$3:$Q$6,2,FALSE)</f>
        <v>Reducir el riesgo</v>
      </c>
      <c r="BL22" s="221" t="s">
        <v>1324</v>
      </c>
      <c r="BM22" s="451" t="s">
        <v>730</v>
      </c>
      <c r="BN22" s="579">
        <v>45292</v>
      </c>
      <c r="BO22" s="579">
        <v>45657</v>
      </c>
      <c r="BP22" s="451" t="s">
        <v>731</v>
      </c>
      <c r="BQ22" s="451" t="s">
        <v>1327</v>
      </c>
      <c r="BR22" s="229" t="s">
        <v>732</v>
      </c>
      <c r="BS22" s="229" t="s">
        <v>1259</v>
      </c>
      <c r="BT22" s="229" t="s">
        <v>1328</v>
      </c>
      <c r="BU22" s="481" t="s">
        <v>1271</v>
      </c>
      <c r="BV22" s="501" t="s">
        <v>1279</v>
      </c>
      <c r="BW22" s="690" t="s">
        <v>1426</v>
      </c>
    </row>
    <row r="23" spans="1:75" ht="141" customHeight="1" thickBot="1">
      <c r="A23" s="533"/>
      <c r="B23" s="536"/>
      <c r="C23" s="545"/>
      <c r="D23" s="464"/>
      <c r="E23" s="128" t="s">
        <v>733</v>
      </c>
      <c r="F23" s="129" t="s">
        <v>16</v>
      </c>
      <c r="G23" s="466"/>
      <c r="H23" s="452"/>
      <c r="I23" s="452"/>
      <c r="J23" s="452"/>
      <c r="K23" s="452"/>
      <c r="L23" s="452"/>
      <c r="M23" s="452"/>
      <c r="N23" s="452"/>
      <c r="O23" s="452"/>
      <c r="P23" s="452"/>
      <c r="Q23" s="452"/>
      <c r="R23" s="452"/>
      <c r="S23" s="452"/>
      <c r="T23" s="452"/>
      <c r="U23" s="452"/>
      <c r="V23" s="452"/>
      <c r="W23" s="452"/>
      <c r="X23" s="452"/>
      <c r="Y23" s="452"/>
      <c r="Z23" s="452"/>
      <c r="AA23" s="456"/>
      <c r="AB23" s="454"/>
      <c r="AC23" s="456"/>
      <c r="AD23" s="456"/>
      <c r="AE23" s="456"/>
      <c r="AF23" s="458"/>
      <c r="AG23" s="193" t="s">
        <v>1321</v>
      </c>
      <c r="AH23" s="128" t="s">
        <v>733</v>
      </c>
      <c r="AI23" s="330" t="s">
        <v>20</v>
      </c>
      <c r="AJ23" s="239" t="s">
        <v>116</v>
      </c>
      <c r="AK23" s="251">
        <f t="shared" si="22"/>
        <v>15</v>
      </c>
      <c r="AL23" s="239" t="s">
        <v>116</v>
      </c>
      <c r="AM23" s="261">
        <f>+IF(AL23="si",15,"")</f>
        <v>15</v>
      </c>
      <c r="AN23" s="151" t="s">
        <v>312</v>
      </c>
      <c r="AO23" s="292">
        <f>+IF(AN23="si",15,"")</f>
        <v>15</v>
      </c>
      <c r="AP23" s="228" t="s">
        <v>20</v>
      </c>
      <c r="AQ23" s="288">
        <f t="shared" si="1"/>
        <v>15</v>
      </c>
      <c r="AR23" s="216" t="s">
        <v>116</v>
      </c>
      <c r="AS23" s="216" t="s">
        <v>116</v>
      </c>
      <c r="AT23" s="216" t="s">
        <v>116</v>
      </c>
      <c r="AU23" s="290">
        <f t="shared" si="34"/>
        <v>15</v>
      </c>
      <c r="AV23" s="299" t="s">
        <v>117</v>
      </c>
      <c r="AW23" s="292">
        <f t="shared" ref="AW23:AW48" si="35">+IF(AV23="Completa",10,IF(AV23="Incompleta",5,""))</f>
        <v>10</v>
      </c>
      <c r="AX23" s="302">
        <f t="shared" si="15"/>
        <v>85</v>
      </c>
      <c r="AY23" s="302" t="str">
        <f t="shared" si="16"/>
        <v>Débil</v>
      </c>
      <c r="AZ23" s="131" t="s">
        <v>118</v>
      </c>
      <c r="BA23" s="304" t="str">
        <f t="shared" si="17"/>
        <v>Fuerte</v>
      </c>
      <c r="BB23" s="300" t="str">
        <f>IFERROR(VLOOKUP((CONCATENATE(AY23,BA23)),Listados!$U$3:$V$11,2,FALSE),"")</f>
        <v>Débil</v>
      </c>
      <c r="BC23" s="313">
        <f t="shared" si="18"/>
        <v>0</v>
      </c>
      <c r="BD23" s="313">
        <f t="shared" si="21"/>
        <v>0</v>
      </c>
      <c r="BE23" s="576"/>
      <c r="BF23" s="571"/>
      <c r="BG23" s="571"/>
      <c r="BH23" s="484"/>
      <c r="BI23" s="484"/>
      <c r="BJ23" s="484"/>
      <c r="BK23" s="484"/>
      <c r="BL23" s="217" t="s">
        <v>1325</v>
      </c>
      <c r="BM23" s="452"/>
      <c r="BN23" s="580"/>
      <c r="BO23" s="580"/>
      <c r="BP23" s="452"/>
      <c r="BQ23" s="452"/>
      <c r="BR23" s="193" t="s">
        <v>734</v>
      </c>
      <c r="BS23" s="193" t="s">
        <v>1259</v>
      </c>
      <c r="BT23" s="193" t="s">
        <v>1329</v>
      </c>
      <c r="BU23" s="482"/>
      <c r="BV23" s="480"/>
      <c r="BW23" s="693"/>
    </row>
    <row r="24" spans="1:75" ht="168.75" customHeight="1" thickBot="1">
      <c r="A24" s="533"/>
      <c r="B24" s="536"/>
      <c r="C24" s="545"/>
      <c r="D24" s="464"/>
      <c r="E24" s="341" t="s">
        <v>735</v>
      </c>
      <c r="F24" s="129" t="s">
        <v>16</v>
      </c>
      <c r="G24" s="466"/>
      <c r="H24" s="452"/>
      <c r="I24" s="452"/>
      <c r="J24" s="452"/>
      <c r="K24" s="452"/>
      <c r="L24" s="452"/>
      <c r="M24" s="452"/>
      <c r="N24" s="452"/>
      <c r="O24" s="452"/>
      <c r="P24" s="452"/>
      <c r="Q24" s="452"/>
      <c r="R24" s="452"/>
      <c r="S24" s="452"/>
      <c r="T24" s="452"/>
      <c r="U24" s="452"/>
      <c r="V24" s="452"/>
      <c r="W24" s="452"/>
      <c r="X24" s="452"/>
      <c r="Y24" s="452"/>
      <c r="Z24" s="452"/>
      <c r="AA24" s="456"/>
      <c r="AB24" s="454"/>
      <c r="AC24" s="456"/>
      <c r="AD24" s="456"/>
      <c r="AE24" s="456"/>
      <c r="AF24" s="458"/>
      <c r="AG24" s="193" t="s">
        <v>1322</v>
      </c>
      <c r="AH24" s="128" t="s">
        <v>1261</v>
      </c>
      <c r="AI24" s="330" t="s">
        <v>20</v>
      </c>
      <c r="AJ24" s="239" t="s">
        <v>116</v>
      </c>
      <c r="AK24" s="251">
        <f t="shared" si="22"/>
        <v>15</v>
      </c>
      <c r="AL24" s="239" t="s">
        <v>116</v>
      </c>
      <c r="AM24" s="261">
        <f>+IF(AL24="si",15,"")</f>
        <v>15</v>
      </c>
      <c r="AN24" s="151" t="s">
        <v>312</v>
      </c>
      <c r="AO24" s="292">
        <f>+IF(AN24="si",15,"")</f>
        <v>15</v>
      </c>
      <c r="AP24" s="228" t="s">
        <v>20</v>
      </c>
      <c r="AQ24" s="288">
        <f t="shared" si="1"/>
        <v>15</v>
      </c>
      <c r="AR24" s="216" t="s">
        <v>116</v>
      </c>
      <c r="AS24" s="216" t="s">
        <v>116</v>
      </c>
      <c r="AT24" s="216" t="s">
        <v>116</v>
      </c>
      <c r="AU24" s="290">
        <f t="shared" si="34"/>
        <v>15</v>
      </c>
      <c r="AV24" s="299" t="s">
        <v>117</v>
      </c>
      <c r="AW24" s="292">
        <f t="shared" si="35"/>
        <v>10</v>
      </c>
      <c r="AX24" s="302">
        <f t="shared" si="15"/>
        <v>85</v>
      </c>
      <c r="AY24" s="302" t="str">
        <f t="shared" si="16"/>
        <v>Débil</v>
      </c>
      <c r="AZ24" s="131" t="s">
        <v>118</v>
      </c>
      <c r="BA24" s="304" t="str">
        <f t="shared" si="17"/>
        <v>Fuerte</v>
      </c>
      <c r="BB24" s="300" t="str">
        <f>IFERROR(VLOOKUP((CONCATENATE(AY24,BA24)),Listados!$U$3:$V$11,2,FALSE),"")</f>
        <v>Débil</v>
      </c>
      <c r="BC24" s="313">
        <f t="shared" si="18"/>
        <v>0</v>
      </c>
      <c r="BD24" s="313">
        <f>AVERAGE(BC24:BC24)</f>
        <v>0</v>
      </c>
      <c r="BE24" s="576"/>
      <c r="BF24" s="571"/>
      <c r="BG24" s="571"/>
      <c r="BH24" s="484"/>
      <c r="BI24" s="484"/>
      <c r="BJ24" s="484"/>
      <c r="BK24" s="484"/>
      <c r="BL24" s="217" t="s">
        <v>1326</v>
      </c>
      <c r="BM24" s="452"/>
      <c r="BN24" s="580"/>
      <c r="BO24" s="580"/>
      <c r="BP24" s="452"/>
      <c r="BQ24" s="452"/>
      <c r="BR24" s="193" t="s">
        <v>736</v>
      </c>
      <c r="BS24" s="193" t="s">
        <v>1260</v>
      </c>
      <c r="BT24" s="193" t="s">
        <v>1330</v>
      </c>
      <c r="BU24" s="482"/>
      <c r="BV24" s="480"/>
      <c r="BW24" s="691"/>
    </row>
    <row r="25" spans="1:75" ht="72.75" customHeight="1" thickBot="1">
      <c r="A25" s="532">
        <v>9</v>
      </c>
      <c r="B25" s="535" t="s">
        <v>83</v>
      </c>
      <c r="C25" s="451" t="str">
        <f>IFERROR(VLOOKUP(B25,Listados!B$3:C$20,2,FALSE),"")</f>
        <v>Fijar los lineamientos, parámetros y actividades requeridas para garantizar la gestión de los servicios administrativos, logísticos y la administración de los bienes necesario para la operación del Ministerio de Justicia y del Derecho.</v>
      </c>
      <c r="D25" s="471" t="s">
        <v>737</v>
      </c>
      <c r="E25" s="477" t="s">
        <v>1403</v>
      </c>
      <c r="F25" s="17" t="s">
        <v>16</v>
      </c>
      <c r="G25" s="474" t="s">
        <v>1401</v>
      </c>
      <c r="H25" s="451" t="s">
        <v>116</v>
      </c>
      <c r="I25" s="451" t="s">
        <v>116</v>
      </c>
      <c r="J25" s="451" t="s">
        <v>116</v>
      </c>
      <c r="K25" s="451" t="s">
        <v>120</v>
      </c>
      <c r="L25" s="451" t="s">
        <v>116</v>
      </c>
      <c r="M25" s="451" t="s">
        <v>120</v>
      </c>
      <c r="N25" s="451" t="s">
        <v>116</v>
      </c>
      <c r="O25" s="451" t="s">
        <v>120</v>
      </c>
      <c r="P25" s="451" t="s">
        <v>120</v>
      </c>
      <c r="Q25" s="451" t="s">
        <v>116</v>
      </c>
      <c r="R25" s="451" t="s">
        <v>116</v>
      </c>
      <c r="S25" s="451" t="s">
        <v>116</v>
      </c>
      <c r="T25" s="451" t="s">
        <v>120</v>
      </c>
      <c r="U25" s="451" t="s">
        <v>120</v>
      </c>
      <c r="V25" s="451" t="s">
        <v>120</v>
      </c>
      <c r="W25" s="451" t="s">
        <v>120</v>
      </c>
      <c r="X25" s="451" t="s">
        <v>120</v>
      </c>
      <c r="Y25" s="451" t="s">
        <v>120</v>
      </c>
      <c r="Z25" s="451" t="s">
        <v>120</v>
      </c>
      <c r="AA25" s="455">
        <f>COUNTIF(H25:Z26, "SI")</f>
        <v>8</v>
      </c>
      <c r="AB25" s="373" t="s">
        <v>21</v>
      </c>
      <c r="AC25" s="374">
        <f>+VLOOKUP(AB25,Listados!$K$8:$L$12,2,0)</f>
        <v>1</v>
      </c>
      <c r="AD25" s="371" t="str">
        <f>+IF(OR(AA25=1,AA25&lt;=5),"Moderado",IF(OR(AA25=6,AA25&lt;=11),"Mayor","Catastrófico"))</f>
        <v>Mayor</v>
      </c>
      <c r="AE25" s="374">
        <f>+VLOOKUP(AD25,Listados!K13:L17,2,0)</f>
        <v>4</v>
      </c>
      <c r="AF25" s="375" t="str">
        <f>IF(AND(AB25&lt;&gt;"",AD25&lt;&gt;""),VLOOKUP(AB25&amp;AD25,Listados!$M$3:$N$27,2,FALSE),"")</f>
        <v>Alto</v>
      </c>
      <c r="AG25" s="481" t="s">
        <v>1402</v>
      </c>
      <c r="AH25" s="477" t="s">
        <v>1400</v>
      </c>
      <c r="AI25" s="451" t="s">
        <v>20</v>
      </c>
      <c r="AJ25" s="376" t="s">
        <v>116</v>
      </c>
      <c r="AK25" s="251">
        <f t="shared" si="22"/>
        <v>15</v>
      </c>
      <c r="AL25" s="376" t="s">
        <v>116</v>
      </c>
      <c r="AM25" s="373" t="s">
        <v>116</v>
      </c>
      <c r="AN25" s="373" t="s">
        <v>116</v>
      </c>
      <c r="AO25" s="377" t="s">
        <v>116</v>
      </c>
      <c r="AP25" s="373" t="s">
        <v>20</v>
      </c>
      <c r="AQ25" s="377" t="s">
        <v>116</v>
      </c>
      <c r="AR25" s="216" t="s">
        <v>116</v>
      </c>
      <c r="AS25" s="373" t="s">
        <v>116</v>
      </c>
      <c r="AT25" s="216" t="s">
        <v>116</v>
      </c>
      <c r="AU25" s="291">
        <f t="shared" si="34"/>
        <v>15</v>
      </c>
      <c r="AV25" s="299" t="s">
        <v>117</v>
      </c>
      <c r="AW25" s="291">
        <f t="shared" si="35"/>
        <v>10</v>
      </c>
      <c r="AX25" s="374">
        <v>85</v>
      </c>
      <c r="AY25" s="378" t="s">
        <v>48</v>
      </c>
      <c r="AZ25" s="379" t="s">
        <v>118</v>
      </c>
      <c r="BA25" s="380" t="s">
        <v>25</v>
      </c>
      <c r="BB25" s="380" t="s">
        <v>48</v>
      </c>
      <c r="BC25" s="313">
        <f t="shared" si="18"/>
        <v>0</v>
      </c>
      <c r="BD25" s="313">
        <f t="shared" si="21"/>
        <v>0</v>
      </c>
      <c r="BE25" s="378" t="str">
        <f>IF(BD25&lt;=50, "Débil", IF(BD25&lt;=99,"Moderado","Fuerte"))</f>
        <v>Débil</v>
      </c>
      <c r="BF25" s="380">
        <f>+IF(BE25="Fuerte",2,IF(BE25="Moderado",1,0))</f>
        <v>0</v>
      </c>
      <c r="BG25" s="381">
        <f>+AC25-BF25</f>
        <v>1</v>
      </c>
      <c r="BH25" s="308" t="str">
        <f>+VLOOKUP(BG25,Listados!$J$18:$K$24,2,TRUE)</f>
        <v>Rara Vez</v>
      </c>
      <c r="BI25" s="308" t="str">
        <f>IF(ISBLANK(AD25),"",AD25)</f>
        <v>Mayor</v>
      </c>
      <c r="BJ25" s="308" t="str">
        <f>IF(AND(BH25&lt;&gt;"",BI25&lt;&gt;""),VLOOKUP(BH25&amp;BI25,Listados!$M$3:$N$27,2,FALSE),"")</f>
        <v>Alto</v>
      </c>
      <c r="BK25" s="382" t="str">
        <f>+VLOOKUP(BJ25,Listados!$P$3:$Q$6,2,FALSE)</f>
        <v>Reducir el riesgo</v>
      </c>
      <c r="BL25" s="481" t="s">
        <v>1406</v>
      </c>
      <c r="BM25" s="477" t="s">
        <v>701</v>
      </c>
      <c r="BN25" s="383">
        <v>45292</v>
      </c>
      <c r="BO25" s="383">
        <v>45657</v>
      </c>
      <c r="BP25" s="338" t="s">
        <v>1408</v>
      </c>
      <c r="BQ25" s="477" t="s">
        <v>1409</v>
      </c>
      <c r="BR25" s="490" t="s">
        <v>739</v>
      </c>
      <c r="BS25" s="499" t="s">
        <v>1256</v>
      </c>
      <c r="BT25" s="490" t="s">
        <v>1256</v>
      </c>
      <c r="BU25" s="481" t="s">
        <v>1272</v>
      </c>
      <c r="BV25" s="479" t="s">
        <v>1280</v>
      </c>
      <c r="BW25" s="690" t="s">
        <v>1427</v>
      </c>
    </row>
    <row r="26" spans="1:75" ht="132" customHeight="1" thickBot="1">
      <c r="A26" s="533"/>
      <c r="B26" s="536"/>
      <c r="C26" s="452"/>
      <c r="D26" s="472"/>
      <c r="E26" s="486"/>
      <c r="F26" s="66" t="s">
        <v>16</v>
      </c>
      <c r="G26" s="475"/>
      <c r="H26" s="452"/>
      <c r="I26" s="452"/>
      <c r="J26" s="452"/>
      <c r="K26" s="452"/>
      <c r="L26" s="452"/>
      <c r="M26" s="452"/>
      <c r="N26" s="452"/>
      <c r="O26" s="452"/>
      <c r="P26" s="452"/>
      <c r="Q26" s="452"/>
      <c r="R26" s="452"/>
      <c r="S26" s="452"/>
      <c r="T26" s="452"/>
      <c r="U26" s="452"/>
      <c r="V26" s="452"/>
      <c r="W26" s="452"/>
      <c r="X26" s="452"/>
      <c r="Y26" s="452"/>
      <c r="Z26" s="452"/>
      <c r="AA26" s="456"/>
      <c r="AB26" s="373" t="s">
        <v>21</v>
      </c>
      <c r="AC26" s="374">
        <f>+VLOOKUP(AB26,Listados!$K$8:$L$12,2,0)</f>
        <v>1</v>
      </c>
      <c r="AD26" s="372" t="str">
        <f>+IF(OR(AB26=1,AB26&lt;=5),"Moderado",IF(OR(AB26=6,AB26&lt;=11),"Mayor","Catastrófico"))</f>
        <v>Catastrófico</v>
      </c>
      <c r="AE26" s="374">
        <f>+VLOOKUP(AD26,Listados!K14:L18,2,0)</f>
        <v>5</v>
      </c>
      <c r="AF26" s="375" t="str">
        <f>IF(AND(AB26&lt;&gt;"",AD26&lt;&gt;""),VLOOKUP(AB26&amp;AD26,Listados!$M$3:$N$27,2,FALSE),"")</f>
        <v>Extremo</v>
      </c>
      <c r="AG26" s="498"/>
      <c r="AH26" s="486"/>
      <c r="AI26" s="462"/>
      <c r="AJ26" s="376" t="s">
        <v>116</v>
      </c>
      <c r="AK26" s="251">
        <f t="shared" si="22"/>
        <v>15</v>
      </c>
      <c r="AL26" s="376" t="s">
        <v>116</v>
      </c>
      <c r="AM26" s="373" t="s">
        <v>116</v>
      </c>
      <c r="AN26" s="373" t="s">
        <v>116</v>
      </c>
      <c r="AO26" s="377" t="s">
        <v>116</v>
      </c>
      <c r="AP26" s="373" t="s">
        <v>20</v>
      </c>
      <c r="AQ26" s="377" t="s">
        <v>116</v>
      </c>
      <c r="AR26" s="216" t="s">
        <v>116</v>
      </c>
      <c r="AS26" s="373" t="s">
        <v>116</v>
      </c>
      <c r="AT26" s="216" t="s">
        <v>116</v>
      </c>
      <c r="AU26" s="291">
        <f t="shared" si="34"/>
        <v>15</v>
      </c>
      <c r="AV26" s="299" t="s">
        <v>117</v>
      </c>
      <c r="AW26" s="291">
        <f>+IF(AV26="Completa",10,IF(AV26="Incompleta",5,""))</f>
        <v>10</v>
      </c>
      <c r="AX26" s="374">
        <v>85</v>
      </c>
      <c r="AY26" s="378" t="s">
        <v>48</v>
      </c>
      <c r="AZ26" s="379" t="s">
        <v>118</v>
      </c>
      <c r="BA26" s="380" t="s">
        <v>25</v>
      </c>
      <c r="BB26" s="380" t="s">
        <v>48</v>
      </c>
      <c r="BC26" s="313">
        <f t="shared" si="18"/>
        <v>0</v>
      </c>
      <c r="BD26" s="313">
        <f>AVERAGE(BC26:BC28)</f>
        <v>0</v>
      </c>
      <c r="BE26" s="378" t="str">
        <f t="shared" ref="BE26:BE27" si="36">IF(BD26&lt;=50, "Débil", IF(BD26&lt;=99,"Moderado","Fuerte"))</f>
        <v>Débil</v>
      </c>
      <c r="BF26" s="380">
        <f t="shared" ref="BF26:BF27" si="37">+IF(BE26="Fuerte",2,IF(BE26="Moderado",1,0))</f>
        <v>0</v>
      </c>
      <c r="BG26" s="381">
        <f t="shared" ref="BG26:BG27" si="38">+AC26-BF26</f>
        <v>1</v>
      </c>
      <c r="BH26" s="308" t="str">
        <f>+VLOOKUP(BG26,Listados!$J$18:$K$24,2,TRUE)</f>
        <v>Rara Vez</v>
      </c>
      <c r="BI26" s="308" t="str">
        <f t="shared" ref="BI26:BI27" si="39">IF(ISBLANK(AD26),"",AD26)</f>
        <v>Catastrófico</v>
      </c>
      <c r="BJ26" s="308" t="str">
        <f>IF(AND(BH26&lt;&gt;"",BI26&lt;&gt;""),VLOOKUP(BH26&amp;BI26,Listados!$M$3:$N$27,2,FALSE),"")</f>
        <v>Extremo</v>
      </c>
      <c r="BK26" s="382" t="str">
        <f>+VLOOKUP(BJ26,Listados!$P$3:$Q$6,2,FALSE)</f>
        <v>Evitar el riesgo</v>
      </c>
      <c r="BL26" s="498"/>
      <c r="BM26" s="486"/>
      <c r="BN26" s="383">
        <v>45292</v>
      </c>
      <c r="BO26" s="383">
        <v>45657</v>
      </c>
      <c r="BP26" s="338" t="s">
        <v>1408</v>
      </c>
      <c r="BQ26" s="486"/>
      <c r="BR26" s="491"/>
      <c r="BS26" s="500"/>
      <c r="BT26" s="491"/>
      <c r="BU26" s="482"/>
      <c r="BV26" s="493"/>
      <c r="BW26" s="693"/>
    </row>
    <row r="27" spans="1:75" ht="171" customHeight="1" thickBot="1">
      <c r="A27" s="534"/>
      <c r="B27" s="537"/>
      <c r="C27" s="462"/>
      <c r="D27" s="473"/>
      <c r="E27" s="361" t="s">
        <v>1404</v>
      </c>
      <c r="F27" s="66" t="s">
        <v>16</v>
      </c>
      <c r="G27" s="476"/>
      <c r="H27" s="462"/>
      <c r="I27" s="462"/>
      <c r="J27" s="462"/>
      <c r="K27" s="462"/>
      <c r="L27" s="462"/>
      <c r="M27" s="462"/>
      <c r="N27" s="462"/>
      <c r="O27" s="462"/>
      <c r="P27" s="462"/>
      <c r="Q27" s="462"/>
      <c r="R27" s="462"/>
      <c r="S27" s="462"/>
      <c r="T27" s="462"/>
      <c r="U27" s="462"/>
      <c r="V27" s="462"/>
      <c r="W27" s="462"/>
      <c r="X27" s="462"/>
      <c r="Y27" s="462"/>
      <c r="Z27" s="462"/>
      <c r="AA27" s="510"/>
      <c r="AB27" s="373" t="s">
        <v>21</v>
      </c>
      <c r="AC27" s="374">
        <f>+VLOOKUP(AB27,Listados!$K$8:$L$12,2,0)</f>
        <v>1</v>
      </c>
      <c r="AD27" s="372" t="str">
        <f>+IF(OR(AB27=1,AB27&lt;=5),"Moderado",IF(OR(AB27=6,AB27&lt;=11),"Mayor","Catastrófico"))</f>
        <v>Catastrófico</v>
      </c>
      <c r="AE27" s="374">
        <f>+VLOOKUP(AD27,Listados!K15:L19,2,0)</f>
        <v>5</v>
      </c>
      <c r="AF27" s="375" t="str">
        <f>IF(AND(AB27&lt;&gt;"",AD27&lt;&gt;""),VLOOKUP(AB27&amp;AD27,Listados!$M$3:$N$27,2,FALSE),"")</f>
        <v>Extremo</v>
      </c>
      <c r="AG27" s="334" t="s">
        <v>1405</v>
      </c>
      <c r="AH27" s="361" t="s">
        <v>738</v>
      </c>
      <c r="AI27" s="330" t="s">
        <v>1304</v>
      </c>
      <c r="AJ27" s="376" t="s">
        <v>116</v>
      </c>
      <c r="AK27" s="251">
        <f t="shared" si="22"/>
        <v>15</v>
      </c>
      <c r="AL27" s="376" t="s">
        <v>116</v>
      </c>
      <c r="AM27" s="373" t="s">
        <v>116</v>
      </c>
      <c r="AN27" s="373" t="s">
        <v>116</v>
      </c>
      <c r="AO27" s="377" t="s">
        <v>116</v>
      </c>
      <c r="AP27" s="373" t="s">
        <v>20</v>
      </c>
      <c r="AQ27" s="377" t="s">
        <v>116</v>
      </c>
      <c r="AR27" s="216" t="s">
        <v>116</v>
      </c>
      <c r="AS27" s="373" t="s">
        <v>116</v>
      </c>
      <c r="AT27" s="216" t="s">
        <v>116</v>
      </c>
      <c r="AU27" s="291">
        <f t="shared" si="34"/>
        <v>15</v>
      </c>
      <c r="AV27" s="299" t="s">
        <v>117</v>
      </c>
      <c r="AW27" s="291">
        <f>+IF(AV27="Completa",10,IF(AV27="Incompleta",5,""))</f>
        <v>10</v>
      </c>
      <c r="AX27" s="374">
        <v>85</v>
      </c>
      <c r="AY27" s="378" t="s">
        <v>48</v>
      </c>
      <c r="AZ27" s="379" t="s">
        <v>118</v>
      </c>
      <c r="BA27" s="380" t="s">
        <v>25</v>
      </c>
      <c r="BB27" s="380" t="s">
        <v>48</v>
      </c>
      <c r="BC27" s="313">
        <f t="shared" si="18"/>
        <v>0</v>
      </c>
      <c r="BD27" s="313">
        <f>AVERAGE(BC27:BC29)</f>
        <v>0</v>
      </c>
      <c r="BE27" s="378" t="str">
        <f t="shared" si="36"/>
        <v>Débil</v>
      </c>
      <c r="BF27" s="380">
        <f t="shared" si="37"/>
        <v>0</v>
      </c>
      <c r="BG27" s="381">
        <f t="shared" si="38"/>
        <v>1</v>
      </c>
      <c r="BH27" s="308" t="str">
        <f>+VLOOKUP(BG27,Listados!$J$18:$K$24,2,TRUE)</f>
        <v>Rara Vez</v>
      </c>
      <c r="BI27" s="308" t="str">
        <f t="shared" si="39"/>
        <v>Catastrófico</v>
      </c>
      <c r="BJ27" s="308" t="str">
        <f>IF(AND(BH27&lt;&gt;"",BI27&lt;&gt;""),VLOOKUP(BH27&amp;BI27,Listados!$M$3:$N$27,2,FALSE),"")</f>
        <v>Extremo</v>
      </c>
      <c r="BK27" s="382" t="str">
        <f>+VLOOKUP(BJ27,Listados!$P$3:$Q$6,2,FALSE)</f>
        <v>Evitar el riesgo</v>
      </c>
      <c r="BL27" s="334" t="s">
        <v>1406</v>
      </c>
      <c r="BM27" s="361" t="s">
        <v>1407</v>
      </c>
      <c r="BN27" s="383">
        <v>45292</v>
      </c>
      <c r="BO27" s="383">
        <v>45657</v>
      </c>
      <c r="BP27" s="338" t="s">
        <v>1408</v>
      </c>
      <c r="BQ27" s="361" t="s">
        <v>1409</v>
      </c>
      <c r="BR27" s="334"/>
      <c r="BS27" s="370"/>
      <c r="BT27" s="334"/>
      <c r="BU27" s="498"/>
      <c r="BV27" s="502"/>
      <c r="BW27" s="691"/>
    </row>
    <row r="28" spans="1:75" ht="99.75" customHeight="1" thickBot="1">
      <c r="A28" s="532">
        <v>10</v>
      </c>
      <c r="B28" s="535" t="s">
        <v>92</v>
      </c>
      <c r="C28" s="526" t="str">
        <f>IFERROR(VLOOKUP(B28,[26]Listados!B$3:C$20,2,FALSE),"")</f>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
      <c r="D28" s="467" t="s">
        <v>1376</v>
      </c>
      <c r="E28" s="153" t="s">
        <v>1309</v>
      </c>
      <c r="F28" s="17" t="s">
        <v>16</v>
      </c>
      <c r="G28" s="469" t="s">
        <v>1379</v>
      </c>
      <c r="H28" s="451" t="s">
        <v>116</v>
      </c>
      <c r="I28" s="451" t="s">
        <v>120</v>
      </c>
      <c r="J28" s="451" t="s">
        <v>116</v>
      </c>
      <c r="K28" s="451" t="s">
        <v>116</v>
      </c>
      <c r="L28" s="451" t="s">
        <v>116</v>
      </c>
      <c r="M28" s="451" t="s">
        <v>120</v>
      </c>
      <c r="N28" s="451" t="s">
        <v>116</v>
      </c>
      <c r="O28" s="451" t="s">
        <v>116</v>
      </c>
      <c r="P28" s="451" t="s">
        <v>120</v>
      </c>
      <c r="Q28" s="451" t="s">
        <v>116</v>
      </c>
      <c r="R28" s="451" t="s">
        <v>116</v>
      </c>
      <c r="S28" s="451" t="s">
        <v>116</v>
      </c>
      <c r="T28" s="451" t="s">
        <v>116</v>
      </c>
      <c r="U28" s="451" t="s">
        <v>116</v>
      </c>
      <c r="V28" s="451" t="s">
        <v>116</v>
      </c>
      <c r="W28" s="451" t="s">
        <v>120</v>
      </c>
      <c r="X28" s="451" t="s">
        <v>116</v>
      </c>
      <c r="Y28" s="451" t="s">
        <v>116</v>
      </c>
      <c r="Z28" s="451" t="s">
        <v>120</v>
      </c>
      <c r="AA28" s="455">
        <f>COUNTIF(H28:Z29, "SI")</f>
        <v>14</v>
      </c>
      <c r="AB28" s="453" t="s">
        <v>44</v>
      </c>
      <c r="AC28" s="455">
        <f>+VLOOKUP(AB28,Listados!$K$8:$L$12,2,0)</f>
        <v>3</v>
      </c>
      <c r="AD28" s="459" t="str">
        <f>+IF(OR(AA28=1,AA28&lt;=5),"Moderado",IF(OR(AA28=6,AA28&lt;=11),"Mayor","Catastrófico"))</f>
        <v>Catastrófico</v>
      </c>
      <c r="AE28" s="455">
        <f>+VLOOKUP(AD29,Listados!K13:L17,2,0)</f>
        <v>3</v>
      </c>
      <c r="AF28" s="457" t="str">
        <f>IF(AND(AB28&lt;&gt;"",AD28&lt;&gt;""),VLOOKUP(AB28&amp;AD28,Listados!$M$3:$N$27,2,FALSE),"")</f>
        <v>Extremo</v>
      </c>
      <c r="AG28" s="351" t="s">
        <v>1380</v>
      </c>
      <c r="AH28" s="453" t="s">
        <v>1310</v>
      </c>
      <c r="AI28" s="330" t="s">
        <v>20</v>
      </c>
      <c r="AJ28" s="239" t="s">
        <v>116</v>
      </c>
      <c r="AK28" s="251">
        <f t="shared" si="22"/>
        <v>15</v>
      </c>
      <c r="AL28" s="239" t="s">
        <v>116</v>
      </c>
      <c r="AM28" s="94">
        <f t="shared" ref="AM28:AM30" si="40">+IF(AL28="si",15,"")</f>
        <v>15</v>
      </c>
      <c r="AN28" s="62" t="s">
        <v>116</v>
      </c>
      <c r="AO28" s="288">
        <f t="shared" ref="AO28:AO30" si="41">+IF(AN28="si",15,"")</f>
        <v>15</v>
      </c>
      <c r="AP28" s="228" t="s">
        <v>20</v>
      </c>
      <c r="AQ28" s="288">
        <f t="shared" ref="AQ28:AQ30" si="42">+IF(AP28="Preventivo",15,IF(AP28="Detectivo",10,""))</f>
        <v>15</v>
      </c>
      <c r="AR28" s="216" t="s">
        <v>116</v>
      </c>
      <c r="AS28" s="216" t="s">
        <v>116</v>
      </c>
      <c r="AT28" s="216" t="s">
        <v>116</v>
      </c>
      <c r="AU28" s="291">
        <f t="shared" ref="AU28:AU40" si="43">+IF(AT28="si",15,"")</f>
        <v>15</v>
      </c>
      <c r="AV28" s="299" t="s">
        <v>117</v>
      </c>
      <c r="AW28" s="291">
        <f t="shared" si="35"/>
        <v>10</v>
      </c>
      <c r="AX28" s="301">
        <f t="shared" si="15"/>
        <v>85</v>
      </c>
      <c r="AY28" s="301" t="str">
        <f t="shared" si="16"/>
        <v>Débil</v>
      </c>
      <c r="AZ28" s="503" t="s">
        <v>118</v>
      </c>
      <c r="BA28" s="298" t="str">
        <f t="shared" si="17"/>
        <v>Fuerte</v>
      </c>
      <c r="BB28" s="298" t="str">
        <f>IFERROR(VLOOKUP((CONCATENATE(AY28,BA28)),[26]Listados!$U$3:$V$11,2,FALSE),"")</f>
        <v>Débil</v>
      </c>
      <c r="BC28" s="313">
        <f t="shared" si="18"/>
        <v>0</v>
      </c>
      <c r="BD28" s="313">
        <f t="shared" si="21"/>
        <v>0</v>
      </c>
      <c r="BE28" s="511" t="str">
        <f>IF(BD28&lt;=50, "Débil", IF(BD28&lt;=99,"Moderado","Fuerte"))</f>
        <v>Débil</v>
      </c>
      <c r="BF28" s="594">
        <f>+IF(BE28="Fuerte",2,IF(BE28="Moderado",1,0))</f>
        <v>0</v>
      </c>
      <c r="BG28" s="594">
        <f>+AC28-BF28</f>
        <v>3</v>
      </c>
      <c r="BH28" s="457" t="str">
        <f>+VLOOKUP(BG28,[26]Listados!$J$18:$K$24,2,TRUE)</f>
        <v>Posible</v>
      </c>
      <c r="BI28" s="457" t="str">
        <f>IF(ISBLANK(AD28),"",AD28)</f>
        <v>Catastrófico</v>
      </c>
      <c r="BJ28" s="457" t="str">
        <f>IF(AND(BH28&lt;&gt;"",BI28&lt;&gt;""),VLOOKUP(BH28&amp;BI28,[26]Listados!$M$3:$N$27,2,FALSE),"")</f>
        <v>Extremo</v>
      </c>
      <c r="BK28" s="457" t="str">
        <f>+VLOOKUP(BJ28,[26]Listados!$P$3:$Q$6,2,FALSE)</f>
        <v>Evitar el riesgo</v>
      </c>
      <c r="BL28" s="352" t="s">
        <v>1382</v>
      </c>
      <c r="BM28" s="237" t="s">
        <v>740</v>
      </c>
      <c r="BN28" s="273">
        <v>45292</v>
      </c>
      <c r="BO28" s="274">
        <v>45657</v>
      </c>
      <c r="BP28" s="237" t="s">
        <v>741</v>
      </c>
      <c r="BQ28" s="233" t="s">
        <v>742</v>
      </c>
      <c r="BR28" s="477" t="s">
        <v>743</v>
      </c>
      <c r="BS28" s="477" t="s">
        <v>1232</v>
      </c>
      <c r="BT28" s="481" t="s">
        <v>1353</v>
      </c>
      <c r="BU28" s="481" t="s">
        <v>1273</v>
      </c>
      <c r="BV28" s="479" t="s">
        <v>1281</v>
      </c>
      <c r="BW28" s="690" t="s">
        <v>1428</v>
      </c>
    </row>
    <row r="29" spans="1:75" ht="114" customHeight="1" thickBot="1">
      <c r="A29" s="533"/>
      <c r="B29" s="536"/>
      <c r="C29" s="527"/>
      <c r="D29" s="468"/>
      <c r="E29" s="128" t="s">
        <v>1377</v>
      </c>
      <c r="F29" s="129" t="s">
        <v>16</v>
      </c>
      <c r="G29" s="470"/>
      <c r="H29" s="452"/>
      <c r="I29" s="452"/>
      <c r="J29" s="452"/>
      <c r="K29" s="452"/>
      <c r="L29" s="452"/>
      <c r="M29" s="452"/>
      <c r="N29" s="452"/>
      <c r="O29" s="452"/>
      <c r="P29" s="452"/>
      <c r="Q29" s="452"/>
      <c r="R29" s="452"/>
      <c r="S29" s="452"/>
      <c r="T29" s="452"/>
      <c r="U29" s="452"/>
      <c r="V29" s="452"/>
      <c r="W29" s="452"/>
      <c r="X29" s="452"/>
      <c r="Y29" s="452"/>
      <c r="Z29" s="452"/>
      <c r="AA29" s="456"/>
      <c r="AB29" s="454"/>
      <c r="AC29" s="456"/>
      <c r="AD29" s="460" t="str">
        <f>+IF(OR(AB29=1,AB29&lt;=5),"Moderado",IF(OR(AB29=6,AB29&lt;=11),"Mayor","Catastrófico"))</f>
        <v>Moderado</v>
      </c>
      <c r="AE29" s="456"/>
      <c r="AF29" s="458"/>
      <c r="AG29" s="385" t="s">
        <v>1381</v>
      </c>
      <c r="AH29" s="454"/>
      <c r="AI29" s="330" t="s">
        <v>20</v>
      </c>
      <c r="AJ29" s="239" t="s">
        <v>116</v>
      </c>
      <c r="AK29" s="251">
        <f t="shared" si="22"/>
        <v>15</v>
      </c>
      <c r="AL29" s="239" t="s">
        <v>116</v>
      </c>
      <c r="AM29" s="95">
        <f t="shared" si="40"/>
        <v>15</v>
      </c>
      <c r="AN29" s="150" t="s">
        <v>116</v>
      </c>
      <c r="AO29" s="294">
        <f t="shared" si="41"/>
        <v>15</v>
      </c>
      <c r="AP29" s="228" t="s">
        <v>20</v>
      </c>
      <c r="AQ29" s="294">
        <f t="shared" si="42"/>
        <v>15</v>
      </c>
      <c r="AR29" s="216" t="s">
        <v>116</v>
      </c>
      <c r="AS29" s="216" t="s">
        <v>116</v>
      </c>
      <c r="AT29" s="216" t="s">
        <v>116</v>
      </c>
      <c r="AU29" s="291">
        <f t="shared" si="43"/>
        <v>15</v>
      </c>
      <c r="AV29" s="299" t="s">
        <v>117</v>
      </c>
      <c r="AW29" s="291">
        <f t="shared" si="35"/>
        <v>10</v>
      </c>
      <c r="AX29" s="302">
        <f t="shared" si="15"/>
        <v>85</v>
      </c>
      <c r="AY29" s="302" t="str">
        <f t="shared" si="16"/>
        <v>Débil</v>
      </c>
      <c r="AZ29" s="504"/>
      <c r="BA29" s="304" t="str">
        <f t="shared" si="17"/>
        <v>Débil</v>
      </c>
      <c r="BB29" s="300" t="str">
        <f>IFERROR(VLOOKUP((CONCATENATE(AY29,BA29)),[26]Listados!$U$3:$V$11,2,FALSE),"")</f>
        <v>Débil</v>
      </c>
      <c r="BC29" s="313">
        <f t="shared" si="18"/>
        <v>0</v>
      </c>
      <c r="BD29" s="313">
        <f t="shared" si="21"/>
        <v>0</v>
      </c>
      <c r="BE29" s="576"/>
      <c r="BF29" s="595"/>
      <c r="BG29" s="595"/>
      <c r="BH29" s="458"/>
      <c r="BI29" s="458"/>
      <c r="BJ29" s="458"/>
      <c r="BK29" s="458"/>
      <c r="BL29" s="352" t="s">
        <v>1383</v>
      </c>
      <c r="BM29" s="190" t="s">
        <v>740</v>
      </c>
      <c r="BN29" s="275">
        <v>45292</v>
      </c>
      <c r="BO29" s="276">
        <v>45657</v>
      </c>
      <c r="BP29" s="190" t="s">
        <v>744</v>
      </c>
      <c r="BQ29" s="213" t="s">
        <v>745</v>
      </c>
      <c r="BR29" s="478"/>
      <c r="BS29" s="478"/>
      <c r="BT29" s="482"/>
      <c r="BU29" s="482"/>
      <c r="BV29" s="480"/>
      <c r="BW29" s="693"/>
    </row>
    <row r="30" spans="1:75" ht="124.5" customHeight="1" thickBot="1">
      <c r="A30" s="533"/>
      <c r="B30" s="536"/>
      <c r="C30" s="527"/>
      <c r="D30" s="468"/>
      <c r="E30" s="128" t="s">
        <v>1378</v>
      </c>
      <c r="F30" s="129" t="s">
        <v>16</v>
      </c>
      <c r="G30" s="470"/>
      <c r="H30" s="452"/>
      <c r="I30" s="452"/>
      <c r="J30" s="452"/>
      <c r="K30" s="452"/>
      <c r="L30" s="452"/>
      <c r="M30" s="452"/>
      <c r="N30" s="452"/>
      <c r="O30" s="452"/>
      <c r="P30" s="452"/>
      <c r="Q30" s="452"/>
      <c r="R30" s="452"/>
      <c r="S30" s="452"/>
      <c r="T30" s="452"/>
      <c r="U30" s="452"/>
      <c r="V30" s="452"/>
      <c r="W30" s="452"/>
      <c r="X30" s="452"/>
      <c r="Y30" s="452"/>
      <c r="Z30" s="452"/>
      <c r="AA30" s="456"/>
      <c r="AB30" s="454"/>
      <c r="AC30" s="456"/>
      <c r="AD30" s="460" t="str">
        <f>+IF(OR(AB30=1,AB30&lt;=5),"Moderado",IF(OR(AB30=6,AB30&lt;=11),"Mayor","Catastrófico"))</f>
        <v>Moderado</v>
      </c>
      <c r="AE30" s="456"/>
      <c r="AF30" s="458"/>
      <c r="AG30" s="213"/>
      <c r="AH30" s="445"/>
      <c r="AI30" s="330" t="s">
        <v>20</v>
      </c>
      <c r="AJ30" s="239" t="s">
        <v>116</v>
      </c>
      <c r="AK30" s="251">
        <f t="shared" si="22"/>
        <v>15</v>
      </c>
      <c r="AL30" s="239" t="s">
        <v>116</v>
      </c>
      <c r="AM30" s="95">
        <f t="shared" si="40"/>
        <v>15</v>
      </c>
      <c r="AN30" s="150" t="s">
        <v>116</v>
      </c>
      <c r="AO30" s="294">
        <f t="shared" si="41"/>
        <v>15</v>
      </c>
      <c r="AP30" s="228" t="s">
        <v>20</v>
      </c>
      <c r="AQ30" s="294">
        <f t="shared" si="42"/>
        <v>15</v>
      </c>
      <c r="AR30" s="216" t="s">
        <v>116</v>
      </c>
      <c r="AS30" s="216" t="s">
        <v>116</v>
      </c>
      <c r="AT30" s="216" t="s">
        <v>116</v>
      </c>
      <c r="AU30" s="291">
        <f t="shared" si="43"/>
        <v>15</v>
      </c>
      <c r="AV30" s="299" t="s">
        <v>117</v>
      </c>
      <c r="AW30" s="291">
        <f t="shared" si="35"/>
        <v>10</v>
      </c>
      <c r="AX30" s="302">
        <f t="shared" si="15"/>
        <v>85</v>
      </c>
      <c r="AY30" s="302" t="str">
        <f t="shared" si="16"/>
        <v>Débil</v>
      </c>
      <c r="AZ30" s="219" t="s">
        <v>118</v>
      </c>
      <c r="BA30" s="304" t="str">
        <f t="shared" si="17"/>
        <v>Fuerte</v>
      </c>
      <c r="BB30" s="300" t="str">
        <f>IFERROR(VLOOKUP((CONCATENATE(AY30,BA30)),[26]Listados!$U$3:$V$11,2,FALSE),"")</f>
        <v>Débil</v>
      </c>
      <c r="BC30" s="313">
        <f t="shared" si="18"/>
        <v>0</v>
      </c>
      <c r="BD30" s="313">
        <f>AVERAGE(BC30:BC30)</f>
        <v>0</v>
      </c>
      <c r="BE30" s="576"/>
      <c r="BF30" s="595"/>
      <c r="BG30" s="595"/>
      <c r="BH30" s="458"/>
      <c r="BI30" s="458"/>
      <c r="BJ30" s="458"/>
      <c r="BK30" s="458"/>
      <c r="BL30" s="213"/>
      <c r="BM30" s="190" t="s">
        <v>746</v>
      </c>
      <c r="BN30" s="275">
        <v>45292</v>
      </c>
      <c r="BO30" s="276">
        <v>45657</v>
      </c>
      <c r="BP30" s="190" t="s">
        <v>747</v>
      </c>
      <c r="BQ30" s="213" t="s">
        <v>748</v>
      </c>
      <c r="BR30" s="478"/>
      <c r="BS30" s="478"/>
      <c r="BT30" s="482"/>
      <c r="BU30" s="482"/>
      <c r="BV30" s="480"/>
      <c r="BW30" s="691"/>
    </row>
    <row r="31" spans="1:75" ht="128.25" customHeight="1" thickBot="1">
      <c r="A31" s="532">
        <v>11</v>
      </c>
      <c r="B31" s="535" t="s">
        <v>77</v>
      </c>
      <c r="C31" s="451" t="s">
        <v>1311</v>
      </c>
      <c r="D31" s="463" t="s">
        <v>1305</v>
      </c>
      <c r="E31" s="100" t="s">
        <v>1306</v>
      </c>
      <c r="F31" s="61" t="s">
        <v>16</v>
      </c>
      <c r="G31" s="214" t="s">
        <v>749</v>
      </c>
      <c r="H31" s="452" t="s">
        <v>116</v>
      </c>
      <c r="I31" s="451" t="s">
        <v>116</v>
      </c>
      <c r="J31" s="451" t="s">
        <v>116</v>
      </c>
      <c r="K31" s="451" t="s">
        <v>116</v>
      </c>
      <c r="L31" s="451" t="s">
        <v>116</v>
      </c>
      <c r="M31" s="451" t="s">
        <v>116</v>
      </c>
      <c r="N31" s="451" t="s">
        <v>116</v>
      </c>
      <c r="O31" s="451" t="s">
        <v>116</v>
      </c>
      <c r="P31" s="451" t="s">
        <v>120</v>
      </c>
      <c r="Q31" s="451" t="s">
        <v>116</v>
      </c>
      <c r="R31" s="451" t="s">
        <v>116</v>
      </c>
      <c r="S31" s="451" t="s">
        <v>116</v>
      </c>
      <c r="T31" s="451" t="s">
        <v>120</v>
      </c>
      <c r="U31" s="451" t="s">
        <v>120</v>
      </c>
      <c r="V31" s="451" t="s">
        <v>116</v>
      </c>
      <c r="W31" s="451" t="s">
        <v>116</v>
      </c>
      <c r="X31" s="451" t="s">
        <v>116</v>
      </c>
      <c r="Y31" s="451" t="s">
        <v>116</v>
      </c>
      <c r="Z31" s="451" t="s">
        <v>116</v>
      </c>
      <c r="AA31" s="455">
        <f>COUNTIF(H31:Z32, "SI")</f>
        <v>16</v>
      </c>
      <c r="AB31" s="453" t="s">
        <v>44</v>
      </c>
      <c r="AC31" s="455">
        <f>+VLOOKUP(AB31,Listados!$K$8:$L$12,2,0)</f>
        <v>3</v>
      </c>
      <c r="AD31" s="455" t="str">
        <f>+IF(OR(AA31=1,AA31&lt;=5),"Moderado",IF(OR(AA31=6,AA31&lt;=11),"Mayor","Catastrófico"))</f>
        <v>Catastrófico</v>
      </c>
      <c r="AE31" s="455">
        <f>+VLOOKUP(AD31,Listados!K13:L17,2,0)</f>
        <v>5</v>
      </c>
      <c r="AF31" s="457" t="str">
        <f>IF(AND(AB31&lt;&gt;"",AD31&lt;&gt;""),VLOOKUP(AB31&amp;AD31,Listados!$M$3:$N$27,2,FALSE),"")</f>
        <v>Extremo</v>
      </c>
      <c r="AG31" s="229" t="s">
        <v>1312</v>
      </c>
      <c r="AH31" s="592" t="s">
        <v>750</v>
      </c>
      <c r="AI31" s="330" t="s">
        <v>20</v>
      </c>
      <c r="AJ31" s="239" t="s">
        <v>116</v>
      </c>
      <c r="AK31" s="251">
        <f t="shared" si="22"/>
        <v>15</v>
      </c>
      <c r="AL31" s="239" t="s">
        <v>116</v>
      </c>
      <c r="AM31" s="94">
        <f t="shared" ref="AM31:AM34" si="44">+IF(AL31="si",15,"")</f>
        <v>15</v>
      </c>
      <c r="AN31" s="62" t="s">
        <v>116</v>
      </c>
      <c r="AO31" s="288">
        <f t="shared" ref="AO31:AO32" si="45">+IF(AN31="si",15,"")</f>
        <v>15</v>
      </c>
      <c r="AP31" s="228" t="s">
        <v>20</v>
      </c>
      <c r="AQ31" s="288">
        <f t="shared" ref="AQ31:AQ48" si="46">+IF(AP31="Preventivo",15,IF(AP31="Detectivo",10,""))</f>
        <v>15</v>
      </c>
      <c r="AR31" s="216" t="s">
        <v>116</v>
      </c>
      <c r="AS31" s="216" t="s">
        <v>116</v>
      </c>
      <c r="AT31" s="216" t="s">
        <v>116</v>
      </c>
      <c r="AU31" s="291">
        <f t="shared" si="43"/>
        <v>15</v>
      </c>
      <c r="AV31" s="299" t="s">
        <v>117</v>
      </c>
      <c r="AW31" s="291">
        <f t="shared" si="35"/>
        <v>10</v>
      </c>
      <c r="AX31" s="301">
        <f t="shared" ref="AX31" si="47">IF((SUM(AK31,AM31,AO31,AQ31,AS31,AU31,AW31)=0),"",(SUM(AK31,AM31,AO31,AQ31,AS31,AU31,AW31)))</f>
        <v>85</v>
      </c>
      <c r="AY31" s="301" t="str">
        <f t="shared" ref="AY31:AY34" si="48">IF(AX31&lt;=85,"Débil",IF(AX31&lt;=95,"Moderado",IF(AX31=100,"Fuerte","")))</f>
        <v>Débil</v>
      </c>
      <c r="AZ31" s="219" t="s">
        <v>118</v>
      </c>
      <c r="BA31" s="298" t="str">
        <f t="shared" ref="BA31:BA32" si="49">+IF(AZ31="siempre","Fuerte",IF(AZ31="Algunas veces","Moderado","Débil"))</f>
        <v>Fuerte</v>
      </c>
      <c r="BB31" s="298" t="str">
        <f>IFERROR(VLOOKUP((CONCATENATE(AY31,BA31)),[26]Listados!$U$3:$V$11,2,FALSE),"")</f>
        <v>Débil</v>
      </c>
      <c r="BC31" s="313">
        <f t="shared" si="18"/>
        <v>0</v>
      </c>
      <c r="BD31" s="313">
        <f>AVERAGE(BC31:BC32)</f>
        <v>0</v>
      </c>
      <c r="BE31" s="511" t="str">
        <f>IF(BD31&lt;=50, "Débil", IF(BD31&lt;=99,"Moderado","Fuerte"))</f>
        <v>Débil</v>
      </c>
      <c r="BF31" s="515">
        <f>+IF(BE31="Fuerte",2,IF(BE31="Moderado",1,0))</f>
        <v>0</v>
      </c>
      <c r="BG31" s="515">
        <f>+AC31-BF31</f>
        <v>3</v>
      </c>
      <c r="BH31" s="483" t="str">
        <f>+VLOOKUP(BG31,Listados!$J$18:$K$24,2,TRUE)</f>
        <v>Posible</v>
      </c>
      <c r="BI31" s="483" t="str">
        <f>IF(ISBLANK(AD31),"",AD31)</f>
        <v>Catastrófico</v>
      </c>
      <c r="BJ31" s="483" t="str">
        <f>IF(AND(BH31&lt;&gt;"",BI31&lt;&gt;""),VLOOKUP(BH31&amp;BI31,Listados!$M$3:$N$27,2,FALSE),"")</f>
        <v>Extremo</v>
      </c>
      <c r="BK31" s="483" t="str">
        <f>+VLOOKUP(BJ31,Listados!$P$3:$Q$6,2,FALSE)</f>
        <v>Evitar el riesgo</v>
      </c>
      <c r="BL31" s="477" t="s">
        <v>751</v>
      </c>
      <c r="BM31" s="477" t="s">
        <v>713</v>
      </c>
      <c r="BN31" s="487">
        <v>45292</v>
      </c>
      <c r="BO31" s="487">
        <v>45657</v>
      </c>
      <c r="BP31" s="477" t="s">
        <v>752</v>
      </c>
      <c r="BQ31" s="477" t="s">
        <v>753</v>
      </c>
      <c r="BR31" s="338" t="s">
        <v>1225</v>
      </c>
      <c r="BS31" s="477" t="s">
        <v>1231</v>
      </c>
      <c r="BT31" s="477" t="s">
        <v>1352</v>
      </c>
      <c r="BU31" s="481" t="s">
        <v>1274</v>
      </c>
      <c r="BV31" s="479" t="s">
        <v>1302</v>
      </c>
      <c r="BW31" s="690" t="s">
        <v>1429</v>
      </c>
    </row>
    <row r="32" spans="1:75" ht="122.25" customHeight="1" thickBot="1">
      <c r="A32" s="533"/>
      <c r="B32" s="536"/>
      <c r="C32" s="452"/>
      <c r="D32" s="464"/>
      <c r="E32" s="128" t="s">
        <v>1307</v>
      </c>
      <c r="F32" s="145" t="s">
        <v>16</v>
      </c>
      <c r="G32" s="153" t="s">
        <v>754</v>
      </c>
      <c r="H32" s="452"/>
      <c r="I32" s="452"/>
      <c r="J32" s="452"/>
      <c r="K32" s="452"/>
      <c r="L32" s="452"/>
      <c r="M32" s="452"/>
      <c r="N32" s="452"/>
      <c r="O32" s="452"/>
      <c r="P32" s="452"/>
      <c r="Q32" s="452"/>
      <c r="R32" s="452"/>
      <c r="S32" s="452"/>
      <c r="T32" s="452"/>
      <c r="U32" s="452"/>
      <c r="V32" s="452"/>
      <c r="W32" s="452"/>
      <c r="X32" s="452"/>
      <c r="Y32" s="452"/>
      <c r="Z32" s="452"/>
      <c r="AA32" s="456"/>
      <c r="AB32" s="454"/>
      <c r="AC32" s="456"/>
      <c r="AD32" s="456"/>
      <c r="AE32" s="456"/>
      <c r="AF32" s="458"/>
      <c r="AG32" s="193" t="s">
        <v>755</v>
      </c>
      <c r="AH32" s="593"/>
      <c r="AI32" s="330" t="s">
        <v>20</v>
      </c>
      <c r="AJ32" s="239" t="s">
        <v>116</v>
      </c>
      <c r="AK32" s="251">
        <f t="shared" si="22"/>
        <v>15</v>
      </c>
      <c r="AL32" s="239" t="s">
        <v>116</v>
      </c>
      <c r="AM32" s="95">
        <f t="shared" si="44"/>
        <v>15</v>
      </c>
      <c r="AN32" s="150" t="s">
        <v>116</v>
      </c>
      <c r="AO32" s="294">
        <f t="shared" si="45"/>
        <v>15</v>
      </c>
      <c r="AP32" s="228" t="s">
        <v>20</v>
      </c>
      <c r="AQ32" s="294">
        <f t="shared" si="46"/>
        <v>15</v>
      </c>
      <c r="AR32" s="216" t="s">
        <v>116</v>
      </c>
      <c r="AS32" s="216" t="s">
        <v>116</v>
      </c>
      <c r="AT32" s="216" t="s">
        <v>116</v>
      </c>
      <c r="AU32" s="291">
        <f t="shared" si="43"/>
        <v>15</v>
      </c>
      <c r="AV32" s="299" t="s">
        <v>117</v>
      </c>
      <c r="AW32" s="291">
        <f t="shared" si="35"/>
        <v>10</v>
      </c>
      <c r="AX32" s="302">
        <f>IF((SUM(AK32,AM32,AO32,AQ32,AS32,AU32,AW32)=0),"",(SUM(AK32,AM32,AO32,AQ32,AS32,AU32,AW32)))</f>
        <v>85</v>
      </c>
      <c r="AY32" s="302" t="str">
        <f t="shared" si="48"/>
        <v>Débil</v>
      </c>
      <c r="AZ32" s="219" t="s">
        <v>118</v>
      </c>
      <c r="BA32" s="304" t="str">
        <f t="shared" si="49"/>
        <v>Fuerte</v>
      </c>
      <c r="BB32" s="300" t="str">
        <f>IFERROR(VLOOKUP((CONCATENATE(AY32,BA32)),[26]Listados!$U$3:$V$11,2,FALSE),"")</f>
        <v>Débil</v>
      </c>
      <c r="BC32" s="313">
        <f t="shared" si="18"/>
        <v>0</v>
      </c>
      <c r="BD32" s="313">
        <f>AVERAGE(BC32:BC32)</f>
        <v>0</v>
      </c>
      <c r="BE32" s="576"/>
      <c r="BF32" s="571"/>
      <c r="BG32" s="571"/>
      <c r="BH32" s="484"/>
      <c r="BI32" s="484"/>
      <c r="BJ32" s="484"/>
      <c r="BK32" s="484"/>
      <c r="BL32" s="478"/>
      <c r="BM32" s="478"/>
      <c r="BN32" s="488"/>
      <c r="BO32" s="488"/>
      <c r="BP32" s="478"/>
      <c r="BQ32" s="478"/>
      <c r="BR32" s="332"/>
      <c r="BS32" s="478"/>
      <c r="BT32" s="478"/>
      <c r="BU32" s="482"/>
      <c r="BV32" s="493"/>
      <c r="BW32" s="693"/>
    </row>
    <row r="33" spans="1:75" ht="122.25" customHeight="1" thickBot="1">
      <c r="A33" s="533"/>
      <c r="B33" s="536"/>
      <c r="C33" s="452"/>
      <c r="D33" s="335"/>
      <c r="E33" s="52"/>
      <c r="F33" s="336"/>
      <c r="G33" s="337"/>
      <c r="H33" s="452"/>
      <c r="I33" s="452"/>
      <c r="J33" s="452"/>
      <c r="K33" s="452"/>
      <c r="L33" s="452"/>
      <c r="M33" s="452"/>
      <c r="N33" s="452"/>
      <c r="O33" s="452"/>
      <c r="P33" s="452"/>
      <c r="Q33" s="452"/>
      <c r="R33" s="452"/>
      <c r="S33" s="452"/>
      <c r="T33" s="452"/>
      <c r="U33" s="452"/>
      <c r="V33" s="452"/>
      <c r="W33" s="452"/>
      <c r="X33" s="452"/>
      <c r="Y33" s="452"/>
      <c r="Z33" s="452"/>
      <c r="AA33" s="456"/>
      <c r="AB33" s="454"/>
      <c r="AC33" s="456"/>
      <c r="AD33" s="456"/>
      <c r="AE33" s="456"/>
      <c r="AF33" s="458"/>
      <c r="AG33" s="193" t="s">
        <v>756</v>
      </c>
      <c r="AH33" s="593"/>
      <c r="AI33" s="330" t="s">
        <v>1304</v>
      </c>
      <c r="AJ33" s="239" t="s">
        <v>116</v>
      </c>
      <c r="AK33" s="251">
        <f t="shared" ref="AK33:AK34" si="50">+IF(AJ33="si",15,"")</f>
        <v>15</v>
      </c>
      <c r="AL33" s="239" t="s">
        <v>116</v>
      </c>
      <c r="AM33" s="95">
        <f t="shared" si="44"/>
        <v>15</v>
      </c>
      <c r="AN33" s="150" t="s">
        <v>116</v>
      </c>
      <c r="AO33" s="294">
        <f t="shared" ref="AO33:AO34" si="51">+IF(AN33="si",15,"")</f>
        <v>15</v>
      </c>
      <c r="AP33" s="228" t="s">
        <v>20</v>
      </c>
      <c r="AQ33" s="294">
        <f t="shared" si="46"/>
        <v>15</v>
      </c>
      <c r="AR33" s="216" t="s">
        <v>116</v>
      </c>
      <c r="AS33" s="216" t="s">
        <v>116</v>
      </c>
      <c r="AT33" s="216" t="s">
        <v>116</v>
      </c>
      <c r="AU33" s="291">
        <f t="shared" ref="AU33:AU34" si="52">+IF(AT33="si",15,"")</f>
        <v>15</v>
      </c>
      <c r="AV33" s="299" t="s">
        <v>117</v>
      </c>
      <c r="AW33" s="291">
        <f t="shared" ref="AW33:AW34" si="53">+IF(AV33="Completa",10,IF(AV33="Incompleta",5,""))</f>
        <v>10</v>
      </c>
      <c r="AX33" s="302">
        <f t="shared" ref="AX33:AX34" si="54">IF((SUM(AK33,AM33,AO33,AQ33,AS33,AU33,AW33)=0),"",(SUM(AK33,AM33,AO33,AQ33,AS33,AU33,AW33)))</f>
        <v>85</v>
      </c>
      <c r="AY33" s="302" t="str">
        <f t="shared" si="48"/>
        <v>Débil</v>
      </c>
      <c r="AZ33" s="219" t="s">
        <v>118</v>
      </c>
      <c r="BA33" s="304" t="str">
        <f t="shared" ref="BA33:BA34" si="55">+IF(AZ33="siempre","Fuerte",IF(AZ33="Algunas veces","Moderado","Débil"))</f>
        <v>Fuerte</v>
      </c>
      <c r="BB33" s="300" t="str">
        <f>IFERROR(VLOOKUP((CONCATENATE(AY33,BA33)),[26]Listados!$U$3:$V$11,2,FALSE),"")</f>
        <v>Débil</v>
      </c>
      <c r="BC33" s="313">
        <f t="shared" ref="BC33:BC34" si="56">IF(ISBLANK(BB33),"",IF(BB33="Débil", 0, IF(BB33="Moderado",50,100)))</f>
        <v>0</v>
      </c>
      <c r="BD33" s="313">
        <f t="shared" ref="BD33:BD34" si="57">AVERAGE(BC33:BC33)</f>
        <v>0</v>
      </c>
      <c r="BE33" s="576"/>
      <c r="BF33" s="571"/>
      <c r="BG33" s="571"/>
      <c r="BH33" s="484"/>
      <c r="BI33" s="484"/>
      <c r="BJ33" s="484"/>
      <c r="BK33" s="484"/>
      <c r="BL33" s="478"/>
      <c r="BM33" s="478"/>
      <c r="BN33" s="488"/>
      <c r="BO33" s="488"/>
      <c r="BP33" s="478"/>
      <c r="BQ33" s="478"/>
      <c r="BR33" s="334"/>
      <c r="BS33" s="478"/>
      <c r="BT33" s="478"/>
      <c r="BU33" s="482"/>
      <c r="BV33" s="493"/>
      <c r="BW33" s="693"/>
    </row>
    <row r="34" spans="1:75" ht="122.25" customHeight="1" thickBot="1">
      <c r="A34" s="534"/>
      <c r="B34" s="537"/>
      <c r="C34" s="462"/>
      <c r="D34" s="335"/>
      <c r="E34" s="52"/>
      <c r="F34" s="336"/>
      <c r="G34" s="337"/>
      <c r="H34" s="452"/>
      <c r="I34" s="462"/>
      <c r="J34" s="462"/>
      <c r="K34" s="462"/>
      <c r="L34" s="462"/>
      <c r="M34" s="462"/>
      <c r="N34" s="462"/>
      <c r="O34" s="462"/>
      <c r="P34" s="462"/>
      <c r="Q34" s="462"/>
      <c r="R34" s="462"/>
      <c r="S34" s="462"/>
      <c r="T34" s="462"/>
      <c r="U34" s="462"/>
      <c r="V34" s="462"/>
      <c r="W34" s="462"/>
      <c r="X34" s="462"/>
      <c r="Y34" s="462"/>
      <c r="Z34" s="462"/>
      <c r="AA34" s="510"/>
      <c r="AB34" s="509"/>
      <c r="AC34" s="510"/>
      <c r="AD34" s="510"/>
      <c r="AE34" s="510"/>
      <c r="AF34" s="514"/>
      <c r="AG34" s="231" t="s">
        <v>1313</v>
      </c>
      <c r="AH34" s="333" t="s">
        <v>757</v>
      </c>
      <c r="AI34" s="330" t="s">
        <v>20</v>
      </c>
      <c r="AJ34" s="239" t="s">
        <v>116</v>
      </c>
      <c r="AK34" s="251">
        <f t="shared" si="50"/>
        <v>15</v>
      </c>
      <c r="AL34" s="239" t="s">
        <v>116</v>
      </c>
      <c r="AM34" s="95">
        <f t="shared" si="44"/>
        <v>15</v>
      </c>
      <c r="AN34" s="150" t="s">
        <v>116</v>
      </c>
      <c r="AO34" s="294">
        <f t="shared" si="51"/>
        <v>15</v>
      </c>
      <c r="AP34" s="228" t="s">
        <v>20</v>
      </c>
      <c r="AQ34" s="294">
        <f t="shared" si="46"/>
        <v>15</v>
      </c>
      <c r="AR34" s="216" t="s">
        <v>116</v>
      </c>
      <c r="AS34" s="216" t="s">
        <v>116</v>
      </c>
      <c r="AT34" s="216" t="s">
        <v>116</v>
      </c>
      <c r="AU34" s="291">
        <f t="shared" si="52"/>
        <v>15</v>
      </c>
      <c r="AV34" s="299" t="s">
        <v>117</v>
      </c>
      <c r="AW34" s="291">
        <f t="shared" si="53"/>
        <v>10</v>
      </c>
      <c r="AX34" s="302">
        <f t="shared" si="54"/>
        <v>85</v>
      </c>
      <c r="AY34" s="302" t="str">
        <f t="shared" si="48"/>
        <v>Débil</v>
      </c>
      <c r="AZ34" s="219" t="s">
        <v>118</v>
      </c>
      <c r="BA34" s="304" t="str">
        <f t="shared" si="55"/>
        <v>Fuerte</v>
      </c>
      <c r="BB34" s="300" t="str">
        <f>IFERROR(VLOOKUP((CONCATENATE(AY34,BA34)),[26]Listados!$U$3:$V$11,2,FALSE),"")</f>
        <v>Débil</v>
      </c>
      <c r="BC34" s="313">
        <f t="shared" si="56"/>
        <v>0</v>
      </c>
      <c r="BD34" s="313">
        <f t="shared" si="57"/>
        <v>0</v>
      </c>
      <c r="BE34" s="512"/>
      <c r="BF34" s="516"/>
      <c r="BG34" s="516"/>
      <c r="BH34" s="485"/>
      <c r="BI34" s="485"/>
      <c r="BJ34" s="485"/>
      <c r="BK34" s="485"/>
      <c r="BL34" s="486"/>
      <c r="BM34" s="486"/>
      <c r="BN34" s="489"/>
      <c r="BO34" s="489"/>
      <c r="BP34" s="486"/>
      <c r="BQ34" s="486"/>
      <c r="BR34" s="334"/>
      <c r="BS34" s="486"/>
      <c r="BT34" s="486"/>
      <c r="BU34" s="498"/>
      <c r="BV34" s="502"/>
      <c r="BW34" s="691"/>
    </row>
    <row r="35" spans="1:75" ht="92.25" customHeight="1" thickBot="1">
      <c r="A35" s="532">
        <v>12</v>
      </c>
      <c r="B35" s="544" t="s">
        <v>101</v>
      </c>
      <c r="C35" s="522" t="str">
        <f>IFERROR(VLOOKUP(B35,Listados!B$3:C$20,2,FALSE),"")</f>
        <v>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v>
      </c>
      <c r="D35" s="467" t="s">
        <v>1358</v>
      </c>
      <c r="E35" s="100" t="s">
        <v>757</v>
      </c>
      <c r="F35" s="17" t="s">
        <v>16</v>
      </c>
      <c r="G35" s="448" t="s">
        <v>758</v>
      </c>
      <c r="H35" s="452" t="s">
        <v>116</v>
      </c>
      <c r="I35" s="451" t="s">
        <v>116</v>
      </c>
      <c r="J35" s="451" t="s">
        <v>120</v>
      </c>
      <c r="K35" s="461" t="s">
        <v>670</v>
      </c>
      <c r="L35" s="461" t="s">
        <v>670</v>
      </c>
      <c r="M35" s="461" t="s">
        <v>670</v>
      </c>
      <c r="N35" s="461" t="s">
        <v>670</v>
      </c>
      <c r="O35" s="461" t="s">
        <v>670</v>
      </c>
      <c r="P35" s="461" t="s">
        <v>670</v>
      </c>
      <c r="Q35" s="461" t="s">
        <v>670</v>
      </c>
      <c r="R35" s="461" t="s">
        <v>670</v>
      </c>
      <c r="S35" s="461" t="s">
        <v>670</v>
      </c>
      <c r="T35" s="461" t="s">
        <v>670</v>
      </c>
      <c r="U35" s="461" t="s">
        <v>670</v>
      </c>
      <c r="V35" s="461" t="s">
        <v>670</v>
      </c>
      <c r="W35" s="461" t="s">
        <v>670</v>
      </c>
      <c r="X35" s="461" t="s">
        <v>670</v>
      </c>
      <c r="Y35" s="461" t="s">
        <v>670</v>
      </c>
      <c r="Z35" s="461" t="s">
        <v>670</v>
      </c>
      <c r="AA35" s="455">
        <f>COUNTIF(H35:Z36, "SI")</f>
        <v>2</v>
      </c>
      <c r="AB35" s="453" t="s">
        <v>21</v>
      </c>
      <c r="AC35" s="455">
        <f>+VLOOKUP(AB35,Listados!$K$8:$L$12,2,0)</f>
        <v>1</v>
      </c>
      <c r="AD35" s="459" t="str">
        <f>+IF(OR(AA35=1,AA35&lt;=5),"Moderado",IF(OR(AA35=6,AA35&lt;=11),"Mayor","Catastrófico"))</f>
        <v>Moderado</v>
      </c>
      <c r="AE35" s="455">
        <f>+VLOOKUP(AD35,Listados!K13:L17,2,0)</f>
        <v>3</v>
      </c>
      <c r="AF35" s="457" t="str">
        <f>IF(AND(AB35&lt;&gt;"",AD35&lt;&gt;""),VLOOKUP(AB35&amp;AD35,Listados!$M$3:$N$27,2,FALSE),"")</f>
        <v>Moderado</v>
      </c>
      <c r="AG35" s="233" t="s">
        <v>1359</v>
      </c>
      <c r="AH35" s="100" t="s">
        <v>757</v>
      </c>
      <c r="AI35" s="330" t="s">
        <v>20</v>
      </c>
      <c r="AJ35" s="239" t="s">
        <v>116</v>
      </c>
      <c r="AK35" s="251">
        <f t="shared" si="22"/>
        <v>15</v>
      </c>
      <c r="AL35" s="239" t="s">
        <v>116</v>
      </c>
      <c r="AM35" s="251">
        <f t="shared" ref="AM35:AM38" si="58">+IF(AL35="si",15,"")</f>
        <v>15</v>
      </c>
      <c r="AN35" s="216" t="s">
        <v>312</v>
      </c>
      <c r="AO35" s="290">
        <f t="shared" ref="AO35:AO38" si="59">+IF(AN35="si",15,"")</f>
        <v>15</v>
      </c>
      <c r="AP35" s="228" t="s">
        <v>20</v>
      </c>
      <c r="AQ35" s="289">
        <f t="shared" si="46"/>
        <v>15</v>
      </c>
      <c r="AR35" s="216" t="s">
        <v>116</v>
      </c>
      <c r="AS35" s="216" t="s">
        <v>116</v>
      </c>
      <c r="AT35" s="216" t="s">
        <v>116</v>
      </c>
      <c r="AU35" s="291">
        <f>+IF(AT35="si",15,"")</f>
        <v>15</v>
      </c>
      <c r="AV35" s="299" t="s">
        <v>117</v>
      </c>
      <c r="AW35" s="291">
        <f t="shared" si="35"/>
        <v>10</v>
      </c>
      <c r="AX35" s="301">
        <f t="shared" ref="AX35:AX45" si="60">IF((SUM(AK35,AM35,AO35,AQ35,AS35,AU35,AW35)=0),"",(SUM(AK35,AM35,AO35,AQ35,AS35,AU35,AW35)))</f>
        <v>85</v>
      </c>
      <c r="AY35" s="301" t="str">
        <f t="shared" ref="AY35:AY45" si="61">IF(AX35&lt;=85,"Débil",IF(AX35&lt;=95,"Moderado",IF(AX35=100,"Fuerte","")))</f>
        <v>Débil</v>
      </c>
      <c r="AZ35" s="219" t="s">
        <v>118</v>
      </c>
      <c r="BA35" s="298" t="str">
        <f t="shared" ref="BA35:BA45" si="62">+IF(AZ35="siempre","Fuerte",IF(AZ35="Algunas veces","Moderado","Débil"))</f>
        <v>Fuerte</v>
      </c>
      <c r="BB35" s="298" t="str">
        <f>IFERROR(VLOOKUP((CONCATENATE(AY35,BA35)),Listados!$U$3:$V$11,2,FALSE),"")</f>
        <v>Débil</v>
      </c>
      <c r="BC35" s="313">
        <f t="shared" si="18"/>
        <v>0</v>
      </c>
      <c r="BD35" s="313">
        <f t="shared" si="21"/>
        <v>0</v>
      </c>
      <c r="BE35" s="517" t="str">
        <f>IF(BD35&lt;=50, "Débil", IF(BD35&lt;=99,"Moderado","Fuerte"))</f>
        <v>Débil</v>
      </c>
      <c r="BF35" s="515">
        <f>+IF(BE35="Fuerte",2,IF(BE35="Moderado",1,0))</f>
        <v>0</v>
      </c>
      <c r="BG35" s="515">
        <f>+AC35-BF35</f>
        <v>1</v>
      </c>
      <c r="BH35" s="483" t="str">
        <f>+VLOOKUP(BG35,Listados!$J$18:$K$24,2,TRUE)</f>
        <v>Rara Vez</v>
      </c>
      <c r="BI35" s="572" t="str">
        <f>IF(ISBLANK(AD35),"",AD35)</f>
        <v>Moderado</v>
      </c>
      <c r="BJ35" s="483" t="str">
        <f>IF(AND(BH35&lt;&gt;"",BI35&lt;&gt;""),VLOOKUP(BH35&amp;BI35,Listados!$M$3:$N$27,2,FALSE),"")</f>
        <v>Moderado</v>
      </c>
      <c r="BK35" s="577" t="str">
        <f>+VLOOKUP(BJ35,Listados!$P$3:$Q$6,2,FALSE)</f>
        <v xml:space="preserve"> Reducir el riesgo</v>
      </c>
      <c r="BL35" s="481" t="s">
        <v>1361</v>
      </c>
      <c r="BM35" s="477" t="s">
        <v>760</v>
      </c>
      <c r="BN35" s="487">
        <v>45292</v>
      </c>
      <c r="BO35" s="487">
        <v>45657</v>
      </c>
      <c r="BP35" s="477" t="s">
        <v>761</v>
      </c>
      <c r="BQ35" s="477" t="s">
        <v>1362</v>
      </c>
      <c r="BR35" s="490" t="s">
        <v>1227</v>
      </c>
      <c r="BS35" s="490" t="s">
        <v>1254</v>
      </c>
      <c r="BT35" s="490" t="s">
        <v>1363</v>
      </c>
      <c r="BU35" s="490" t="s">
        <v>1275</v>
      </c>
      <c r="BV35" s="469" t="s">
        <v>1282</v>
      </c>
      <c r="BW35" s="690" t="s">
        <v>1430</v>
      </c>
    </row>
    <row r="36" spans="1:75" ht="90" customHeight="1" thickBot="1">
      <c r="A36" s="533"/>
      <c r="B36" s="545"/>
      <c r="C36" s="446"/>
      <c r="D36" s="468"/>
      <c r="E36" s="128" t="s">
        <v>759</v>
      </c>
      <c r="F36" s="129" t="s">
        <v>16</v>
      </c>
      <c r="G36" s="443"/>
      <c r="H36" s="452"/>
      <c r="I36" s="452"/>
      <c r="J36" s="452"/>
      <c r="K36" s="450"/>
      <c r="L36" s="450"/>
      <c r="M36" s="450"/>
      <c r="N36" s="450"/>
      <c r="O36" s="450"/>
      <c r="P36" s="450"/>
      <c r="Q36" s="450"/>
      <c r="R36" s="450"/>
      <c r="S36" s="450"/>
      <c r="T36" s="450"/>
      <c r="U36" s="450"/>
      <c r="V36" s="450"/>
      <c r="W36" s="450"/>
      <c r="X36" s="450"/>
      <c r="Y36" s="450"/>
      <c r="Z36" s="450"/>
      <c r="AA36" s="456"/>
      <c r="AB36" s="454"/>
      <c r="AC36" s="456"/>
      <c r="AD36" s="460" t="str">
        <f>+IF(OR(AB36=1,AB36&lt;=5),"Moderado",IF(OR(AB36=6,AB36&lt;=11),"Mayor","Catastrófico"))</f>
        <v>Moderado</v>
      </c>
      <c r="AE36" s="456"/>
      <c r="AF36" s="458"/>
      <c r="AG36" s="213" t="s">
        <v>1360</v>
      </c>
      <c r="AH36" s="128" t="s">
        <v>759</v>
      </c>
      <c r="AI36" s="330" t="s">
        <v>20</v>
      </c>
      <c r="AJ36" s="239" t="s">
        <v>116</v>
      </c>
      <c r="AK36" s="251">
        <f t="shared" si="22"/>
        <v>15</v>
      </c>
      <c r="AL36" s="239" t="s">
        <v>116</v>
      </c>
      <c r="AM36" s="261">
        <f t="shared" si="58"/>
        <v>15</v>
      </c>
      <c r="AN36" s="151" t="s">
        <v>312</v>
      </c>
      <c r="AO36" s="292">
        <f t="shared" si="59"/>
        <v>15</v>
      </c>
      <c r="AP36" s="228" t="s">
        <v>20</v>
      </c>
      <c r="AQ36" s="289">
        <f t="shared" si="46"/>
        <v>15</v>
      </c>
      <c r="AR36" s="216" t="s">
        <v>116</v>
      </c>
      <c r="AS36" s="216" t="s">
        <v>116</v>
      </c>
      <c r="AT36" s="216" t="s">
        <v>116</v>
      </c>
      <c r="AU36" s="291">
        <f t="shared" si="43"/>
        <v>15</v>
      </c>
      <c r="AV36" s="299" t="s">
        <v>117</v>
      </c>
      <c r="AW36" s="291">
        <f t="shared" si="35"/>
        <v>10</v>
      </c>
      <c r="AX36" s="302">
        <f t="shared" si="60"/>
        <v>85</v>
      </c>
      <c r="AY36" s="302" t="str">
        <f t="shared" si="61"/>
        <v>Débil</v>
      </c>
      <c r="AZ36" s="219" t="s">
        <v>118</v>
      </c>
      <c r="BA36" s="304" t="str">
        <f t="shared" si="62"/>
        <v>Fuerte</v>
      </c>
      <c r="BB36" s="300" t="str">
        <f>IFERROR(VLOOKUP((CONCATENATE(AY36,BA36)),Listados!$U$3:$V$11,2,FALSE),"")</f>
        <v>Débil</v>
      </c>
      <c r="BC36" s="313">
        <f t="shared" si="18"/>
        <v>0</v>
      </c>
      <c r="BD36" s="313">
        <f>AVERAGE(BC36:BC36)</f>
        <v>0</v>
      </c>
      <c r="BE36" s="575"/>
      <c r="BF36" s="571"/>
      <c r="BG36" s="571"/>
      <c r="BH36" s="484"/>
      <c r="BI36" s="574"/>
      <c r="BJ36" s="484"/>
      <c r="BK36" s="584"/>
      <c r="BL36" s="482"/>
      <c r="BM36" s="478"/>
      <c r="BN36" s="488"/>
      <c r="BO36" s="488"/>
      <c r="BP36" s="478"/>
      <c r="BQ36" s="478"/>
      <c r="BR36" s="495"/>
      <c r="BS36" s="495"/>
      <c r="BT36" s="495"/>
      <c r="BU36" s="495"/>
      <c r="BV36" s="470"/>
      <c r="BW36" s="691"/>
    </row>
    <row r="37" spans="1:75" ht="90.75" customHeight="1" thickBot="1">
      <c r="A37" s="532">
        <v>13</v>
      </c>
      <c r="B37" s="544" t="s">
        <v>101</v>
      </c>
      <c r="C37" s="522" t="str">
        <f>IFERROR(VLOOKUP(B37,Listados!B$3:C$20,2,FALSE),"")</f>
        <v>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v>
      </c>
      <c r="D37" s="467" t="s">
        <v>1364</v>
      </c>
      <c r="E37" s="128" t="s">
        <v>1365</v>
      </c>
      <c r="F37" s="17" t="s">
        <v>16</v>
      </c>
      <c r="G37" s="448" t="s">
        <v>1367</v>
      </c>
      <c r="H37" s="451" t="s">
        <v>116</v>
      </c>
      <c r="I37" s="451" t="s">
        <v>116</v>
      </c>
      <c r="J37" s="451" t="s">
        <v>116</v>
      </c>
      <c r="K37" s="461" t="s">
        <v>120</v>
      </c>
      <c r="L37" s="461" t="s">
        <v>120</v>
      </c>
      <c r="M37" s="461" t="s">
        <v>120</v>
      </c>
      <c r="N37" s="461" t="s">
        <v>120</v>
      </c>
      <c r="O37" s="461" t="s">
        <v>120</v>
      </c>
      <c r="P37" s="461" t="s">
        <v>120</v>
      </c>
      <c r="Q37" s="461" t="s">
        <v>120</v>
      </c>
      <c r="R37" s="461" t="s">
        <v>120</v>
      </c>
      <c r="S37" s="461" t="s">
        <v>120</v>
      </c>
      <c r="T37" s="461" t="s">
        <v>120</v>
      </c>
      <c r="U37" s="461" t="s">
        <v>120</v>
      </c>
      <c r="V37" s="461" t="s">
        <v>120</v>
      </c>
      <c r="W37" s="461" t="s">
        <v>120</v>
      </c>
      <c r="X37" s="461" t="s">
        <v>120</v>
      </c>
      <c r="Y37" s="461" t="s">
        <v>120</v>
      </c>
      <c r="Z37" s="461" t="s">
        <v>120</v>
      </c>
      <c r="AA37" s="455">
        <f>COUNTIF(H37:Z38, "SI")</f>
        <v>3</v>
      </c>
      <c r="AB37" s="453" t="s">
        <v>53</v>
      </c>
      <c r="AC37" s="455">
        <f>+VLOOKUP(AB37,Listados!$K$8:$L$12,2,0)</f>
        <v>4</v>
      </c>
      <c r="AD37" s="459" t="str">
        <f>+IF(OR(AA37=1,AA37&lt;=5),"Moderado",IF(OR(AA37=6,AA37&lt;=11),"Mayor","Catastrófico"))</f>
        <v>Moderado</v>
      </c>
      <c r="AE37" s="455">
        <f>+VLOOKUP(AD37,Listados!K13:L17,2,0)</f>
        <v>3</v>
      </c>
      <c r="AF37" s="457" t="str">
        <f>IF(AND(AB37&lt;&gt;"",AD37&lt;&gt;""),VLOOKUP(AB37&amp;AD37,Listados!$M$3:$N$27,2,FALSE),"")</f>
        <v>Alto</v>
      </c>
      <c r="AG37" s="348" t="s">
        <v>1368</v>
      </c>
      <c r="AH37" s="128" t="s">
        <v>1365</v>
      </c>
      <c r="AI37" s="330" t="s">
        <v>20</v>
      </c>
      <c r="AJ37" s="239" t="s">
        <v>116</v>
      </c>
      <c r="AK37" s="251">
        <f t="shared" si="22"/>
        <v>15</v>
      </c>
      <c r="AL37" s="239" t="s">
        <v>116</v>
      </c>
      <c r="AM37" s="251">
        <f t="shared" si="58"/>
        <v>15</v>
      </c>
      <c r="AN37" s="216" t="s">
        <v>312</v>
      </c>
      <c r="AO37" s="290">
        <f t="shared" si="59"/>
        <v>15</v>
      </c>
      <c r="AP37" s="228" t="s">
        <v>20</v>
      </c>
      <c r="AQ37" s="289">
        <f t="shared" si="46"/>
        <v>15</v>
      </c>
      <c r="AR37" s="216" t="s">
        <v>116</v>
      </c>
      <c r="AS37" s="216" t="s">
        <v>116</v>
      </c>
      <c r="AT37" s="216" t="s">
        <v>116</v>
      </c>
      <c r="AU37" s="291">
        <f>+IF(AT37="si",15,"")</f>
        <v>15</v>
      </c>
      <c r="AV37" s="299" t="s">
        <v>117</v>
      </c>
      <c r="AW37" s="291">
        <f t="shared" si="35"/>
        <v>10</v>
      </c>
      <c r="AX37" s="301">
        <f t="shared" si="60"/>
        <v>85</v>
      </c>
      <c r="AY37" s="301" t="str">
        <f t="shared" si="61"/>
        <v>Débil</v>
      </c>
      <c r="AZ37" s="219" t="s">
        <v>118</v>
      </c>
      <c r="BA37" s="298" t="str">
        <f t="shared" si="62"/>
        <v>Fuerte</v>
      </c>
      <c r="BB37" s="298" t="str">
        <f>IFERROR(VLOOKUP((CONCATENATE(AY37,BA37)),Listados!$U$3:$V$11,2,FALSE),"")</f>
        <v>Débil</v>
      </c>
      <c r="BC37" s="313">
        <f t="shared" si="18"/>
        <v>0</v>
      </c>
      <c r="BD37" s="313">
        <f t="shared" si="21"/>
        <v>0</v>
      </c>
      <c r="BE37" s="517" t="str">
        <f>IF(BD37&lt;=50, "Débil", IF(BD37&lt;=99,"Moderado","Fuerte"))</f>
        <v>Débil</v>
      </c>
      <c r="BF37" s="515">
        <f>+IF(BE37="Fuerte",2,IF(BE37="Moderado",1,0))</f>
        <v>0</v>
      </c>
      <c r="BG37" s="515">
        <f>+AC37-BF37</f>
        <v>4</v>
      </c>
      <c r="BH37" s="483" t="str">
        <f>+VLOOKUP(BG37,Listados!$J$18:$K$24,2,TRUE)</f>
        <v>Probable</v>
      </c>
      <c r="BI37" s="572" t="str">
        <f>IF(ISBLANK(AD37),"",AD37)</f>
        <v>Moderado</v>
      </c>
      <c r="BJ37" s="483" t="str">
        <f>IF(AND(BH37&lt;&gt;"",BI37&lt;&gt;""),VLOOKUP(BH37&amp;BI37,Listados!$M$3:$N$27,2,FALSE),"")</f>
        <v>Alto</v>
      </c>
      <c r="BK37" s="577" t="str">
        <f>+VLOOKUP(BJ37,Listados!$P$3:$Q$6,2,FALSE)</f>
        <v>Reducir el riesgo</v>
      </c>
      <c r="BL37" s="349" t="s">
        <v>1420</v>
      </c>
      <c r="BM37" s="349" t="s">
        <v>1370</v>
      </c>
      <c r="BN37" s="350">
        <v>45292</v>
      </c>
      <c r="BO37" s="350">
        <v>45657</v>
      </c>
      <c r="BP37" s="349" t="s">
        <v>761</v>
      </c>
      <c r="BQ37" s="349" t="s">
        <v>1371</v>
      </c>
      <c r="BR37" s="481" t="s">
        <v>1228</v>
      </c>
      <c r="BS37" s="490" t="s">
        <v>1255</v>
      </c>
      <c r="BT37" s="490" t="s">
        <v>1375</v>
      </c>
      <c r="BU37" s="490" t="s">
        <v>1283</v>
      </c>
      <c r="BV37" s="469" t="s">
        <v>1294</v>
      </c>
      <c r="BW37" s="690" t="s">
        <v>1431</v>
      </c>
    </row>
    <row r="38" spans="1:75" ht="84" customHeight="1" thickBot="1">
      <c r="A38" s="534"/>
      <c r="B38" s="543"/>
      <c r="C38" s="525"/>
      <c r="D38" s="524"/>
      <c r="E38" s="128" t="s">
        <v>1366</v>
      </c>
      <c r="F38" s="66" t="s">
        <v>16</v>
      </c>
      <c r="G38" s="444"/>
      <c r="H38" s="462"/>
      <c r="I38" s="452"/>
      <c r="J38" s="452"/>
      <c r="K38" s="508"/>
      <c r="L38" s="508"/>
      <c r="M38" s="508"/>
      <c r="N38" s="508"/>
      <c r="O38" s="508"/>
      <c r="P38" s="508"/>
      <c r="Q38" s="508"/>
      <c r="R38" s="508"/>
      <c r="S38" s="508"/>
      <c r="T38" s="508"/>
      <c r="U38" s="508"/>
      <c r="V38" s="508"/>
      <c r="W38" s="508"/>
      <c r="X38" s="508"/>
      <c r="Y38" s="508"/>
      <c r="Z38" s="508"/>
      <c r="AA38" s="456"/>
      <c r="AB38" s="454"/>
      <c r="AC38" s="456"/>
      <c r="AD38" s="507" t="str">
        <f>+IF(OR(AB38=1,AB38&lt;=5),"Moderado",IF(OR(AB38=6,AB38&lt;=11),"Mayor","Catastrófico"))</f>
        <v>Moderado</v>
      </c>
      <c r="AE38" s="456"/>
      <c r="AF38" s="458"/>
      <c r="AG38" s="348" t="s">
        <v>1369</v>
      </c>
      <c r="AH38" s="128" t="s">
        <v>1366</v>
      </c>
      <c r="AI38" s="330" t="s">
        <v>20</v>
      </c>
      <c r="AJ38" s="239" t="s">
        <v>116</v>
      </c>
      <c r="AK38" s="251">
        <f t="shared" si="22"/>
        <v>15</v>
      </c>
      <c r="AL38" s="239" t="s">
        <v>116</v>
      </c>
      <c r="AM38" s="254">
        <f t="shared" si="58"/>
        <v>15</v>
      </c>
      <c r="AN38" s="215" t="s">
        <v>312</v>
      </c>
      <c r="AO38" s="291">
        <f t="shared" si="59"/>
        <v>15</v>
      </c>
      <c r="AP38" s="228" t="s">
        <v>20</v>
      </c>
      <c r="AQ38" s="289">
        <f t="shared" si="46"/>
        <v>15</v>
      </c>
      <c r="AR38" s="216" t="s">
        <v>116</v>
      </c>
      <c r="AS38" s="216" t="s">
        <v>116</v>
      </c>
      <c r="AT38" s="216" t="s">
        <v>116</v>
      </c>
      <c r="AU38" s="291">
        <f t="shared" si="43"/>
        <v>15</v>
      </c>
      <c r="AV38" s="299" t="s">
        <v>117</v>
      </c>
      <c r="AW38" s="291">
        <f t="shared" si="35"/>
        <v>10</v>
      </c>
      <c r="AX38" s="303">
        <f t="shared" si="60"/>
        <v>85</v>
      </c>
      <c r="AY38" s="303" t="str">
        <f t="shared" si="61"/>
        <v>Débil</v>
      </c>
      <c r="AZ38" s="219" t="s">
        <v>118</v>
      </c>
      <c r="BA38" s="305" t="str">
        <f t="shared" si="62"/>
        <v>Fuerte</v>
      </c>
      <c r="BB38" s="297" t="str">
        <f>IFERROR(VLOOKUP((CONCATENATE(AY38,BA38)),Listados!$U$3:$V$11,2,FALSE),"")</f>
        <v>Débil</v>
      </c>
      <c r="BC38" s="313">
        <f t="shared" si="18"/>
        <v>0</v>
      </c>
      <c r="BD38" s="313">
        <f t="shared" si="21"/>
        <v>50</v>
      </c>
      <c r="BE38" s="518"/>
      <c r="BF38" s="516"/>
      <c r="BG38" s="516"/>
      <c r="BH38" s="485"/>
      <c r="BI38" s="573"/>
      <c r="BJ38" s="485"/>
      <c r="BK38" s="578"/>
      <c r="BL38" s="349" t="s">
        <v>1419</v>
      </c>
      <c r="BM38" s="349" t="s">
        <v>1372</v>
      </c>
      <c r="BN38" s="350">
        <v>45292</v>
      </c>
      <c r="BO38" s="350">
        <v>45657</v>
      </c>
      <c r="BP38" s="349" t="s">
        <v>1373</v>
      </c>
      <c r="BQ38" s="349" t="s">
        <v>1374</v>
      </c>
      <c r="BR38" s="498"/>
      <c r="BS38" s="491"/>
      <c r="BT38" s="491"/>
      <c r="BU38" s="491"/>
      <c r="BV38" s="492"/>
      <c r="BW38" s="691"/>
    </row>
    <row r="39" spans="1:75" ht="153" customHeight="1" thickBot="1">
      <c r="A39" s="532">
        <v>14</v>
      </c>
      <c r="B39" s="544" t="s">
        <v>1314</v>
      </c>
      <c r="C39" s="461" t="s">
        <v>1354</v>
      </c>
      <c r="D39" s="469" t="s">
        <v>1391</v>
      </c>
      <c r="E39" s="100" t="s">
        <v>1392</v>
      </c>
      <c r="F39" s="61" t="s">
        <v>16</v>
      </c>
      <c r="G39" s="469" t="s">
        <v>1393</v>
      </c>
      <c r="H39" s="451" t="s">
        <v>116</v>
      </c>
      <c r="I39" s="451" t="s">
        <v>116</v>
      </c>
      <c r="J39" s="451" t="s">
        <v>116</v>
      </c>
      <c r="K39" s="461" t="s">
        <v>120</v>
      </c>
      <c r="L39" s="461" t="s">
        <v>120</v>
      </c>
      <c r="M39" s="461" t="s">
        <v>120</v>
      </c>
      <c r="N39" s="461" t="s">
        <v>120</v>
      </c>
      <c r="O39" s="461" t="s">
        <v>120</v>
      </c>
      <c r="P39" s="461" t="s">
        <v>120</v>
      </c>
      <c r="Q39" s="461" t="s">
        <v>120</v>
      </c>
      <c r="R39" s="461" t="s">
        <v>120</v>
      </c>
      <c r="S39" s="461" t="s">
        <v>120</v>
      </c>
      <c r="T39" s="461" t="s">
        <v>120</v>
      </c>
      <c r="U39" s="461" t="s">
        <v>120</v>
      </c>
      <c r="V39" s="461" t="s">
        <v>120</v>
      </c>
      <c r="W39" s="461" t="s">
        <v>120</v>
      </c>
      <c r="X39" s="461" t="s">
        <v>120</v>
      </c>
      <c r="Y39" s="461" t="s">
        <v>120</v>
      </c>
      <c r="Z39" s="461" t="s">
        <v>120</v>
      </c>
      <c r="AA39" s="457">
        <f>COUNTIF(H39:Z40, "SI")</f>
        <v>3</v>
      </c>
      <c r="AB39" s="451" t="s">
        <v>63</v>
      </c>
      <c r="AC39" s="457">
        <f>+VLOOKUP(AB39,Listados!$K$8:$L$12,2,0)</f>
        <v>5</v>
      </c>
      <c r="AD39" s="513" t="str">
        <f>+IF(OR(AA39=1,AA39&lt;=5),"Moderado",IF(OR(AA39=6,AA39&lt;=11),"Mayor","Catastrófico"))</f>
        <v>Moderado</v>
      </c>
      <c r="AE39" s="457">
        <f>+VLOOKUP(AD39,Listados!K13:L17,2,0)</f>
        <v>3</v>
      </c>
      <c r="AF39" s="457" t="str">
        <f>IF(AND(AB39&lt;&gt;"",AD39&lt;&gt;""),VLOOKUP(AB39&amp;AD39,Listados!$M$3:$N$27,2,FALSE),"")</f>
        <v>Extremo</v>
      </c>
      <c r="AG39" s="451" t="s">
        <v>1394</v>
      </c>
      <c r="AH39" s="100" t="s">
        <v>1395</v>
      </c>
      <c r="AI39" s="330" t="s">
        <v>20</v>
      </c>
      <c r="AJ39" s="363" t="s">
        <v>116</v>
      </c>
      <c r="AK39" s="94">
        <f t="shared" si="22"/>
        <v>15</v>
      </c>
      <c r="AL39" s="363" t="s">
        <v>116</v>
      </c>
      <c r="AM39" s="94">
        <f t="shared" ref="AM39:AM48" si="63">+IF(AL39="si",15,"")</f>
        <v>15</v>
      </c>
      <c r="AN39" s="62" t="s">
        <v>116</v>
      </c>
      <c r="AO39" s="288">
        <f t="shared" ref="AO39:AO48" si="64">+IF(AN39="si",15,"")</f>
        <v>15</v>
      </c>
      <c r="AP39" s="318" t="s">
        <v>20</v>
      </c>
      <c r="AQ39" s="289">
        <f t="shared" si="46"/>
        <v>15</v>
      </c>
      <c r="AR39" s="62" t="s">
        <v>116</v>
      </c>
      <c r="AS39" s="94">
        <f t="shared" ref="AS39" si="65">+IF(AR39="si",15,"")</f>
        <v>15</v>
      </c>
      <c r="AT39" s="62" t="s">
        <v>116</v>
      </c>
      <c r="AU39" s="289">
        <f>+IF(AT39="si",15,"")</f>
        <v>15</v>
      </c>
      <c r="AV39" s="311" t="s">
        <v>117</v>
      </c>
      <c r="AW39" s="289">
        <f t="shared" si="35"/>
        <v>10</v>
      </c>
      <c r="AX39" s="364">
        <f t="shared" si="60"/>
        <v>100</v>
      </c>
      <c r="AY39" s="364" t="str">
        <f t="shared" si="61"/>
        <v>Fuerte</v>
      </c>
      <c r="AZ39" s="365" t="s">
        <v>118</v>
      </c>
      <c r="BA39" s="364" t="str">
        <f t="shared" si="62"/>
        <v>Fuerte</v>
      </c>
      <c r="BB39" s="364" t="str">
        <f>IFERROR(VLOOKUP((CONCATENATE(AY39,BA39)),Listados!$U$3:$V$11,2,FALSE),"")</f>
        <v>Fuerte</v>
      </c>
      <c r="BC39" s="359">
        <f t="shared" si="18"/>
        <v>100</v>
      </c>
      <c r="BD39" s="359">
        <f t="shared" si="21"/>
        <v>50</v>
      </c>
      <c r="BE39" s="594" t="str">
        <f>IF(BD39&lt;=50, "Débil", IF(BD39&lt;=99,"Moderado","Fuerte"))</f>
        <v>Débil</v>
      </c>
      <c r="BF39" s="594">
        <f>+IF(BE39="Fuerte",2,IF(BE39="Moderado",1,0))</f>
        <v>0</v>
      </c>
      <c r="BG39" s="594">
        <f>+AC39-BF39</f>
        <v>5</v>
      </c>
      <c r="BH39" s="457" t="str">
        <f>+VLOOKUP(BG39,Listados!$J$18:$K$24,2,TRUE)</f>
        <v>Casi seguro</v>
      </c>
      <c r="BI39" s="457" t="str">
        <f>IF(ISBLANK(AD39),"",AD39)</f>
        <v>Moderado</v>
      </c>
      <c r="BJ39" s="457" t="str">
        <f>IF(AND(BH39&lt;&gt;"",BI39&lt;&gt;""),VLOOKUP(BH39&amp;BI39,Listados!$M$3:$N$27,2,FALSE),"")</f>
        <v>Extremo</v>
      </c>
      <c r="BK39" s="457" t="str">
        <f>+VLOOKUP(BJ39,Listados!$P$3:$Q$6,2,FALSE)</f>
        <v>Evitar el riesgo</v>
      </c>
      <c r="BL39" s="481" t="s">
        <v>1396</v>
      </c>
      <c r="BM39" s="477" t="s">
        <v>730</v>
      </c>
      <c r="BN39" s="487">
        <v>45292</v>
      </c>
      <c r="BO39" s="487">
        <v>45657</v>
      </c>
      <c r="BP39" s="477" t="s">
        <v>1229</v>
      </c>
      <c r="BQ39" s="477" t="s">
        <v>1397</v>
      </c>
      <c r="BR39" s="481" t="s">
        <v>1230</v>
      </c>
      <c r="BS39" s="479" t="s">
        <v>1398</v>
      </c>
      <c r="BT39" s="490" t="s">
        <v>1399</v>
      </c>
      <c r="BU39" s="490" t="s">
        <v>1284</v>
      </c>
      <c r="BV39" s="496" t="s">
        <v>1295</v>
      </c>
      <c r="BW39" s="694" t="s">
        <v>1434</v>
      </c>
    </row>
    <row r="40" spans="1:75" ht="117" customHeight="1" thickBot="1">
      <c r="A40" s="534"/>
      <c r="B40" s="545"/>
      <c r="C40" s="523"/>
      <c r="D40" s="528"/>
      <c r="E40" s="366"/>
      <c r="F40" s="367" t="s">
        <v>16</v>
      </c>
      <c r="G40" s="528"/>
      <c r="H40" s="452"/>
      <c r="I40" s="452"/>
      <c r="J40" s="452"/>
      <c r="K40" s="523"/>
      <c r="L40" s="523"/>
      <c r="M40" s="523"/>
      <c r="N40" s="523"/>
      <c r="O40" s="523"/>
      <c r="P40" s="523"/>
      <c r="Q40" s="523"/>
      <c r="R40" s="523"/>
      <c r="S40" s="523"/>
      <c r="T40" s="523"/>
      <c r="U40" s="523"/>
      <c r="V40" s="523"/>
      <c r="W40" s="523"/>
      <c r="X40" s="523"/>
      <c r="Y40" s="523"/>
      <c r="Z40" s="523"/>
      <c r="AA40" s="458"/>
      <c r="AB40" s="452"/>
      <c r="AC40" s="458"/>
      <c r="AD40" s="591" t="str">
        <f>+IF(OR(AB40=1,AB40&lt;=5),"Moderado",IF(OR(AB40=6,AB40&lt;=11),"Mayor","Catastrófico"))</f>
        <v>Moderado</v>
      </c>
      <c r="AE40" s="458"/>
      <c r="AF40" s="458"/>
      <c r="AG40" s="462"/>
      <c r="AH40" s="366"/>
      <c r="AI40" s="330" t="s">
        <v>20</v>
      </c>
      <c r="AJ40" s="363" t="s">
        <v>116</v>
      </c>
      <c r="AK40" s="94">
        <f t="shared" si="22"/>
        <v>15</v>
      </c>
      <c r="AL40" s="363" t="s">
        <v>116</v>
      </c>
      <c r="AM40" s="95">
        <f t="shared" si="63"/>
        <v>15</v>
      </c>
      <c r="AN40" s="362" t="s">
        <v>116</v>
      </c>
      <c r="AO40" s="294">
        <f t="shared" si="64"/>
        <v>15</v>
      </c>
      <c r="AP40" s="318" t="s">
        <v>20</v>
      </c>
      <c r="AQ40" s="294">
        <f t="shared" si="46"/>
        <v>15</v>
      </c>
      <c r="AR40" s="318" t="s">
        <v>116</v>
      </c>
      <c r="AS40" s="318" t="s">
        <v>116</v>
      </c>
      <c r="AT40" s="318" t="s">
        <v>116</v>
      </c>
      <c r="AU40" s="294">
        <f t="shared" si="43"/>
        <v>15</v>
      </c>
      <c r="AV40" s="368" t="s">
        <v>117</v>
      </c>
      <c r="AW40" s="294">
        <f t="shared" si="35"/>
        <v>10</v>
      </c>
      <c r="AX40" s="360">
        <f t="shared" si="60"/>
        <v>85</v>
      </c>
      <c r="AY40" s="360" t="str">
        <f t="shared" si="61"/>
        <v>Débil</v>
      </c>
      <c r="AZ40" s="365" t="s">
        <v>118</v>
      </c>
      <c r="BA40" s="369" t="str">
        <f t="shared" si="62"/>
        <v>Fuerte</v>
      </c>
      <c r="BB40" s="360" t="str">
        <f>IFERROR(VLOOKUP((CONCATENATE(AY40,BA40)),Listados!$U$3:$V$11,2,FALSE),"")</f>
        <v>Débil</v>
      </c>
      <c r="BC40" s="359">
        <f t="shared" si="18"/>
        <v>0</v>
      </c>
      <c r="BD40" s="359">
        <f t="shared" si="21"/>
        <v>0</v>
      </c>
      <c r="BE40" s="595"/>
      <c r="BF40" s="595"/>
      <c r="BG40" s="595"/>
      <c r="BH40" s="458"/>
      <c r="BI40" s="458"/>
      <c r="BJ40" s="458"/>
      <c r="BK40" s="458"/>
      <c r="BL40" s="482"/>
      <c r="BM40" s="478"/>
      <c r="BN40" s="478"/>
      <c r="BO40" s="478"/>
      <c r="BP40" s="478"/>
      <c r="BQ40" s="478"/>
      <c r="BR40" s="482"/>
      <c r="BS40" s="493"/>
      <c r="BT40" s="494"/>
      <c r="BU40" s="494"/>
      <c r="BV40" s="497"/>
      <c r="BW40" s="695"/>
    </row>
    <row r="41" spans="1:75" ht="122.25" customHeight="1" thickBot="1">
      <c r="A41" s="605">
        <v>15</v>
      </c>
      <c r="B41" s="538" t="s">
        <v>86</v>
      </c>
      <c r="C41" s="526" t="str">
        <f>IFERROR(VLOOKUP(B41,Listados!B$3:C$20,2,FALSE),"")</f>
        <v>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v>
      </c>
      <c r="D41" s="467" t="s">
        <v>1333</v>
      </c>
      <c r="E41" s="214" t="s">
        <v>1334</v>
      </c>
      <c r="F41" s="17" t="s">
        <v>16</v>
      </c>
      <c r="G41" s="529" t="s">
        <v>1338</v>
      </c>
      <c r="H41" s="451" t="s">
        <v>116</v>
      </c>
      <c r="I41" s="451" t="s">
        <v>116</v>
      </c>
      <c r="J41" s="451" t="s">
        <v>116</v>
      </c>
      <c r="K41" s="451" t="s">
        <v>116</v>
      </c>
      <c r="L41" s="451" t="s">
        <v>116</v>
      </c>
      <c r="M41" s="451" t="s">
        <v>116</v>
      </c>
      <c r="N41" s="451" t="s">
        <v>116</v>
      </c>
      <c r="O41" s="451" t="s">
        <v>116</v>
      </c>
      <c r="P41" s="451" t="s">
        <v>116</v>
      </c>
      <c r="Q41" s="451" t="s">
        <v>116</v>
      </c>
      <c r="R41" s="451" t="s">
        <v>116</v>
      </c>
      <c r="S41" s="451" t="s">
        <v>116</v>
      </c>
      <c r="T41" s="451" t="s">
        <v>116</v>
      </c>
      <c r="U41" s="451" t="s">
        <v>116</v>
      </c>
      <c r="V41" s="451" t="s">
        <v>116</v>
      </c>
      <c r="W41" s="451" t="s">
        <v>116</v>
      </c>
      <c r="X41" s="451" t="s">
        <v>116</v>
      </c>
      <c r="Y41" s="451" t="s">
        <v>116</v>
      </c>
      <c r="Z41" s="451" t="s">
        <v>116</v>
      </c>
      <c r="AA41" s="459">
        <f>COUNTIF(H41:Z45, "SI")</f>
        <v>19</v>
      </c>
      <c r="AB41" s="453" t="s">
        <v>21</v>
      </c>
      <c r="AC41" s="455">
        <f>+VLOOKUP(AB41,Listados!$K$8:$L$12,2,0)</f>
        <v>1</v>
      </c>
      <c r="AD41" s="459" t="str">
        <f>+IF(OR(AA41=1,AA41&lt;=5),"Moderado",IF(OR(AA41=6,AA41&lt;=11),"Mayor","Catastrófico"))</f>
        <v>Catastrófico</v>
      </c>
      <c r="AE41" s="455">
        <f>+VLOOKUP(AD41,Listados!K13:L17,2,0)</f>
        <v>5</v>
      </c>
      <c r="AF41" s="457" t="str">
        <f>IF(AND(AB41&lt;&gt;"",AD41&lt;&gt;""),VLOOKUP(AB41&amp;AD41,Listados!$M$3:$N$27,2,FALSE),"")</f>
        <v>Extremo</v>
      </c>
      <c r="AG41" s="235" t="s">
        <v>1339</v>
      </c>
      <c r="AH41" s="252" t="s">
        <v>1334</v>
      </c>
      <c r="AI41" s="330" t="s">
        <v>123</v>
      </c>
      <c r="AJ41" s="239" t="s">
        <v>116</v>
      </c>
      <c r="AK41" s="251">
        <f t="shared" si="22"/>
        <v>15</v>
      </c>
      <c r="AL41" s="239" t="s">
        <v>116</v>
      </c>
      <c r="AM41" s="94">
        <f t="shared" si="63"/>
        <v>15</v>
      </c>
      <c r="AN41" s="62" t="s">
        <v>116</v>
      </c>
      <c r="AO41" s="288">
        <f t="shared" si="64"/>
        <v>15</v>
      </c>
      <c r="AP41" s="228" t="s">
        <v>20</v>
      </c>
      <c r="AQ41" s="342">
        <f t="shared" si="46"/>
        <v>15</v>
      </c>
      <c r="AR41" s="216" t="s">
        <v>116</v>
      </c>
      <c r="AS41" s="216" t="s">
        <v>116</v>
      </c>
      <c r="AT41" s="216" t="s">
        <v>116</v>
      </c>
      <c r="AU41" s="343">
        <f>+IF(AT41="si",15,"")</f>
        <v>15</v>
      </c>
      <c r="AV41" s="325" t="s">
        <v>117</v>
      </c>
      <c r="AW41" s="343">
        <f t="shared" si="35"/>
        <v>10</v>
      </c>
      <c r="AX41" s="301">
        <f t="shared" si="60"/>
        <v>85</v>
      </c>
      <c r="AY41" s="301" t="str">
        <f t="shared" si="61"/>
        <v>Débil</v>
      </c>
      <c r="AZ41" s="219" t="s">
        <v>118</v>
      </c>
      <c r="BA41" s="298" t="str">
        <f t="shared" si="62"/>
        <v>Fuerte</v>
      </c>
      <c r="BB41" s="298" t="str">
        <f>IFERROR(VLOOKUP((CONCATENATE(AY41,BA41)),[27]Listados!$U$3:$V$11,2,FALSE),"")</f>
        <v>Débil</v>
      </c>
      <c r="BC41" s="313">
        <f t="shared" si="18"/>
        <v>0</v>
      </c>
      <c r="BD41" s="313">
        <f t="shared" si="21"/>
        <v>0</v>
      </c>
      <c r="BE41" s="517" t="str">
        <f>IF(BD41&lt;=50, "Débil", IF(BD41&lt;=99,"Moderado","Fuerte"))</f>
        <v>Débil</v>
      </c>
      <c r="BF41" s="511">
        <f>+IF(BE41="Fuerte",2,IF(BE41="Moderado",1,0))</f>
        <v>0</v>
      </c>
      <c r="BG41" s="511">
        <f>+AC41-BF41</f>
        <v>1</v>
      </c>
      <c r="BH41" s="457" t="str">
        <f>+VLOOKUP(BG41,[27]Listados!$J$18:$K$24,2,TRUE)</f>
        <v>Rara Vez</v>
      </c>
      <c r="BI41" s="513" t="str">
        <f>IF(ISBLANK(AD41),"",AD41)</f>
        <v>Catastrófico</v>
      </c>
      <c r="BJ41" s="457" t="str">
        <f>IF(AND(BH41&lt;&gt;"",BI41&lt;&gt;""),VLOOKUP(BH41&amp;BI41,[27]Listados!$M$3:$N$27,2,FALSE),"")</f>
        <v>Extremo</v>
      </c>
      <c r="BK41" s="457" t="str">
        <f>+VLOOKUP(BJ41,[27]Listados!$P$3:$Q$6,2,FALSE)</f>
        <v>Evitar el riesgo</v>
      </c>
      <c r="BL41" s="479" t="s">
        <v>1343</v>
      </c>
      <c r="BM41" s="62" t="s">
        <v>673</v>
      </c>
      <c r="BN41" s="256">
        <v>45292</v>
      </c>
      <c r="BO41" s="256">
        <v>45657</v>
      </c>
      <c r="BP41" s="451" t="s">
        <v>1346</v>
      </c>
      <c r="BQ41" s="451" t="s">
        <v>1348</v>
      </c>
      <c r="BR41" s="61" t="s">
        <v>1286</v>
      </c>
      <c r="BS41" s="451" t="s">
        <v>1251</v>
      </c>
      <c r="BT41" s="477" t="s">
        <v>1351</v>
      </c>
      <c r="BU41" s="490" t="s">
        <v>1285</v>
      </c>
      <c r="BV41" s="469" t="s">
        <v>1296</v>
      </c>
      <c r="BW41" s="690" t="s">
        <v>1432</v>
      </c>
    </row>
    <row r="42" spans="1:75" ht="109.5" customHeight="1" thickBot="1">
      <c r="A42" s="606"/>
      <c r="B42" s="539"/>
      <c r="C42" s="527"/>
      <c r="D42" s="468"/>
      <c r="E42" s="153" t="s">
        <v>1335</v>
      </c>
      <c r="F42" s="129" t="s">
        <v>16</v>
      </c>
      <c r="G42" s="530"/>
      <c r="H42" s="452"/>
      <c r="I42" s="452"/>
      <c r="J42" s="452"/>
      <c r="K42" s="452"/>
      <c r="L42" s="452"/>
      <c r="M42" s="452"/>
      <c r="N42" s="452"/>
      <c r="O42" s="452"/>
      <c r="P42" s="452"/>
      <c r="Q42" s="452"/>
      <c r="R42" s="452"/>
      <c r="S42" s="452"/>
      <c r="T42" s="452"/>
      <c r="U42" s="452"/>
      <c r="V42" s="452"/>
      <c r="W42" s="452"/>
      <c r="X42" s="452"/>
      <c r="Y42" s="452"/>
      <c r="Z42" s="452"/>
      <c r="AA42" s="460"/>
      <c r="AB42" s="454"/>
      <c r="AC42" s="456"/>
      <c r="AD42" s="460" t="str">
        <f>+IF(OR(AB42=1,AB42&lt;=5),"Moderado",IF(OR(AB42=6,AB42&lt;=11),"Mayor","Catastrófico"))</f>
        <v>Moderado</v>
      </c>
      <c r="AE42" s="456"/>
      <c r="AF42" s="458"/>
      <c r="AG42" s="154" t="s">
        <v>1340</v>
      </c>
      <c r="AH42" s="153" t="s">
        <v>1335</v>
      </c>
      <c r="AI42" s="330" t="s">
        <v>20</v>
      </c>
      <c r="AJ42" s="239" t="s">
        <v>116</v>
      </c>
      <c r="AK42" s="251">
        <f t="shared" si="22"/>
        <v>15</v>
      </c>
      <c r="AL42" s="239" t="s">
        <v>116</v>
      </c>
      <c r="AM42" s="95">
        <f t="shared" si="63"/>
        <v>15</v>
      </c>
      <c r="AN42" s="150" t="s">
        <v>116</v>
      </c>
      <c r="AO42" s="294">
        <f t="shared" si="64"/>
        <v>15</v>
      </c>
      <c r="AP42" s="228" t="s">
        <v>20</v>
      </c>
      <c r="AQ42" s="289">
        <f t="shared" si="46"/>
        <v>15</v>
      </c>
      <c r="AR42" s="216" t="s">
        <v>116</v>
      </c>
      <c r="AS42" s="216" t="s">
        <v>116</v>
      </c>
      <c r="AT42" s="216" t="s">
        <v>116</v>
      </c>
      <c r="AU42" s="291">
        <f>+IF(AT42="si",15,"")</f>
        <v>15</v>
      </c>
      <c r="AV42" s="299" t="s">
        <v>117</v>
      </c>
      <c r="AW42" s="291">
        <f t="shared" si="35"/>
        <v>10</v>
      </c>
      <c r="AX42" s="302">
        <f t="shared" si="60"/>
        <v>85</v>
      </c>
      <c r="AY42" s="302" t="str">
        <f t="shared" si="61"/>
        <v>Débil</v>
      </c>
      <c r="AZ42" s="219" t="s">
        <v>118</v>
      </c>
      <c r="BA42" s="304" t="str">
        <f t="shared" si="62"/>
        <v>Fuerte</v>
      </c>
      <c r="BB42" s="300" t="str">
        <f>IFERROR(VLOOKUP((CONCATENATE(AY42,BA42)),[27]Listados!$U$3:$V$11,2,FALSE),"")</f>
        <v>Débil</v>
      </c>
      <c r="BC42" s="313">
        <f t="shared" si="18"/>
        <v>0</v>
      </c>
      <c r="BD42" s="313">
        <f t="shared" si="21"/>
        <v>0</v>
      </c>
      <c r="BE42" s="575"/>
      <c r="BF42" s="576"/>
      <c r="BG42" s="576"/>
      <c r="BH42" s="458"/>
      <c r="BI42" s="600"/>
      <c r="BJ42" s="458"/>
      <c r="BK42" s="458"/>
      <c r="BL42" s="598"/>
      <c r="BM42" s="108" t="s">
        <v>673</v>
      </c>
      <c r="BN42" s="265">
        <v>45292</v>
      </c>
      <c r="BO42" s="265">
        <v>45657</v>
      </c>
      <c r="BP42" s="611"/>
      <c r="BQ42" s="611"/>
      <c r="BR42" s="145" t="s">
        <v>1287</v>
      </c>
      <c r="BS42" s="611"/>
      <c r="BT42" s="478"/>
      <c r="BU42" s="495"/>
      <c r="BV42" s="470"/>
      <c r="BW42" s="693"/>
    </row>
    <row r="43" spans="1:75" ht="57.75" customHeight="1" thickBot="1">
      <c r="A43" s="606"/>
      <c r="B43" s="539"/>
      <c r="C43" s="527"/>
      <c r="D43" s="468"/>
      <c r="E43" s="153" t="s">
        <v>1336</v>
      </c>
      <c r="F43" s="129" t="s">
        <v>30</v>
      </c>
      <c r="G43" s="530"/>
      <c r="H43" s="452"/>
      <c r="I43" s="452"/>
      <c r="J43" s="452"/>
      <c r="K43" s="452"/>
      <c r="L43" s="452"/>
      <c r="M43" s="452"/>
      <c r="N43" s="452"/>
      <c r="O43" s="452"/>
      <c r="P43" s="452"/>
      <c r="Q43" s="452"/>
      <c r="R43" s="452"/>
      <c r="S43" s="452"/>
      <c r="T43" s="452"/>
      <c r="U43" s="452"/>
      <c r="V43" s="452"/>
      <c r="W43" s="452"/>
      <c r="X43" s="452"/>
      <c r="Y43" s="452"/>
      <c r="Z43" s="452"/>
      <c r="AA43" s="460"/>
      <c r="AB43" s="454"/>
      <c r="AC43" s="456"/>
      <c r="AD43" s="460" t="str">
        <f>+IF(OR(AB43=1,AB43&lt;=5),"Moderado",IF(OR(AB43=6,AB43&lt;=11),"Mayor","Catastrófico"))</f>
        <v>Moderado</v>
      </c>
      <c r="AE43" s="456"/>
      <c r="AF43" s="458"/>
      <c r="AG43" s="596" t="s">
        <v>1341</v>
      </c>
      <c r="AH43" s="528" t="s">
        <v>762</v>
      </c>
      <c r="AI43" s="451" t="s">
        <v>20</v>
      </c>
      <c r="AJ43" s="239" t="s">
        <v>116</v>
      </c>
      <c r="AK43" s="251">
        <f t="shared" si="22"/>
        <v>15</v>
      </c>
      <c r="AL43" s="239" t="s">
        <v>116</v>
      </c>
      <c r="AM43" s="95">
        <f t="shared" si="63"/>
        <v>15</v>
      </c>
      <c r="AN43" s="150" t="s">
        <v>116</v>
      </c>
      <c r="AO43" s="294">
        <f t="shared" si="64"/>
        <v>15</v>
      </c>
      <c r="AP43" s="228" t="s">
        <v>20</v>
      </c>
      <c r="AQ43" s="289">
        <f t="shared" si="46"/>
        <v>15</v>
      </c>
      <c r="AR43" s="216" t="s">
        <v>116</v>
      </c>
      <c r="AS43" s="216" t="s">
        <v>116</v>
      </c>
      <c r="AT43" s="216" t="s">
        <v>116</v>
      </c>
      <c r="AU43" s="291">
        <f t="shared" ref="AU43:AU45" si="66">+IF(AT43="si",15,"")</f>
        <v>15</v>
      </c>
      <c r="AV43" s="299" t="s">
        <v>117</v>
      </c>
      <c r="AW43" s="291">
        <f t="shared" si="35"/>
        <v>10</v>
      </c>
      <c r="AX43" s="302">
        <f t="shared" si="60"/>
        <v>85</v>
      </c>
      <c r="AY43" s="302" t="str">
        <f t="shared" si="61"/>
        <v>Débil</v>
      </c>
      <c r="AZ43" s="219" t="s">
        <v>118</v>
      </c>
      <c r="BA43" s="304" t="str">
        <f t="shared" si="62"/>
        <v>Fuerte</v>
      </c>
      <c r="BB43" s="300" t="str">
        <f>IFERROR(VLOOKUP((CONCATENATE(AY43,BA43)),[27]Listados!$U$3:$V$11,2,FALSE),"")</f>
        <v>Débil</v>
      </c>
      <c r="BC43" s="313">
        <f t="shared" si="18"/>
        <v>0</v>
      </c>
      <c r="BD43" s="313">
        <f t="shared" si="21"/>
        <v>0</v>
      </c>
      <c r="BE43" s="575"/>
      <c r="BF43" s="576"/>
      <c r="BG43" s="576"/>
      <c r="BH43" s="458"/>
      <c r="BI43" s="600"/>
      <c r="BJ43" s="458"/>
      <c r="BK43" s="458"/>
      <c r="BL43" s="528" t="s">
        <v>1344</v>
      </c>
      <c r="BM43" s="523" t="s">
        <v>673</v>
      </c>
      <c r="BN43" s="265">
        <v>45292</v>
      </c>
      <c r="BO43" s="265">
        <v>45657</v>
      </c>
      <c r="BP43" s="523" t="s">
        <v>1347</v>
      </c>
      <c r="BQ43" s="523" t="s">
        <v>1349</v>
      </c>
      <c r="BR43" s="153" t="s">
        <v>1288</v>
      </c>
      <c r="BS43" s="277" t="s">
        <v>1252</v>
      </c>
      <c r="BT43" s="478"/>
      <c r="BU43" s="495"/>
      <c r="BV43" s="470"/>
      <c r="BW43" s="693"/>
    </row>
    <row r="44" spans="1:75" ht="69" customHeight="1" thickBot="1">
      <c r="A44" s="606"/>
      <c r="B44" s="539"/>
      <c r="C44" s="527"/>
      <c r="D44" s="468"/>
      <c r="E44" s="153" t="s">
        <v>762</v>
      </c>
      <c r="F44" s="129" t="s">
        <v>16</v>
      </c>
      <c r="G44" s="530"/>
      <c r="H44" s="452"/>
      <c r="I44" s="452"/>
      <c r="J44" s="452"/>
      <c r="K44" s="452"/>
      <c r="L44" s="452"/>
      <c r="M44" s="452"/>
      <c r="N44" s="452"/>
      <c r="O44" s="452"/>
      <c r="P44" s="452"/>
      <c r="Q44" s="452"/>
      <c r="R44" s="452"/>
      <c r="S44" s="452"/>
      <c r="T44" s="452"/>
      <c r="U44" s="452"/>
      <c r="V44" s="452"/>
      <c r="W44" s="452"/>
      <c r="X44" s="452"/>
      <c r="Y44" s="452"/>
      <c r="Z44" s="452"/>
      <c r="AA44" s="460"/>
      <c r="AB44" s="454"/>
      <c r="AC44" s="456"/>
      <c r="AD44" s="460" t="str">
        <f>+IF(OR(AB44=1,AB44&lt;=5),"Moderado",IF(OR(AB44=6,AB44&lt;=11),"Mayor","Catastrófico"))</f>
        <v>Moderado</v>
      </c>
      <c r="AE44" s="456"/>
      <c r="AF44" s="458"/>
      <c r="AG44" s="597"/>
      <c r="AH44" s="598"/>
      <c r="AI44" s="462"/>
      <c r="AJ44" s="239" t="s">
        <v>116</v>
      </c>
      <c r="AK44" s="251">
        <f t="shared" si="22"/>
        <v>15</v>
      </c>
      <c r="AL44" s="239" t="s">
        <v>116</v>
      </c>
      <c r="AM44" s="95">
        <f t="shared" si="63"/>
        <v>15</v>
      </c>
      <c r="AN44" s="150" t="s">
        <v>116</v>
      </c>
      <c r="AO44" s="294">
        <f t="shared" si="64"/>
        <v>15</v>
      </c>
      <c r="AP44" s="228" t="s">
        <v>20</v>
      </c>
      <c r="AQ44" s="289">
        <f t="shared" si="46"/>
        <v>15</v>
      </c>
      <c r="AR44" s="216" t="s">
        <v>116</v>
      </c>
      <c r="AS44" s="216" t="s">
        <v>116</v>
      </c>
      <c r="AT44" s="216" t="s">
        <v>116</v>
      </c>
      <c r="AU44" s="291">
        <f t="shared" si="66"/>
        <v>15</v>
      </c>
      <c r="AV44" s="299" t="s">
        <v>117</v>
      </c>
      <c r="AW44" s="291">
        <f t="shared" si="35"/>
        <v>10</v>
      </c>
      <c r="AX44" s="302">
        <f t="shared" si="60"/>
        <v>85</v>
      </c>
      <c r="AY44" s="302" t="str">
        <f t="shared" si="61"/>
        <v>Débil</v>
      </c>
      <c r="AZ44" s="219" t="s">
        <v>118</v>
      </c>
      <c r="BA44" s="304" t="str">
        <f t="shared" si="62"/>
        <v>Fuerte</v>
      </c>
      <c r="BB44" s="300" t="str">
        <f>IFERROR(VLOOKUP((CONCATENATE(AY44,BA44)),[27]Listados!$U$3:$V$11,2,FALSE),"")</f>
        <v>Débil</v>
      </c>
      <c r="BC44" s="313">
        <f t="shared" si="18"/>
        <v>0</v>
      </c>
      <c r="BD44" s="313">
        <f>AVERAGE(BC44:BC44)</f>
        <v>0</v>
      </c>
      <c r="BE44" s="575"/>
      <c r="BF44" s="576"/>
      <c r="BG44" s="576"/>
      <c r="BH44" s="458"/>
      <c r="BI44" s="600"/>
      <c r="BJ44" s="458"/>
      <c r="BK44" s="458"/>
      <c r="BL44" s="598"/>
      <c r="BM44" s="452"/>
      <c r="BN44" s="265">
        <v>45292</v>
      </c>
      <c r="BO44" s="265">
        <v>45657</v>
      </c>
      <c r="BP44" s="611"/>
      <c r="BQ44" s="611"/>
      <c r="BR44" s="145" t="s">
        <v>1289</v>
      </c>
      <c r="BS44" s="277" t="s">
        <v>1253</v>
      </c>
      <c r="BT44" s="478"/>
      <c r="BU44" s="495"/>
      <c r="BV44" s="470"/>
      <c r="BW44" s="693"/>
    </row>
    <row r="45" spans="1:75" ht="93" customHeight="1" thickBot="1">
      <c r="A45" s="607"/>
      <c r="B45" s="540"/>
      <c r="C45" s="541"/>
      <c r="D45" s="524"/>
      <c r="E45" s="53"/>
      <c r="F45" s="66" t="s">
        <v>16</v>
      </c>
      <c r="G45" s="531"/>
      <c r="H45" s="462"/>
      <c r="I45" s="462"/>
      <c r="J45" s="462"/>
      <c r="K45" s="462"/>
      <c r="L45" s="462"/>
      <c r="M45" s="462"/>
      <c r="N45" s="462"/>
      <c r="O45" s="462"/>
      <c r="P45" s="462"/>
      <c r="Q45" s="462"/>
      <c r="R45" s="462"/>
      <c r="S45" s="462"/>
      <c r="T45" s="462"/>
      <c r="U45" s="462"/>
      <c r="V45" s="462"/>
      <c r="W45" s="462"/>
      <c r="X45" s="462"/>
      <c r="Y45" s="462"/>
      <c r="Z45" s="462"/>
      <c r="AA45" s="507"/>
      <c r="AB45" s="509"/>
      <c r="AC45" s="510"/>
      <c r="AD45" s="507" t="str">
        <f>+IF(OR(AB45=1,AB45&lt;=5),"Moderado",IF(OR(AB45=6,AB45&lt;=11),"Mayor","Catastrófico"))</f>
        <v>Moderado</v>
      </c>
      <c r="AE45" s="510"/>
      <c r="AF45" s="514"/>
      <c r="AG45" s="340" t="s">
        <v>1342</v>
      </c>
      <c r="AH45" s="234" t="s">
        <v>1337</v>
      </c>
      <c r="AI45" s="344" t="s">
        <v>20</v>
      </c>
      <c r="AJ45" s="327" t="s">
        <v>116</v>
      </c>
      <c r="AK45" s="345">
        <f t="shared" si="22"/>
        <v>15</v>
      </c>
      <c r="AL45" s="327" t="s">
        <v>116</v>
      </c>
      <c r="AM45" s="99"/>
      <c r="AN45" s="69"/>
      <c r="AO45" s="289"/>
      <c r="AP45" s="328"/>
      <c r="AQ45" s="289" t="str">
        <f t="shared" si="46"/>
        <v/>
      </c>
      <c r="AR45" s="328"/>
      <c r="AS45" s="99"/>
      <c r="AT45" s="69"/>
      <c r="AU45" s="291" t="str">
        <f t="shared" si="66"/>
        <v/>
      </c>
      <c r="AV45" s="299"/>
      <c r="AW45" s="291" t="str">
        <f t="shared" si="35"/>
        <v/>
      </c>
      <c r="AX45" s="303">
        <f t="shared" si="60"/>
        <v>15</v>
      </c>
      <c r="AY45" s="303" t="str">
        <f t="shared" si="61"/>
        <v>Débil</v>
      </c>
      <c r="AZ45" s="329" t="s">
        <v>118</v>
      </c>
      <c r="BA45" s="305" t="str">
        <f t="shared" si="62"/>
        <v>Fuerte</v>
      </c>
      <c r="BB45" s="297" t="str">
        <f>IFERROR(VLOOKUP((CONCATENATE(AY45,BA45)),[27]Listados!$U$3:$V$11,2,FALSE),"")</f>
        <v>Débil</v>
      </c>
      <c r="BC45" s="346">
        <f t="shared" si="18"/>
        <v>0</v>
      </c>
      <c r="BD45" s="346">
        <f>AVERAGE(BC45:BC45)</f>
        <v>0</v>
      </c>
      <c r="BE45" s="518"/>
      <c r="BF45" s="512"/>
      <c r="BG45" s="512"/>
      <c r="BH45" s="514"/>
      <c r="BI45" s="601"/>
      <c r="BJ45" s="514"/>
      <c r="BK45" s="514"/>
      <c r="BL45" s="234" t="s">
        <v>1345</v>
      </c>
      <c r="BM45" s="339" t="s">
        <v>673</v>
      </c>
      <c r="BN45" s="258">
        <v>45292</v>
      </c>
      <c r="BO45" s="258">
        <v>45657</v>
      </c>
      <c r="BP45" s="339" t="s">
        <v>681</v>
      </c>
      <c r="BQ45" s="339" t="s">
        <v>1350</v>
      </c>
      <c r="BR45" s="339"/>
      <c r="BS45" s="339"/>
      <c r="BT45" s="486"/>
      <c r="BU45" s="491"/>
      <c r="BV45" s="492"/>
      <c r="BW45" s="691"/>
    </row>
    <row r="46" spans="1:75" ht="120" customHeight="1" thickBot="1">
      <c r="A46" s="602">
        <v>16</v>
      </c>
      <c r="B46" s="544" t="s">
        <v>68</v>
      </c>
      <c r="C46" s="522" t="str">
        <f>IFERROR(VLOOKUP(B46,Listados!B$3:C$20,2,FALSE),"")</f>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
      <c r="D46" s="467" t="s">
        <v>764</v>
      </c>
      <c r="E46" s="100" t="s">
        <v>765</v>
      </c>
      <c r="F46" s="17" t="s">
        <v>16</v>
      </c>
      <c r="G46" s="448" t="s">
        <v>763</v>
      </c>
      <c r="H46" s="451" t="s">
        <v>116</v>
      </c>
      <c r="I46" s="451" t="s">
        <v>120</v>
      </c>
      <c r="J46" s="451" t="s">
        <v>116</v>
      </c>
      <c r="K46" s="451" t="s">
        <v>116</v>
      </c>
      <c r="L46" s="451" t="s">
        <v>116</v>
      </c>
      <c r="M46" s="451" t="s">
        <v>116</v>
      </c>
      <c r="N46" s="451" t="s">
        <v>116</v>
      </c>
      <c r="O46" s="451" t="s">
        <v>116</v>
      </c>
      <c r="P46" s="451" t="s">
        <v>116</v>
      </c>
      <c r="Q46" s="451" t="s">
        <v>116</v>
      </c>
      <c r="R46" s="451" t="s">
        <v>116</v>
      </c>
      <c r="S46" s="451" t="s">
        <v>116</v>
      </c>
      <c r="T46" s="451" t="s">
        <v>116</v>
      </c>
      <c r="U46" s="451" t="s">
        <v>116</v>
      </c>
      <c r="V46" s="451" t="s">
        <v>116</v>
      </c>
      <c r="W46" s="451" t="s">
        <v>116</v>
      </c>
      <c r="X46" s="451" t="s">
        <v>116</v>
      </c>
      <c r="Y46" s="451" t="s">
        <v>116</v>
      </c>
      <c r="Z46" s="451" t="s">
        <v>116</v>
      </c>
      <c r="AA46" s="459">
        <f>COUNTIF(H46:Z48, "SI")</f>
        <v>18</v>
      </c>
      <c r="AB46" s="453" t="s">
        <v>44</v>
      </c>
      <c r="AC46" s="455">
        <f>+VLOOKUP(AB46,Listados!$K$8:$L$12,2,0)</f>
        <v>3</v>
      </c>
      <c r="AD46" s="459" t="str">
        <f>+IF(OR(AA46=1,AA46&lt;=5),"Moderado",IF(OR(AA46=6,AA46&lt;=11),"Mayor","Catastrófico"))</f>
        <v>Catastrófico</v>
      </c>
      <c r="AE46" s="455">
        <f>+VLOOKUP(AD46,Listados!K13:L17,2,0)</f>
        <v>5</v>
      </c>
      <c r="AF46" s="457" t="str">
        <f>IF(AND(AB46&lt;&gt;"",AD46&lt;&gt;""),VLOOKUP(AB46&amp;AD46,Listados!$M$3:$N$27,2,FALSE),"")</f>
        <v>Extremo</v>
      </c>
      <c r="AG46" s="214" t="s">
        <v>768</v>
      </c>
      <c r="AH46" s="278" t="s">
        <v>769</v>
      </c>
      <c r="AI46" s="330" t="s">
        <v>20</v>
      </c>
      <c r="AJ46" s="239" t="s">
        <v>116</v>
      </c>
      <c r="AK46" s="251">
        <f t="shared" si="22"/>
        <v>15</v>
      </c>
      <c r="AL46" s="239" t="s">
        <v>116</v>
      </c>
      <c r="AM46" s="62">
        <f t="shared" si="63"/>
        <v>15</v>
      </c>
      <c r="AN46" s="62" t="s">
        <v>766</v>
      </c>
      <c r="AO46" s="310">
        <f t="shared" si="64"/>
        <v>15</v>
      </c>
      <c r="AP46" s="228" t="s">
        <v>20</v>
      </c>
      <c r="AQ46" s="289">
        <f t="shared" si="46"/>
        <v>15</v>
      </c>
      <c r="AR46" s="216" t="s">
        <v>116</v>
      </c>
      <c r="AS46" s="216" t="s">
        <v>116</v>
      </c>
      <c r="AT46" s="216" t="s">
        <v>116</v>
      </c>
      <c r="AU46" s="291">
        <f t="shared" ref="AU46:AU47" si="67">+IF(AT46="si",15,"")</f>
        <v>15</v>
      </c>
      <c r="AV46" s="325" t="s">
        <v>117</v>
      </c>
      <c r="AW46" s="291">
        <f t="shared" si="35"/>
        <v>10</v>
      </c>
      <c r="AX46" s="301">
        <f t="shared" ref="AX46:AX48" si="68">IF((SUM(AK46,AM46,AO46,AQ46,AS46,AU46,AW46)=0),"",(SUM(AK46,AM46,AO46,AQ46,AS46,AU46,AW46)))</f>
        <v>85</v>
      </c>
      <c r="AY46" s="301" t="str">
        <f t="shared" ref="AY46:AY48" si="69">IF(AX46&lt;=85,"Débil",IF(AX46&lt;=95,"Moderado",IF(AX46=100,"Fuerte","")))</f>
        <v>Débil</v>
      </c>
      <c r="AZ46" s="219" t="s">
        <v>118</v>
      </c>
      <c r="BA46" s="298" t="str">
        <f t="shared" ref="BA46:BA48" si="70">+IF(AZ46="siempre","Fuerte",IF(AZ46="Algunas veces","Moderado","Débil"))</f>
        <v>Fuerte</v>
      </c>
      <c r="BB46" s="298" t="str">
        <f>IFERROR(VLOOKUP((CONCATENATE(AY46,BA46)),Listados!$U$3:$V$11,2,FALSE),"")</f>
        <v>Débil</v>
      </c>
      <c r="BC46" s="313">
        <f t="shared" si="18"/>
        <v>0</v>
      </c>
      <c r="BD46" s="313">
        <f t="shared" si="21"/>
        <v>0</v>
      </c>
      <c r="BE46" s="517" t="str">
        <f>IF(BD46&lt;=50, "Débil", IF(BD46&lt;=99,"Moderado","Fuerte"))</f>
        <v>Débil</v>
      </c>
      <c r="BF46" s="608">
        <f>+IF(BE46="Fuerte",2,IF(BE46="Moderado",1,0))</f>
        <v>0</v>
      </c>
      <c r="BG46" s="608">
        <f>+AC46-BF46</f>
        <v>3</v>
      </c>
      <c r="BH46" s="572" t="str">
        <f>+VLOOKUP(BG46,Listados!$J$18:$K$24,2,TRUE)</f>
        <v>Posible</v>
      </c>
      <c r="BI46" s="572" t="str">
        <f>IF(ISBLANK(AD46),"",AD46)</f>
        <v>Catastrófico</v>
      </c>
      <c r="BJ46" s="572" t="str">
        <f>IF(AND(BH46&lt;&gt;"",BI46&lt;&gt;""),VLOOKUP(BH46&amp;BI46,Listados!$M$3:$N$27,2,FALSE),"")</f>
        <v>Extremo</v>
      </c>
      <c r="BK46" s="572" t="str">
        <f>+VLOOKUP(BJ46,Listados!$P$3:$Q$6,2,FALSE)</f>
        <v>Evitar el riesgo</v>
      </c>
      <c r="BL46" s="61" t="s">
        <v>770</v>
      </c>
      <c r="BM46" s="61" t="s">
        <v>746</v>
      </c>
      <c r="BN46" s="256">
        <v>45292</v>
      </c>
      <c r="BO46" s="256">
        <v>45657</v>
      </c>
      <c r="BP46" s="61" t="s">
        <v>714</v>
      </c>
      <c r="BQ46" s="257" t="s">
        <v>1241</v>
      </c>
      <c r="BR46" s="279" t="s">
        <v>1291</v>
      </c>
      <c r="BS46" s="279" t="s">
        <v>1234</v>
      </c>
      <c r="BT46" s="279" t="s">
        <v>1410</v>
      </c>
      <c r="BU46" s="490" t="s">
        <v>1290</v>
      </c>
      <c r="BV46" s="469" t="s">
        <v>1297</v>
      </c>
      <c r="BW46" s="690" t="s">
        <v>1433</v>
      </c>
    </row>
    <row r="47" spans="1:75" ht="208.5" customHeight="1" thickBot="1">
      <c r="A47" s="603"/>
      <c r="B47" s="545"/>
      <c r="C47" s="446"/>
      <c r="D47" s="468"/>
      <c r="E47" s="128" t="s">
        <v>771</v>
      </c>
      <c r="F47" s="129" t="s">
        <v>16</v>
      </c>
      <c r="G47" s="443"/>
      <c r="H47" s="452"/>
      <c r="I47" s="452"/>
      <c r="J47" s="452"/>
      <c r="K47" s="452"/>
      <c r="L47" s="452"/>
      <c r="M47" s="452"/>
      <c r="N47" s="452"/>
      <c r="O47" s="452"/>
      <c r="P47" s="452"/>
      <c r="Q47" s="452"/>
      <c r="R47" s="452"/>
      <c r="S47" s="452"/>
      <c r="T47" s="452"/>
      <c r="U47" s="452"/>
      <c r="V47" s="452"/>
      <c r="W47" s="452"/>
      <c r="X47" s="452"/>
      <c r="Y47" s="452"/>
      <c r="Z47" s="452"/>
      <c r="AA47" s="460"/>
      <c r="AB47" s="454"/>
      <c r="AC47" s="456"/>
      <c r="AD47" s="460"/>
      <c r="AE47" s="456"/>
      <c r="AF47" s="458"/>
      <c r="AG47" s="155" t="s">
        <v>1223</v>
      </c>
      <c r="AH47" s="145" t="s">
        <v>771</v>
      </c>
      <c r="AI47" s="330" t="s">
        <v>20</v>
      </c>
      <c r="AJ47" s="239" t="s">
        <v>116</v>
      </c>
      <c r="AK47" s="251">
        <f t="shared" si="22"/>
        <v>15</v>
      </c>
      <c r="AL47" s="239" t="s">
        <v>116</v>
      </c>
      <c r="AM47" s="150">
        <f t="shared" si="63"/>
        <v>15</v>
      </c>
      <c r="AN47" s="150" t="s">
        <v>766</v>
      </c>
      <c r="AO47" s="312">
        <f t="shared" si="64"/>
        <v>15</v>
      </c>
      <c r="AP47" s="228" t="s">
        <v>20</v>
      </c>
      <c r="AQ47" s="289">
        <f t="shared" si="46"/>
        <v>15</v>
      </c>
      <c r="AR47" s="216" t="s">
        <v>116</v>
      </c>
      <c r="AS47" s="216" t="s">
        <v>116</v>
      </c>
      <c r="AT47" s="216" t="s">
        <v>116</v>
      </c>
      <c r="AU47" s="291">
        <f t="shared" si="67"/>
        <v>15</v>
      </c>
      <c r="AV47" s="299" t="s">
        <v>117</v>
      </c>
      <c r="AW47" s="291">
        <f t="shared" si="35"/>
        <v>10</v>
      </c>
      <c r="AX47" s="314">
        <f t="shared" si="68"/>
        <v>85</v>
      </c>
      <c r="AY47" s="314" t="str">
        <f t="shared" si="69"/>
        <v>Débil</v>
      </c>
      <c r="AZ47" s="219" t="s">
        <v>118</v>
      </c>
      <c r="BA47" s="304" t="str">
        <f t="shared" si="70"/>
        <v>Fuerte</v>
      </c>
      <c r="BB47" s="304" t="str">
        <f>IFERROR(VLOOKUP((CONCATENATE(AY47,BA47)),Listados!$U$3:$V$11,2,FALSE),"")</f>
        <v>Débil</v>
      </c>
      <c r="BC47" s="313">
        <f t="shared" si="18"/>
        <v>0</v>
      </c>
      <c r="BD47" s="313">
        <f t="shared" si="21"/>
        <v>0</v>
      </c>
      <c r="BE47" s="575"/>
      <c r="BF47" s="609"/>
      <c r="BG47" s="609"/>
      <c r="BH47" s="574"/>
      <c r="BI47" s="574"/>
      <c r="BJ47" s="574"/>
      <c r="BK47" s="574"/>
      <c r="BL47" s="326" t="s">
        <v>772</v>
      </c>
      <c r="BM47" s="599" t="s">
        <v>773</v>
      </c>
      <c r="BN47" s="265">
        <v>45292</v>
      </c>
      <c r="BO47" s="265">
        <v>45657</v>
      </c>
      <c r="BP47" s="145" t="s">
        <v>714</v>
      </c>
      <c r="BQ47" s="128" t="s">
        <v>774</v>
      </c>
      <c r="BR47" s="277" t="s">
        <v>1292</v>
      </c>
      <c r="BS47" s="277" t="s">
        <v>1242</v>
      </c>
      <c r="BT47" s="277" t="s">
        <v>1389</v>
      </c>
      <c r="BU47" s="495"/>
      <c r="BV47" s="470"/>
      <c r="BW47" s="693"/>
    </row>
    <row r="48" spans="1:75" ht="102.75" customHeight="1" thickBot="1">
      <c r="A48" s="604"/>
      <c r="B48" s="543"/>
      <c r="C48" s="525"/>
      <c r="D48" s="524"/>
      <c r="E48" s="53" t="s">
        <v>775</v>
      </c>
      <c r="F48" s="66" t="s">
        <v>16</v>
      </c>
      <c r="G48" s="444"/>
      <c r="H48" s="462"/>
      <c r="I48" s="462"/>
      <c r="J48" s="462"/>
      <c r="K48" s="462"/>
      <c r="L48" s="462"/>
      <c r="M48" s="462"/>
      <c r="N48" s="462"/>
      <c r="O48" s="462"/>
      <c r="P48" s="462"/>
      <c r="Q48" s="462"/>
      <c r="R48" s="462"/>
      <c r="S48" s="462"/>
      <c r="T48" s="462"/>
      <c r="U48" s="462"/>
      <c r="V48" s="462"/>
      <c r="W48" s="462"/>
      <c r="X48" s="462"/>
      <c r="Y48" s="462"/>
      <c r="Z48" s="462"/>
      <c r="AA48" s="507"/>
      <c r="AB48" s="509"/>
      <c r="AC48" s="510"/>
      <c r="AD48" s="507"/>
      <c r="AE48" s="510"/>
      <c r="AF48" s="458"/>
      <c r="AG48" s="234" t="s">
        <v>776</v>
      </c>
      <c r="AH48" s="236" t="s">
        <v>777</v>
      </c>
      <c r="AI48" s="330" t="s">
        <v>1304</v>
      </c>
      <c r="AJ48" s="327" t="s">
        <v>116</v>
      </c>
      <c r="AK48" s="251">
        <f t="shared" si="22"/>
        <v>15</v>
      </c>
      <c r="AL48" s="327" t="s">
        <v>116</v>
      </c>
      <c r="AM48" s="69">
        <f t="shared" si="63"/>
        <v>15</v>
      </c>
      <c r="AN48" s="69" t="s">
        <v>766</v>
      </c>
      <c r="AO48" s="311">
        <f t="shared" si="64"/>
        <v>15</v>
      </c>
      <c r="AP48" s="328" t="s">
        <v>123</v>
      </c>
      <c r="AQ48" s="289">
        <f t="shared" si="46"/>
        <v>10</v>
      </c>
      <c r="AR48" s="328" t="s">
        <v>116</v>
      </c>
      <c r="AS48" s="328" t="s">
        <v>116</v>
      </c>
      <c r="AT48" s="328" t="s">
        <v>116</v>
      </c>
      <c r="AU48" s="291">
        <f>+IF(AT48="si",15,"")</f>
        <v>15</v>
      </c>
      <c r="AV48" s="299" t="s">
        <v>117</v>
      </c>
      <c r="AW48" s="291">
        <f t="shared" si="35"/>
        <v>10</v>
      </c>
      <c r="AX48" s="315">
        <f t="shared" si="68"/>
        <v>80</v>
      </c>
      <c r="AY48" s="315" t="str">
        <f t="shared" si="69"/>
        <v>Débil</v>
      </c>
      <c r="AZ48" s="329" t="s">
        <v>118</v>
      </c>
      <c r="BA48" s="305" t="str">
        <f t="shared" si="70"/>
        <v>Fuerte</v>
      </c>
      <c r="BB48" s="305" t="str">
        <f>IFERROR(VLOOKUP((CONCATENATE(AY48,BA48)),Listados!$U$3:$V$11,2,FALSE),"")</f>
        <v>Débil</v>
      </c>
      <c r="BC48" s="313">
        <f t="shared" si="18"/>
        <v>0</v>
      </c>
      <c r="BD48" s="313">
        <f t="shared" si="21"/>
        <v>0</v>
      </c>
      <c r="BE48" s="518"/>
      <c r="BF48" s="610"/>
      <c r="BG48" s="610"/>
      <c r="BH48" s="573"/>
      <c r="BI48" s="573"/>
      <c r="BJ48" s="573"/>
      <c r="BK48" s="573"/>
      <c r="BL48" s="68" t="s">
        <v>778</v>
      </c>
      <c r="BM48" s="462"/>
      <c r="BN48" s="258">
        <v>45292</v>
      </c>
      <c r="BO48" s="258">
        <v>45657</v>
      </c>
      <c r="BP48" s="68" t="s">
        <v>714</v>
      </c>
      <c r="BQ48" s="53" t="s">
        <v>779</v>
      </c>
      <c r="BR48" s="280" t="s">
        <v>1293</v>
      </c>
      <c r="BS48" s="280" t="s">
        <v>1243</v>
      </c>
      <c r="BT48" s="280" t="s">
        <v>1390</v>
      </c>
      <c r="BU48" s="491"/>
      <c r="BV48" s="492"/>
      <c r="BW48" s="691"/>
    </row>
    <row r="49" spans="64:69">
      <c r="BL49" s="284"/>
      <c r="BM49" s="284"/>
      <c r="BN49" s="284"/>
      <c r="BO49" s="284"/>
      <c r="BP49" s="284"/>
      <c r="BQ49" s="284"/>
    </row>
    <row r="50" spans="64:69">
      <c r="BL50" s="284"/>
      <c r="BM50" s="284"/>
      <c r="BN50" s="284"/>
      <c r="BO50" s="284"/>
      <c r="BP50" s="284"/>
      <c r="BQ50" s="284"/>
    </row>
    <row r="51" spans="64:69">
      <c r="BL51" s="284"/>
      <c r="BM51" s="284"/>
      <c r="BN51" s="284"/>
      <c r="BO51" s="284"/>
      <c r="BP51" s="284"/>
      <c r="BQ51" s="284"/>
    </row>
    <row r="52" spans="64:69">
      <c r="BL52" s="284"/>
      <c r="BM52" s="284"/>
      <c r="BN52" s="284"/>
      <c r="BO52" s="284"/>
      <c r="BP52" s="284"/>
      <c r="BQ52" s="284"/>
    </row>
    <row r="53" spans="64:69">
      <c r="BL53" s="284"/>
      <c r="BM53" s="284"/>
      <c r="BN53" s="284"/>
      <c r="BO53" s="284"/>
      <c r="BP53" s="284"/>
      <c r="BQ53" s="284"/>
    </row>
    <row r="54" spans="64:69">
      <c r="BL54" s="284"/>
      <c r="BM54" s="284"/>
      <c r="BN54" s="284"/>
      <c r="BO54" s="284"/>
      <c r="BP54" s="284"/>
      <c r="BQ54" s="284"/>
    </row>
    <row r="55" spans="64:69">
      <c r="BL55" s="284"/>
      <c r="BM55" s="284"/>
      <c r="BN55" s="284"/>
      <c r="BO55" s="284"/>
      <c r="BP55" s="284"/>
      <c r="BQ55" s="284"/>
    </row>
    <row r="56" spans="64:69">
      <c r="BL56" s="284"/>
      <c r="BM56" s="284"/>
      <c r="BN56" s="284"/>
      <c r="BO56" s="284"/>
      <c r="BP56" s="284"/>
      <c r="BQ56" s="284"/>
    </row>
    <row r="57" spans="64:69">
      <c r="BL57" s="284"/>
      <c r="BM57" s="284"/>
      <c r="BN57" s="284"/>
      <c r="BO57" s="284"/>
      <c r="BP57" s="284"/>
      <c r="BQ57" s="284"/>
    </row>
    <row r="58" spans="64:69">
      <c r="BL58" s="284"/>
      <c r="BM58" s="284"/>
      <c r="BN58" s="284"/>
      <c r="BO58" s="284"/>
      <c r="BP58" s="284"/>
      <c r="BQ58" s="284"/>
    </row>
    <row r="59" spans="64:69">
      <c r="BL59" s="284"/>
      <c r="BM59" s="284"/>
      <c r="BN59" s="284"/>
      <c r="BO59" s="284"/>
      <c r="BP59" s="284"/>
      <c r="BQ59" s="284"/>
    </row>
    <row r="60" spans="64:69">
      <c r="BL60" s="284"/>
      <c r="BM60" s="284"/>
      <c r="BN60" s="284"/>
      <c r="BO60" s="284"/>
      <c r="BP60" s="284"/>
      <c r="BQ60" s="284"/>
    </row>
    <row r="61" spans="64:69">
      <c r="BL61" s="284"/>
      <c r="BM61" s="284"/>
      <c r="BN61" s="284"/>
      <c r="BO61" s="284"/>
      <c r="BP61" s="284"/>
      <c r="BQ61" s="284"/>
    </row>
    <row r="62" spans="64:69">
      <c r="BL62" s="284"/>
      <c r="BM62" s="284"/>
      <c r="BN62" s="284"/>
      <c r="BO62" s="284"/>
      <c r="BP62" s="284"/>
      <c r="BQ62" s="284"/>
    </row>
    <row r="63" spans="64:69">
      <c r="BL63" s="284"/>
      <c r="BM63" s="284"/>
      <c r="BN63" s="284"/>
      <c r="BO63" s="284"/>
      <c r="BP63" s="284"/>
      <c r="BQ63" s="284"/>
    </row>
    <row r="64" spans="64:69">
      <c r="BL64" s="284"/>
      <c r="BM64" s="284"/>
      <c r="BN64" s="284"/>
      <c r="BO64" s="284"/>
      <c r="BP64" s="284"/>
      <c r="BQ64" s="284"/>
    </row>
    <row r="65" spans="64:69">
      <c r="BL65" s="284"/>
      <c r="BM65" s="284"/>
      <c r="BN65" s="284"/>
      <c r="BO65" s="284"/>
      <c r="BP65" s="284"/>
      <c r="BQ65" s="284"/>
    </row>
    <row r="66" spans="64:69">
      <c r="BL66" s="284"/>
      <c r="BM66" s="284"/>
      <c r="BN66" s="284"/>
      <c r="BO66" s="284"/>
      <c r="BP66" s="284"/>
      <c r="BQ66" s="284"/>
    </row>
    <row r="67" spans="64:69">
      <c r="BL67" s="284"/>
      <c r="BM67" s="284"/>
      <c r="BN67" s="284"/>
      <c r="BO67" s="284"/>
      <c r="BP67" s="284"/>
      <c r="BQ67" s="284"/>
    </row>
    <row r="68" spans="64:69">
      <c r="BL68" s="284"/>
      <c r="BM68" s="284"/>
      <c r="BN68" s="284"/>
      <c r="BO68" s="284"/>
      <c r="BP68" s="284"/>
      <c r="BQ68" s="284"/>
    </row>
    <row r="69" spans="64:69">
      <c r="BL69" s="284"/>
      <c r="BM69" s="284"/>
      <c r="BN69" s="284"/>
      <c r="BO69" s="284"/>
      <c r="BP69" s="284"/>
      <c r="BQ69" s="284"/>
    </row>
    <row r="70" spans="64:69">
      <c r="BL70" s="284"/>
      <c r="BM70" s="284"/>
      <c r="BN70" s="284"/>
      <c r="BO70" s="284"/>
      <c r="BP70" s="284"/>
      <c r="BQ70" s="284"/>
    </row>
    <row r="71" spans="64:69">
      <c r="BL71" s="284"/>
      <c r="BM71" s="284"/>
      <c r="BN71" s="284"/>
      <c r="BO71" s="284"/>
      <c r="BP71" s="284"/>
      <c r="BQ71" s="284"/>
    </row>
    <row r="72" spans="64:69">
      <c r="BL72" s="284"/>
      <c r="BM72" s="284"/>
      <c r="BN72" s="284"/>
      <c r="BO72" s="284"/>
      <c r="BP72" s="284"/>
      <c r="BQ72" s="284"/>
    </row>
    <row r="73" spans="64:69">
      <c r="BL73" s="284"/>
      <c r="BM73" s="284"/>
      <c r="BN73" s="284"/>
      <c r="BO73" s="284"/>
      <c r="BP73" s="284"/>
      <c r="BQ73" s="284"/>
    </row>
    <row r="74" spans="64:69">
      <c r="BL74" s="284"/>
      <c r="BM74" s="284"/>
      <c r="BN74" s="284"/>
      <c r="BO74" s="284"/>
      <c r="BP74" s="284"/>
      <c r="BQ74" s="284"/>
    </row>
    <row r="75" spans="64:69">
      <c r="BL75" s="284"/>
      <c r="BM75" s="284"/>
      <c r="BN75" s="284"/>
      <c r="BO75" s="284"/>
      <c r="BP75" s="284"/>
      <c r="BQ75" s="284"/>
    </row>
    <row r="76" spans="64:69">
      <c r="BL76" s="284"/>
      <c r="BM76" s="284"/>
      <c r="BN76" s="284"/>
      <c r="BO76" s="284"/>
      <c r="BP76" s="284"/>
      <c r="BQ76" s="284"/>
    </row>
    <row r="77" spans="64:69">
      <c r="BL77" s="284"/>
      <c r="BM77" s="284"/>
      <c r="BN77" s="284"/>
      <c r="BO77" s="284"/>
      <c r="BP77" s="284"/>
      <c r="BQ77" s="284"/>
    </row>
    <row r="78" spans="64:69">
      <c r="BL78" s="284"/>
      <c r="BM78" s="284"/>
      <c r="BN78" s="284"/>
      <c r="BO78" s="284"/>
      <c r="BP78" s="284"/>
      <c r="BQ78" s="284"/>
    </row>
    <row r="79" spans="64:69">
      <c r="BL79" s="284"/>
      <c r="BM79" s="284"/>
      <c r="BN79" s="284"/>
      <c r="BO79" s="284"/>
      <c r="BP79" s="284"/>
      <c r="BQ79" s="284"/>
    </row>
    <row r="80" spans="64:69">
      <c r="BL80" s="284"/>
      <c r="BM80" s="284"/>
      <c r="BN80" s="284"/>
      <c r="BO80" s="284"/>
      <c r="BP80" s="284"/>
      <c r="BQ80" s="284"/>
    </row>
    <row r="81" spans="64:69">
      <c r="BL81" s="284"/>
      <c r="BM81" s="284"/>
      <c r="BN81" s="284"/>
      <c r="BO81" s="284"/>
      <c r="BP81" s="284"/>
      <c r="BQ81" s="284"/>
    </row>
    <row r="82" spans="64:69">
      <c r="BL82" s="284"/>
      <c r="BM82" s="284"/>
      <c r="BN82" s="284"/>
      <c r="BO82" s="284"/>
      <c r="BP82" s="284"/>
      <c r="BQ82" s="284"/>
    </row>
    <row r="83" spans="64:69">
      <c r="BL83" s="284"/>
      <c r="BM83" s="284"/>
      <c r="BN83" s="284"/>
      <c r="BO83" s="284"/>
      <c r="BP83" s="284"/>
      <c r="BQ83" s="284"/>
    </row>
    <row r="84" spans="64:69">
      <c r="BL84" s="284"/>
      <c r="BM84" s="284"/>
      <c r="BN84" s="284"/>
      <c r="BO84" s="284"/>
      <c r="BP84" s="284"/>
      <c r="BQ84" s="284"/>
    </row>
    <row r="85" spans="64:69">
      <c r="BL85" s="284"/>
      <c r="BM85" s="284"/>
      <c r="BN85" s="284"/>
      <c r="BO85" s="284"/>
      <c r="BP85" s="284"/>
      <c r="BQ85" s="284"/>
    </row>
    <row r="86" spans="64:69">
      <c r="BL86" s="284"/>
      <c r="BM86" s="284"/>
      <c r="BN86" s="284"/>
      <c r="BO86" s="284"/>
      <c r="BP86" s="284"/>
      <c r="BQ86" s="284"/>
    </row>
    <row r="87" spans="64:69">
      <c r="BL87" s="284"/>
      <c r="BM87" s="284"/>
      <c r="BN87" s="284"/>
      <c r="BO87" s="284"/>
      <c r="BP87" s="284"/>
      <c r="BQ87" s="284"/>
    </row>
    <row r="88" spans="64:69">
      <c r="BL88" s="284"/>
      <c r="BM88" s="284"/>
      <c r="BN88" s="285"/>
      <c r="BO88" s="285"/>
      <c r="BP88" s="284"/>
      <c r="BQ88" s="284"/>
    </row>
    <row r="89" spans="64:69">
      <c r="BL89" s="284"/>
      <c r="BM89" s="284"/>
      <c r="BN89" s="285"/>
      <c r="BO89" s="285"/>
      <c r="BP89" s="284"/>
      <c r="BQ89" s="284"/>
    </row>
    <row r="90" spans="64:69">
      <c r="BL90" s="284"/>
      <c r="BM90" s="284"/>
      <c r="BN90" s="284"/>
      <c r="BO90" s="284"/>
      <c r="BP90" s="284"/>
      <c r="BQ90" s="284"/>
    </row>
    <row r="91" spans="64:69">
      <c r="BL91" s="284"/>
      <c r="BM91" s="284"/>
      <c r="BN91" s="284"/>
      <c r="BO91" s="284"/>
      <c r="BP91" s="284"/>
      <c r="BQ91" s="284"/>
    </row>
    <row r="92" spans="64:69">
      <c r="BL92" s="284"/>
      <c r="BM92" s="284"/>
      <c r="BN92" s="284"/>
      <c r="BO92" s="284"/>
      <c r="BP92" s="284"/>
      <c r="BQ92" s="284"/>
    </row>
    <row r="93" spans="64:69">
      <c r="BL93" s="284"/>
      <c r="BM93" s="284"/>
      <c r="BN93" s="284"/>
      <c r="BO93" s="284"/>
      <c r="BP93" s="284"/>
      <c r="BQ93" s="284"/>
    </row>
    <row r="94" spans="64:69">
      <c r="BL94" s="284"/>
      <c r="BM94" s="284"/>
      <c r="BN94" s="284"/>
      <c r="BO94" s="284"/>
      <c r="BP94" s="284"/>
      <c r="BQ94" s="284"/>
    </row>
    <row r="95" spans="64:69">
      <c r="BL95" s="284"/>
      <c r="BM95" s="284"/>
      <c r="BN95" s="284"/>
      <c r="BO95" s="284"/>
      <c r="BP95" s="284"/>
      <c r="BQ95" s="284"/>
    </row>
    <row r="96" spans="64:69">
      <c r="BL96" s="284"/>
      <c r="BM96" s="284"/>
      <c r="BN96" s="284"/>
      <c r="BO96" s="284"/>
      <c r="BP96" s="284"/>
      <c r="BQ96" s="284"/>
    </row>
    <row r="97" spans="64:69">
      <c r="BL97" s="284"/>
      <c r="BM97" s="284"/>
      <c r="BN97" s="284"/>
      <c r="BO97" s="284"/>
      <c r="BP97" s="284"/>
      <c r="BQ97" s="284"/>
    </row>
    <row r="98" spans="64:69">
      <c r="BL98" s="284"/>
      <c r="BM98" s="284"/>
      <c r="BN98" s="284"/>
      <c r="BO98" s="284"/>
      <c r="BP98" s="284"/>
      <c r="BQ98" s="284"/>
    </row>
    <row r="99" spans="64:69">
      <c r="BL99" s="284"/>
      <c r="BM99" s="284"/>
      <c r="BN99" s="284"/>
      <c r="BO99" s="284"/>
      <c r="BP99" s="284"/>
      <c r="BQ99" s="284"/>
    </row>
    <row r="100" spans="64:69">
      <c r="BL100" s="284"/>
      <c r="BM100" s="284"/>
      <c r="BN100" s="284"/>
      <c r="BO100" s="284"/>
      <c r="BP100" s="284"/>
      <c r="BQ100" s="284"/>
    </row>
    <row r="101" spans="64:69">
      <c r="BL101" s="284"/>
      <c r="BM101" s="284"/>
      <c r="BN101" s="284"/>
      <c r="BO101" s="284"/>
      <c r="BP101" s="284"/>
      <c r="BQ101" s="284"/>
    </row>
    <row r="102" spans="64:69">
      <c r="BL102" s="284"/>
      <c r="BM102" s="284"/>
      <c r="BN102" s="284"/>
      <c r="BO102" s="284"/>
      <c r="BP102" s="284"/>
      <c r="BQ102" s="284"/>
    </row>
    <row r="103" spans="64:69">
      <c r="BL103" s="284"/>
      <c r="BM103" s="284"/>
      <c r="BN103" s="284"/>
      <c r="BO103" s="284"/>
      <c r="BP103" s="284"/>
      <c r="BQ103" s="284"/>
    </row>
  </sheetData>
  <sheetProtection formatCells="0" formatColumns="0" formatRows="0" insertColumns="0" insertRows="0" deleteColumns="0" deleteRows="0"/>
  <autoFilter ref="A6:M48"/>
  <mergeCells count="718">
    <mergeCell ref="M25:M27"/>
    <mergeCell ref="N25:N27"/>
    <mergeCell ref="O25:O27"/>
    <mergeCell ref="P25:P27"/>
    <mergeCell ref="Q25:Q27"/>
    <mergeCell ref="R25:R27"/>
    <mergeCell ref="S25:S27"/>
    <mergeCell ref="T25:T27"/>
    <mergeCell ref="U25:U27"/>
    <mergeCell ref="R31:R34"/>
    <mergeCell ref="Q31:Q34"/>
    <mergeCell ref="P31:P34"/>
    <mergeCell ref="O31:O34"/>
    <mergeCell ref="N31:N34"/>
    <mergeCell ref="AE31:AE34"/>
    <mergeCell ref="AD31:AD34"/>
    <mergeCell ref="AC31:AC34"/>
    <mergeCell ref="AB31:AB34"/>
    <mergeCell ref="AA31:AA34"/>
    <mergeCell ref="Z31:Z34"/>
    <mergeCell ref="Y31:Y34"/>
    <mergeCell ref="X31:X34"/>
    <mergeCell ref="W31:W34"/>
    <mergeCell ref="Z28:Z30"/>
    <mergeCell ref="BV41:BV45"/>
    <mergeCell ref="AF41:AF45"/>
    <mergeCell ref="AE35:AE36"/>
    <mergeCell ref="BH35:BH36"/>
    <mergeCell ref="BF35:BF36"/>
    <mergeCell ref="BL39:BL40"/>
    <mergeCell ref="BM39:BM40"/>
    <mergeCell ref="BJ35:BJ36"/>
    <mergeCell ref="BI35:BI36"/>
    <mergeCell ref="BG35:BG36"/>
    <mergeCell ref="BK39:BK40"/>
    <mergeCell ref="BJ37:BJ38"/>
    <mergeCell ref="BJ39:BJ40"/>
    <mergeCell ref="BM35:BM36"/>
    <mergeCell ref="BN39:BN40"/>
    <mergeCell ref="AG39:AG40"/>
    <mergeCell ref="AH28:AH30"/>
    <mergeCell ref="BG28:BG30"/>
    <mergeCell ref="BV31:BV34"/>
    <mergeCell ref="BU31:BU34"/>
    <mergeCell ref="AA39:AA40"/>
    <mergeCell ref="AI43:AI44"/>
    <mergeCell ref="BE41:BE45"/>
    <mergeCell ref="BW41:BW45"/>
    <mergeCell ref="BJ41:BJ45"/>
    <mergeCell ref="BU41:BU45"/>
    <mergeCell ref="BS41:BS42"/>
    <mergeCell ref="BT41:BT45"/>
    <mergeCell ref="BL41:BL42"/>
    <mergeCell ref="BL43:BL44"/>
    <mergeCell ref="BM43:BM44"/>
    <mergeCell ref="BP41:BP42"/>
    <mergeCell ref="BP43:BP44"/>
    <mergeCell ref="BQ41:BQ42"/>
    <mergeCell ref="BQ43:BQ44"/>
    <mergeCell ref="BK41:BK45"/>
    <mergeCell ref="BV46:BV48"/>
    <mergeCell ref="V28:V30"/>
    <mergeCell ref="U28:U30"/>
    <mergeCell ref="AB37:AB38"/>
    <mergeCell ref="T37:T38"/>
    <mergeCell ref="BS35:BS36"/>
    <mergeCell ref="BQ39:BQ40"/>
    <mergeCell ref="BF31:BF34"/>
    <mergeCell ref="V31:V34"/>
    <mergeCell ref="U31:U34"/>
    <mergeCell ref="T31:T34"/>
    <mergeCell ref="AF31:AF34"/>
    <mergeCell ref="W28:W30"/>
    <mergeCell ref="X28:X30"/>
    <mergeCell ref="Y28:Y30"/>
    <mergeCell ref="AA35:AA36"/>
    <mergeCell ref="U37:U38"/>
    <mergeCell ref="V37:V38"/>
    <mergeCell ref="W37:W38"/>
    <mergeCell ref="Z35:Z36"/>
    <mergeCell ref="BL35:BL36"/>
    <mergeCell ref="BH28:BH30"/>
    <mergeCell ref="AA37:AA38"/>
    <mergeCell ref="AC39:AC40"/>
    <mergeCell ref="BK37:BK38"/>
    <mergeCell ref="BW14:BW16"/>
    <mergeCell ref="AA28:AA30"/>
    <mergeCell ref="AB28:AB30"/>
    <mergeCell ref="A46:A48"/>
    <mergeCell ref="B46:B48"/>
    <mergeCell ref="C46:C48"/>
    <mergeCell ref="AA46:AA48"/>
    <mergeCell ref="AB46:AB48"/>
    <mergeCell ref="H35:H36"/>
    <mergeCell ref="A41:A45"/>
    <mergeCell ref="S35:S36"/>
    <mergeCell ref="Y35:Y36"/>
    <mergeCell ref="AC46:AC48"/>
    <mergeCell ref="BI46:BI48"/>
    <mergeCell ref="BH46:BH48"/>
    <mergeCell ref="BK46:BK48"/>
    <mergeCell ref="BJ46:BJ48"/>
    <mergeCell ref="BF46:BF48"/>
    <mergeCell ref="BG46:BG48"/>
    <mergeCell ref="X46:X48"/>
    <mergeCell ref="BE46:BE48"/>
    <mergeCell ref="BH41:BH45"/>
    <mergeCell ref="BG39:BG40"/>
    <mergeCell ref="BF41:BF45"/>
    <mergeCell ref="BI37:BI38"/>
    <mergeCell ref="BH37:BH38"/>
    <mergeCell ref="BF39:BF40"/>
    <mergeCell ref="BG37:BG38"/>
    <mergeCell ref="BG41:BG45"/>
    <mergeCell ref="BF37:BF38"/>
    <mergeCell ref="BI41:BI45"/>
    <mergeCell ref="BH39:BH40"/>
    <mergeCell ref="BI39:BI40"/>
    <mergeCell ref="BE28:BE30"/>
    <mergeCell ref="AZ28:AZ29"/>
    <mergeCell ref="AG25:AG26"/>
    <mergeCell ref="AH25:AH26"/>
    <mergeCell ref="AI25:AI26"/>
    <mergeCell ref="AD35:AD36"/>
    <mergeCell ref="AD37:AD38"/>
    <mergeCell ref="AE41:AE45"/>
    <mergeCell ref="AF35:AF36"/>
    <mergeCell ref="AD39:AD40"/>
    <mergeCell ref="AF39:AF40"/>
    <mergeCell ref="AD41:AD45"/>
    <mergeCell ref="AF28:AF30"/>
    <mergeCell ref="AH31:AH33"/>
    <mergeCell ref="BE31:BE34"/>
    <mergeCell ref="BE35:BE36"/>
    <mergeCell ref="BE37:BE38"/>
    <mergeCell ref="BE39:BE40"/>
    <mergeCell ref="AG43:AG44"/>
    <mergeCell ref="AH43:AH44"/>
    <mergeCell ref="AF37:AF38"/>
    <mergeCell ref="BW46:BW48"/>
    <mergeCell ref="D46:D48"/>
    <mergeCell ref="G46:G48"/>
    <mergeCell ref="H46:H48"/>
    <mergeCell ref="I46:I48"/>
    <mergeCell ref="J46:J48"/>
    <mergeCell ref="K46:K48"/>
    <mergeCell ref="L46:L48"/>
    <mergeCell ref="M46:M48"/>
    <mergeCell ref="N46:N48"/>
    <mergeCell ref="O46:O48"/>
    <mergeCell ref="P46:P48"/>
    <mergeCell ref="Q46:Q48"/>
    <mergeCell ref="R46:R48"/>
    <mergeCell ref="S46:S48"/>
    <mergeCell ref="T46:T48"/>
    <mergeCell ref="U46:U48"/>
    <mergeCell ref="V46:V48"/>
    <mergeCell ref="W46:W48"/>
    <mergeCell ref="Y46:Y48"/>
    <mergeCell ref="Z46:Z48"/>
    <mergeCell ref="AD46:AD48"/>
    <mergeCell ref="BM47:BM48"/>
    <mergeCell ref="BU46:BU48"/>
    <mergeCell ref="AE46:AE48"/>
    <mergeCell ref="AF46:AF48"/>
    <mergeCell ref="BT7:BT8"/>
    <mergeCell ref="BR9:BR10"/>
    <mergeCell ref="BM12:BM13"/>
    <mergeCell ref="BR25:BR26"/>
    <mergeCell ref="BN20:BN21"/>
    <mergeCell ref="BQ25:BQ26"/>
    <mergeCell ref="BR12:BR13"/>
    <mergeCell ref="BR14:BR16"/>
    <mergeCell ref="BO20:BO21"/>
    <mergeCell ref="BP22:BP24"/>
    <mergeCell ref="BM25:BM26"/>
    <mergeCell ref="BJ12:BJ13"/>
    <mergeCell ref="BJ14:BJ16"/>
    <mergeCell ref="BJ17:BJ19"/>
    <mergeCell ref="BK17:BK19"/>
    <mergeCell ref="BF9:BF10"/>
    <mergeCell ref="BF14:BF16"/>
    <mergeCell ref="BK20:BK21"/>
    <mergeCell ref="BG17:BG19"/>
    <mergeCell ref="BI22:BI24"/>
    <mergeCell ref="BP20:BP21"/>
    <mergeCell ref="BQ22:BQ24"/>
    <mergeCell ref="BO22:BO24"/>
    <mergeCell ref="BH22:BH24"/>
    <mergeCell ref="BJ22:BJ24"/>
    <mergeCell ref="BU4:BW5"/>
    <mergeCell ref="BR7:BR8"/>
    <mergeCell ref="BW7:BW8"/>
    <mergeCell ref="BV14:BV16"/>
    <mergeCell ref="BS7:BS8"/>
    <mergeCell ref="BV7:BV8"/>
    <mergeCell ref="BK9:BK10"/>
    <mergeCell ref="BU7:BU8"/>
    <mergeCell ref="BQ7:BQ8"/>
    <mergeCell ref="BP7:BP8"/>
    <mergeCell ref="BO7:BO8"/>
    <mergeCell ref="BN7:BN8"/>
    <mergeCell ref="BM7:BM8"/>
    <mergeCell ref="BL7:BL8"/>
    <mergeCell ref="BS14:BS16"/>
    <mergeCell ref="BT14:BT16"/>
    <mergeCell ref="BK12:BK13"/>
    <mergeCell ref="BK14:BK16"/>
    <mergeCell ref="BU14:BU16"/>
    <mergeCell ref="BQ14:BQ16"/>
    <mergeCell ref="BP14:BP16"/>
    <mergeCell ref="BJ7:BJ8"/>
    <mergeCell ref="BK7:BK8"/>
    <mergeCell ref="BH7:BH8"/>
    <mergeCell ref="BN35:BN36"/>
    <mergeCell ref="BF12:BF13"/>
    <mergeCell ref="BF17:BF19"/>
    <mergeCell ref="BI7:BI8"/>
    <mergeCell ref="BI28:BI30"/>
    <mergeCell ref="BN14:BN16"/>
    <mergeCell ref="BM14:BM16"/>
    <mergeCell ref="BL14:BL16"/>
    <mergeCell ref="BK22:BK24"/>
    <mergeCell ref="BM22:BM24"/>
    <mergeCell ref="BN22:BN24"/>
    <mergeCell ref="BL12:BL13"/>
    <mergeCell ref="BG31:BG34"/>
    <mergeCell ref="BH31:BH34"/>
    <mergeCell ref="BL25:BL26"/>
    <mergeCell ref="BK35:BK36"/>
    <mergeCell ref="BF28:BF30"/>
    <mergeCell ref="BK28:BK30"/>
    <mergeCell ref="AD22:AD24"/>
    <mergeCell ref="AF22:AF24"/>
    <mergeCell ref="AE22:AE24"/>
    <mergeCell ref="BF22:BF24"/>
    <mergeCell ref="BE14:BE16"/>
    <mergeCell ref="BE17:BE19"/>
    <mergeCell ref="BE22:BE24"/>
    <mergeCell ref="BG9:BG10"/>
    <mergeCell ref="BI9:BI10"/>
    <mergeCell ref="BH9:BH10"/>
    <mergeCell ref="BM20:BM21"/>
    <mergeCell ref="BG22:BG24"/>
    <mergeCell ref="BI12:BI13"/>
    <mergeCell ref="BI14:BI16"/>
    <mergeCell ref="BI17:BI19"/>
    <mergeCell ref="BH12:BH13"/>
    <mergeCell ref="BH14:BH16"/>
    <mergeCell ref="BH17:BH19"/>
    <mergeCell ref="BG12:BG13"/>
    <mergeCell ref="BG14:BG16"/>
    <mergeCell ref="BJ20:BJ21"/>
    <mergeCell ref="AC22:AC24"/>
    <mergeCell ref="AE20:AE21"/>
    <mergeCell ref="AF20:AF21"/>
    <mergeCell ref="AD20:AD21"/>
    <mergeCell ref="AC20:AC21"/>
    <mergeCell ref="AA7:AA8"/>
    <mergeCell ref="AB7:AB8"/>
    <mergeCell ref="AE7:AE8"/>
    <mergeCell ref="BG7:BG8"/>
    <mergeCell ref="AD7:AD8"/>
    <mergeCell ref="AF7:AF8"/>
    <mergeCell ref="BC7:BC8"/>
    <mergeCell ref="BB7:BB8"/>
    <mergeCell ref="BF7:BF8"/>
    <mergeCell ref="BA7:BA8"/>
    <mergeCell ref="AZ7:AZ8"/>
    <mergeCell ref="AY7:AY8"/>
    <mergeCell ref="AX7:AX8"/>
    <mergeCell ref="BE7:BE8"/>
    <mergeCell ref="AC7:AC8"/>
    <mergeCell ref="BD7:BD8"/>
    <mergeCell ref="AB17:AB19"/>
    <mergeCell ref="AC12:AC13"/>
    <mergeCell ref="AE14:AE16"/>
    <mergeCell ref="A4:G5"/>
    <mergeCell ref="H4:AF4"/>
    <mergeCell ref="AG4:BJ4"/>
    <mergeCell ref="BK4:BK5"/>
    <mergeCell ref="H5:AA5"/>
    <mergeCell ref="AB5:AF5"/>
    <mergeCell ref="BH5:BJ5"/>
    <mergeCell ref="A1:D3"/>
    <mergeCell ref="E3:F3"/>
    <mergeCell ref="H3:K3"/>
    <mergeCell ref="L3:N3"/>
    <mergeCell ref="O3:R3"/>
    <mergeCell ref="S3:BK3"/>
    <mergeCell ref="AG5:AI5"/>
    <mergeCell ref="AJ5:AY5"/>
    <mergeCell ref="AZ5:BA5"/>
    <mergeCell ref="BB5:BC5"/>
    <mergeCell ref="BD5:BE5"/>
    <mergeCell ref="E1:BW2"/>
    <mergeCell ref="BL4:BQ5"/>
    <mergeCell ref="BR4:BT5"/>
    <mergeCell ref="A7:A8"/>
    <mergeCell ref="B7:B8"/>
    <mergeCell ref="C7:C8"/>
    <mergeCell ref="D7:D8"/>
    <mergeCell ref="G7:G8"/>
    <mergeCell ref="P9:P10"/>
    <mergeCell ref="J9:J10"/>
    <mergeCell ref="A9:A10"/>
    <mergeCell ref="B9:B10"/>
    <mergeCell ref="C9:C10"/>
    <mergeCell ref="G9:G10"/>
    <mergeCell ref="K9:K10"/>
    <mergeCell ref="L9:L10"/>
    <mergeCell ref="N7:N8"/>
    <mergeCell ref="O7:O8"/>
    <mergeCell ref="P7:P8"/>
    <mergeCell ref="D9:D10"/>
    <mergeCell ref="I9:I10"/>
    <mergeCell ref="M9:M10"/>
    <mergeCell ref="N9:N10"/>
    <mergeCell ref="O9:O10"/>
    <mergeCell ref="H9:H10"/>
    <mergeCell ref="Q7:Q8"/>
    <mergeCell ref="R7:R8"/>
    <mergeCell ref="S7:S8"/>
    <mergeCell ref="T7:T8"/>
    <mergeCell ref="H7:H8"/>
    <mergeCell ref="I7:I8"/>
    <mergeCell ref="J7:J8"/>
    <mergeCell ref="K7:K8"/>
    <mergeCell ref="L7:L8"/>
    <mergeCell ref="M7:M8"/>
    <mergeCell ref="U7:U8"/>
    <mergeCell ref="V7:V8"/>
    <mergeCell ref="W7:W8"/>
    <mergeCell ref="X7:X8"/>
    <mergeCell ref="Y7:Y8"/>
    <mergeCell ref="Z12:Z13"/>
    <mergeCell ref="W9:W10"/>
    <mergeCell ref="X9:X10"/>
    <mergeCell ref="U20:U21"/>
    <mergeCell ref="V20:V21"/>
    <mergeCell ref="X17:X19"/>
    <mergeCell ref="X14:X16"/>
    <mergeCell ref="X12:X13"/>
    <mergeCell ref="Y14:Y16"/>
    <mergeCell ref="Z14:Z16"/>
    <mergeCell ref="Z7:Z8"/>
    <mergeCell ref="V25:V27"/>
    <mergeCell ref="W25:W27"/>
    <mergeCell ref="X25:X27"/>
    <mergeCell ref="Y25:Y27"/>
    <mergeCell ref="Z25:Z27"/>
    <mergeCell ref="AA20:AA21"/>
    <mergeCell ref="AB20:AB21"/>
    <mergeCell ref="W22:W24"/>
    <mergeCell ref="X22:X24"/>
    <mergeCell ref="Y22:Y24"/>
    <mergeCell ref="Z22:Z24"/>
    <mergeCell ref="AA22:AA24"/>
    <mergeCell ref="AB22:AB24"/>
    <mergeCell ref="Y20:Y21"/>
    <mergeCell ref="Z20:Z21"/>
    <mergeCell ref="W20:W21"/>
    <mergeCell ref="X20:X21"/>
    <mergeCell ref="AA25:AA27"/>
    <mergeCell ref="T20:T21"/>
    <mergeCell ref="R20:R21"/>
    <mergeCell ref="N20:N21"/>
    <mergeCell ref="O28:O30"/>
    <mergeCell ref="P28:P30"/>
    <mergeCell ref="Q28:Q30"/>
    <mergeCell ref="R28:R30"/>
    <mergeCell ref="N28:N30"/>
    <mergeCell ref="Q20:Q21"/>
    <mergeCell ref="S20:S21"/>
    <mergeCell ref="S28:S30"/>
    <mergeCell ref="T28:T30"/>
    <mergeCell ref="O20:O21"/>
    <mergeCell ref="P20:P21"/>
    <mergeCell ref="A14:A16"/>
    <mergeCell ref="A17:A19"/>
    <mergeCell ref="A20:A21"/>
    <mergeCell ref="B20:B21"/>
    <mergeCell ref="B22:B24"/>
    <mergeCell ref="A22:A24"/>
    <mergeCell ref="H12:H13"/>
    <mergeCell ref="I12:I13"/>
    <mergeCell ref="D20:D21"/>
    <mergeCell ref="H22:H24"/>
    <mergeCell ref="I22:I24"/>
    <mergeCell ref="B17:B19"/>
    <mergeCell ref="G20:G21"/>
    <mergeCell ref="N12:N13"/>
    <mergeCell ref="O12:O13"/>
    <mergeCell ref="P12:P13"/>
    <mergeCell ref="Q12:Q13"/>
    <mergeCell ref="R17:R19"/>
    <mergeCell ref="G14:G16"/>
    <mergeCell ref="L14:L16"/>
    <mergeCell ref="D12:D13"/>
    <mergeCell ref="D14:D16"/>
    <mergeCell ref="D17:D19"/>
    <mergeCell ref="O14:O16"/>
    <mergeCell ref="P14:P16"/>
    <mergeCell ref="J14:J16"/>
    <mergeCell ref="K14:K16"/>
    <mergeCell ref="G12:G13"/>
    <mergeCell ref="J12:J13"/>
    <mergeCell ref="K12:K13"/>
    <mergeCell ref="L12:L13"/>
    <mergeCell ref="M12:M13"/>
    <mergeCell ref="J17:J19"/>
    <mergeCell ref="R14:R16"/>
    <mergeCell ref="N14:N16"/>
    <mergeCell ref="Q14:Q16"/>
    <mergeCell ref="N17:N19"/>
    <mergeCell ref="A25:A27"/>
    <mergeCell ref="B25:B27"/>
    <mergeCell ref="B41:B45"/>
    <mergeCell ref="C39:C40"/>
    <mergeCell ref="C41:C45"/>
    <mergeCell ref="C12:C13"/>
    <mergeCell ref="C14:C16"/>
    <mergeCell ref="C17:C19"/>
    <mergeCell ref="C20:C21"/>
    <mergeCell ref="B12:B13"/>
    <mergeCell ref="B14:B16"/>
    <mergeCell ref="C22:C24"/>
    <mergeCell ref="C25:C27"/>
    <mergeCell ref="A39:A40"/>
    <mergeCell ref="B35:B36"/>
    <mergeCell ref="B37:B38"/>
    <mergeCell ref="A28:A30"/>
    <mergeCell ref="B28:B30"/>
    <mergeCell ref="A35:A36"/>
    <mergeCell ref="A37:A38"/>
    <mergeCell ref="B39:B40"/>
    <mergeCell ref="B31:B34"/>
    <mergeCell ref="A31:A34"/>
    <mergeCell ref="A12:A13"/>
    <mergeCell ref="I37:I38"/>
    <mergeCell ref="J37:J38"/>
    <mergeCell ref="K37:K38"/>
    <mergeCell ref="D41:D45"/>
    <mergeCell ref="C35:C36"/>
    <mergeCell ref="C37:C38"/>
    <mergeCell ref="C28:C30"/>
    <mergeCell ref="D37:D38"/>
    <mergeCell ref="D39:D40"/>
    <mergeCell ref="D31:D32"/>
    <mergeCell ref="H41:H45"/>
    <mergeCell ref="H39:H40"/>
    <mergeCell ref="G39:G40"/>
    <mergeCell ref="G41:G45"/>
    <mergeCell ref="G35:G36"/>
    <mergeCell ref="G37:G38"/>
    <mergeCell ref="H37:H38"/>
    <mergeCell ref="C31:C34"/>
    <mergeCell ref="H31:H34"/>
    <mergeCell ref="I41:I45"/>
    <mergeCell ref="J41:J45"/>
    <mergeCell ref="K39:K40"/>
    <mergeCell ref="P35:P36"/>
    <mergeCell ref="I28:I30"/>
    <mergeCell ref="J28:J30"/>
    <mergeCell ref="K28:K30"/>
    <mergeCell ref="L28:L30"/>
    <mergeCell ref="M28:M30"/>
    <mergeCell ref="I31:I34"/>
    <mergeCell ref="J31:J34"/>
    <mergeCell ref="K31:K34"/>
    <mergeCell ref="L31:L34"/>
    <mergeCell ref="I35:I36"/>
    <mergeCell ref="J35:J36"/>
    <mergeCell ref="K35:K36"/>
    <mergeCell ref="L35:L36"/>
    <mergeCell ref="D35:D36"/>
    <mergeCell ref="E25:E26"/>
    <mergeCell ref="Y39:Y40"/>
    <mergeCell ref="Z39:Z40"/>
    <mergeCell ref="U39:U40"/>
    <mergeCell ref="V39:V40"/>
    <mergeCell ref="W39:W40"/>
    <mergeCell ref="X39:X40"/>
    <mergeCell ref="X35:X36"/>
    <mergeCell ref="Z37:Z38"/>
    <mergeCell ref="W35:W36"/>
    <mergeCell ref="X37:X38"/>
    <mergeCell ref="Y37:Y38"/>
    <mergeCell ref="T35:T36"/>
    <mergeCell ref="U35:U36"/>
    <mergeCell ref="V35:V36"/>
    <mergeCell ref="N37:N38"/>
    <mergeCell ref="O37:O38"/>
    <mergeCell ref="T39:T40"/>
    <mergeCell ref="L37:L38"/>
    <mergeCell ref="I39:I40"/>
    <mergeCell ref="J39:J40"/>
    <mergeCell ref="N35:N36"/>
    <mergeCell ref="O35:O36"/>
    <mergeCell ref="L39:L40"/>
    <mergeCell ref="M39:M40"/>
    <mergeCell ref="N39:N40"/>
    <mergeCell ref="O39:O40"/>
    <mergeCell ref="P39:P40"/>
    <mergeCell ref="Q39:Q40"/>
    <mergeCell ref="K41:K45"/>
    <mergeCell ref="L41:L45"/>
    <mergeCell ref="M41:M45"/>
    <mergeCell ref="M37:M38"/>
    <mergeCell ref="X41:X45"/>
    <mergeCell ref="Y41:Y45"/>
    <mergeCell ref="Z41:Z45"/>
    <mergeCell ref="AA41:AA45"/>
    <mergeCell ref="AB41:AB45"/>
    <mergeCell ref="AC41:AC45"/>
    <mergeCell ref="T41:T45"/>
    <mergeCell ref="U41:U45"/>
    <mergeCell ref="V41:V45"/>
    <mergeCell ref="W41:W45"/>
    <mergeCell ref="R39:R40"/>
    <mergeCell ref="Q37:Q38"/>
    <mergeCell ref="R37:R38"/>
    <mergeCell ref="S37:S38"/>
    <mergeCell ref="P37:P38"/>
    <mergeCell ref="S39:S40"/>
    <mergeCell ref="S41:S45"/>
    <mergeCell ref="N41:N45"/>
    <mergeCell ref="O41:O45"/>
    <mergeCell ref="P41:P45"/>
    <mergeCell ref="Q41:Q45"/>
    <mergeCell ref="R41:R45"/>
    <mergeCell ref="AB12:AB13"/>
    <mergeCell ref="BA12:BA13"/>
    <mergeCell ref="Q9:Q10"/>
    <mergeCell ref="R9:R10"/>
    <mergeCell ref="S9:S10"/>
    <mergeCell ref="T9:T10"/>
    <mergeCell ref="U9:U10"/>
    <mergeCell ref="V9:V10"/>
    <mergeCell ref="AB9:AB10"/>
    <mergeCell ref="Y9:Y10"/>
    <mergeCell ref="Z9:Z10"/>
    <mergeCell ref="AA9:AA10"/>
    <mergeCell ref="AC9:AC10"/>
    <mergeCell ref="AE9:AE10"/>
    <mergeCell ref="AD9:AD10"/>
    <mergeCell ref="AF9:AF10"/>
    <mergeCell ref="AC17:AC19"/>
    <mergeCell ref="BW9:BW10"/>
    <mergeCell ref="BV9:BV10"/>
    <mergeCell ref="BU9:BU10"/>
    <mergeCell ref="BS12:BS13"/>
    <mergeCell ref="BU12:BU13"/>
    <mergeCell ref="BV12:BV13"/>
    <mergeCell ref="BW12:BW13"/>
    <mergeCell ref="BB12:BB13"/>
    <mergeCell ref="BE12:BE13"/>
    <mergeCell ref="BS9:BS10"/>
    <mergeCell ref="BQ12:BQ13"/>
    <mergeCell ref="BP12:BP13"/>
    <mergeCell ref="BO12:BO13"/>
    <mergeCell ref="BN12:BN13"/>
    <mergeCell ref="AF17:AF19"/>
    <mergeCell ref="AF14:AF16"/>
    <mergeCell ref="AE17:AE19"/>
    <mergeCell ref="BE9:BE10"/>
    <mergeCell ref="AD17:AD19"/>
    <mergeCell ref="BJ9:BJ10"/>
    <mergeCell ref="BT9:BT10"/>
    <mergeCell ref="BO14:BO16"/>
    <mergeCell ref="S17:S19"/>
    <mergeCell ref="AA12:AA13"/>
    <mergeCell ref="T17:T19"/>
    <mergeCell ref="U17:U19"/>
    <mergeCell ref="V17:V19"/>
    <mergeCell ref="V14:V16"/>
    <mergeCell ref="W14:W16"/>
    <mergeCell ref="W17:W19"/>
    <mergeCell ref="AA17:AA19"/>
    <mergeCell ref="W12:W13"/>
    <mergeCell ref="S14:S16"/>
    <mergeCell ref="Y12:Y13"/>
    <mergeCell ref="AA14:AA16"/>
    <mergeCell ref="T14:T16"/>
    <mergeCell ref="U14:U16"/>
    <mergeCell ref="Y17:Y19"/>
    <mergeCell ref="Z17:Z19"/>
    <mergeCell ref="AZ12:AZ13"/>
    <mergeCell ref="AL12:AL13"/>
    <mergeCell ref="AD14:AD16"/>
    <mergeCell ref="O17:O19"/>
    <mergeCell ref="H17:H19"/>
    <mergeCell ref="I17:I19"/>
    <mergeCell ref="R12:R13"/>
    <mergeCell ref="S12:S13"/>
    <mergeCell ref="T12:T13"/>
    <mergeCell ref="U12:U13"/>
    <mergeCell ref="V12:V13"/>
    <mergeCell ref="P17:P19"/>
    <mergeCell ref="Q17:Q19"/>
    <mergeCell ref="AB14:AB16"/>
    <mergeCell ref="AC14:AC16"/>
    <mergeCell ref="AY12:AY13"/>
    <mergeCell ref="AX12:AX13"/>
    <mergeCell ref="AP12:AP13"/>
    <mergeCell ref="AN12:AN13"/>
    <mergeCell ref="AD12:AD13"/>
    <mergeCell ref="AF12:AF13"/>
    <mergeCell ref="AJ12:AJ13"/>
    <mergeCell ref="AE12:AE13"/>
    <mergeCell ref="AI12:AI13"/>
    <mergeCell ref="J20:J21"/>
    <mergeCell ref="K20:K21"/>
    <mergeCell ref="M14:M16"/>
    <mergeCell ref="G17:G19"/>
    <mergeCell ref="L17:L19"/>
    <mergeCell ref="M17:M19"/>
    <mergeCell ref="H14:H16"/>
    <mergeCell ref="I14:I16"/>
    <mergeCell ref="K17:K19"/>
    <mergeCell ref="H20:H21"/>
    <mergeCell ref="I20:I21"/>
    <mergeCell ref="L20:L21"/>
    <mergeCell ref="M20:M21"/>
    <mergeCell ref="BW17:BW19"/>
    <mergeCell ref="BU20:BU21"/>
    <mergeCell ref="BV20:BV21"/>
    <mergeCell ref="BW20:BW21"/>
    <mergeCell ref="BW22:BW24"/>
    <mergeCell ref="BS25:BS26"/>
    <mergeCell ref="BT25:BT26"/>
    <mergeCell ref="BU17:BU19"/>
    <mergeCell ref="BV17:BV19"/>
    <mergeCell ref="BV22:BV24"/>
    <mergeCell ref="BU22:BU24"/>
    <mergeCell ref="BV25:BV27"/>
    <mergeCell ref="BU25:BU27"/>
    <mergeCell ref="BW25:BW27"/>
    <mergeCell ref="BW35:BW36"/>
    <mergeCell ref="BW37:BW38"/>
    <mergeCell ref="BW39:BW40"/>
    <mergeCell ref="BP35:BP36"/>
    <mergeCell ref="BO35:BO36"/>
    <mergeCell ref="BT37:BT38"/>
    <mergeCell ref="BU37:BU38"/>
    <mergeCell ref="BV37:BV38"/>
    <mergeCell ref="BS39:BS40"/>
    <mergeCell ref="BT39:BT40"/>
    <mergeCell ref="BU39:BU40"/>
    <mergeCell ref="BO39:BO40"/>
    <mergeCell ref="BP39:BP40"/>
    <mergeCell ref="BU35:BU36"/>
    <mergeCell ref="BV35:BV36"/>
    <mergeCell ref="BS37:BS38"/>
    <mergeCell ref="BV39:BV40"/>
    <mergeCell ref="BQ35:BQ36"/>
    <mergeCell ref="BT35:BT36"/>
    <mergeCell ref="BR39:BR40"/>
    <mergeCell ref="BR37:BR38"/>
    <mergeCell ref="BR35:BR36"/>
    <mergeCell ref="BR28:BR30"/>
    <mergeCell ref="BS28:BS30"/>
    <mergeCell ref="BW28:BW30"/>
    <mergeCell ref="BV28:BV30"/>
    <mergeCell ref="BU28:BU30"/>
    <mergeCell ref="BT28:BT30"/>
    <mergeCell ref="BJ28:BJ30"/>
    <mergeCell ref="BI31:BI34"/>
    <mergeCell ref="BJ31:BJ34"/>
    <mergeCell ref="BK31:BK34"/>
    <mergeCell ref="BL31:BL34"/>
    <mergeCell ref="BS31:BS34"/>
    <mergeCell ref="BP31:BP34"/>
    <mergeCell ref="BQ31:BQ34"/>
    <mergeCell ref="BT31:BT34"/>
    <mergeCell ref="BN31:BN34"/>
    <mergeCell ref="BO31:BO34"/>
    <mergeCell ref="BM31:BM34"/>
    <mergeCell ref="BW31:BW34"/>
    <mergeCell ref="J22:J24"/>
    <mergeCell ref="K22:K24"/>
    <mergeCell ref="L22:L24"/>
    <mergeCell ref="D22:D24"/>
    <mergeCell ref="G22:G24"/>
    <mergeCell ref="D28:D30"/>
    <mergeCell ref="G28:G30"/>
    <mergeCell ref="H28:H30"/>
    <mergeCell ref="I25:I27"/>
    <mergeCell ref="J25:J27"/>
    <mergeCell ref="K25:K27"/>
    <mergeCell ref="L25:L27"/>
    <mergeCell ref="D25:D27"/>
    <mergeCell ref="G25:G27"/>
    <mergeCell ref="H25:H27"/>
    <mergeCell ref="M22:M24"/>
    <mergeCell ref="N22:N24"/>
    <mergeCell ref="O22:O24"/>
    <mergeCell ref="AB35:AB36"/>
    <mergeCell ref="AE37:AE38"/>
    <mergeCell ref="AE39:AE40"/>
    <mergeCell ref="AC35:AC36"/>
    <mergeCell ref="AD28:AD30"/>
    <mergeCell ref="AE28:AE30"/>
    <mergeCell ref="P22:P24"/>
    <mergeCell ref="Q22:Q24"/>
    <mergeCell ref="R22:R24"/>
    <mergeCell ref="S22:S24"/>
    <mergeCell ref="T22:T24"/>
    <mergeCell ref="U22:U24"/>
    <mergeCell ref="V22:V24"/>
    <mergeCell ref="AB39:AB40"/>
    <mergeCell ref="AC28:AC30"/>
    <mergeCell ref="AC37:AC38"/>
    <mergeCell ref="Q35:Q36"/>
    <mergeCell ref="R35:R36"/>
    <mergeCell ref="M31:M34"/>
    <mergeCell ref="S31:S34"/>
    <mergeCell ref="M35:M36"/>
  </mergeCells>
  <conditionalFormatting sqref="AF7:AF14 AF17 AF20 AF22 AF31 AF35 AF37 AF39 AF41 AF46 AF25:AF28">
    <cfRule type="cellIs" dxfId="44" priority="49" operator="equal">
      <formula>"Extremo"</formula>
    </cfRule>
    <cfRule type="cellIs" dxfId="43" priority="50" operator="equal">
      <formula>"Alto"</formula>
    </cfRule>
    <cfRule type="cellIs" dxfId="42" priority="51" operator="equal">
      <formula>"Moderado"</formula>
    </cfRule>
    <cfRule type="cellIs" dxfId="41" priority="52" operator="equal">
      <formula>"Bajo"</formula>
    </cfRule>
  </conditionalFormatting>
  <conditionalFormatting sqref="BJ7:BJ9 BJ14 BJ17 BJ20 BJ22 BJ37 BJ39 BJ25:BJ27">
    <cfRule type="cellIs" dxfId="40" priority="53" operator="equal">
      <formula>"Extremo"</formula>
    </cfRule>
    <cfRule type="cellIs" dxfId="39" priority="54" operator="equal">
      <formula>"Alto"</formula>
    </cfRule>
    <cfRule type="cellIs" dxfId="38" priority="55" operator="equal">
      <formula>"Moderado"</formula>
    </cfRule>
    <cfRule type="cellIs" dxfId="37" priority="56" operator="equal">
      <formula>"Bajo"</formula>
    </cfRule>
  </conditionalFormatting>
  <conditionalFormatting sqref="BJ11:BJ12">
    <cfRule type="cellIs" dxfId="36" priority="45" operator="equal">
      <formula>"Extremo"</formula>
    </cfRule>
    <cfRule type="cellIs" dxfId="35" priority="46" operator="equal">
      <formula>"Alto"</formula>
    </cfRule>
    <cfRule type="cellIs" dxfId="34" priority="47" operator="equal">
      <formula>"Moderado"</formula>
    </cfRule>
    <cfRule type="cellIs" dxfId="33" priority="48" operator="equal">
      <formula>"Bajo"</formula>
    </cfRule>
  </conditionalFormatting>
  <conditionalFormatting sqref="BJ28">
    <cfRule type="cellIs" dxfId="32" priority="25" operator="equal">
      <formula>"Extremo"</formula>
    </cfRule>
    <cfRule type="cellIs" dxfId="31" priority="26" operator="equal">
      <formula>"Alto"</formula>
    </cfRule>
    <cfRule type="cellIs" dxfId="30" priority="27" operator="equal">
      <formula>"Moderado"</formula>
    </cfRule>
    <cfRule type="cellIs" dxfId="29" priority="28" operator="equal">
      <formula>"Bajo"</formula>
    </cfRule>
  </conditionalFormatting>
  <conditionalFormatting sqref="BJ31 BJ35">
    <cfRule type="cellIs" dxfId="28" priority="169" operator="equal">
      <formula>"Extremo"</formula>
    </cfRule>
    <cfRule type="cellIs" dxfId="27" priority="170" operator="equal">
      <formula>"Alto"</formula>
    </cfRule>
    <cfRule type="cellIs" dxfId="26" priority="171" operator="equal">
      <formula>"Moderado"</formula>
    </cfRule>
    <cfRule type="cellIs" dxfId="25" priority="172" operator="equal">
      <formula>"Bajo"</formula>
    </cfRule>
  </conditionalFormatting>
  <conditionalFormatting sqref="BJ41">
    <cfRule type="cellIs" dxfId="24" priority="1" operator="equal">
      <formula>"Extremo"</formula>
    </cfRule>
    <cfRule type="cellIs" dxfId="23" priority="2" operator="equal">
      <formula>"Alto"</formula>
    </cfRule>
    <cfRule type="cellIs" dxfId="22" priority="3" operator="equal">
      <formula>"Moderado"</formula>
    </cfRule>
    <cfRule type="cellIs" dxfId="21" priority="4" operator="equal">
      <formula>"Bajo"</formula>
    </cfRule>
  </conditionalFormatting>
  <conditionalFormatting sqref="BJ46">
    <cfRule type="cellIs" dxfId="20" priority="33" operator="equal">
      <formula>"Extremo"</formula>
    </cfRule>
    <cfRule type="cellIs" dxfId="19" priority="34" operator="equal">
      <formula>"Alto"</formula>
    </cfRule>
    <cfRule type="cellIs" dxfId="18" priority="35" operator="equal">
      <formula>"Moderado"</formula>
    </cfRule>
    <cfRule type="cellIs" dxfId="17" priority="36" operator="equal">
      <formula>"Bajo"</formula>
    </cfRule>
  </conditionalFormatting>
  <dataValidations xWindow="1047" yWindow="422" count="21">
    <dataValidation allowBlank="1" showInputMessage="1" showErrorMessage="1" prompt="Fuerte: 100_x000a__x000a_Moderado: Entre 50 y 99_x000a__x000a_Débil: Menor a 50" sqref="BE6"/>
    <dataValidation allowBlank="1" showInputMessage="1" showErrorMessage="1" prompt="Fuerte: 100_x000a__x000a_Moderado: 50_x000a__x000a_Débil: 0" sqref="BC6"/>
    <dataValidation allowBlank="1" showInputMessage="1" showErrorMessage="1" prompt="Fuerte: Siempre se ejecuta_x000a__x000a_Moderado: Algunas veces_x000a__x000a_Débil: No se ejecuta " sqref="AZ6:BA6"/>
    <dataValidation allowBlank="1" showInputMessage="1" showErrorMessage="1" prompt="Fuerte: Calificación entre 96 y 100_x000a__x000a_Moderado: Calificación entre 86 y 95_x000a__x000a_Débil: Calificación entre 0 y 85" sqref="AY6"/>
    <dataValidation allowBlank="1" showInputMessage="1" showErrorMessage="1" prompt="- Confiable (15)_x000a__x000a_- No Confiable (0)_x000a_" sqref="AR6:AS6"/>
    <dataValidation allowBlank="1" showInputMessage="1" showErrorMessage="1" prompt="- Prevenir (15)_x000a__x000a_- Detectar (10)_x000a__x000a_- No es un Control (0)" sqref="AP6:AQ6"/>
    <dataValidation allowBlank="1" showInputMessage="1" showErrorMessage="1" prompt="- Oportuna (15)_x000a__x000a_- Inoportuna (0)_x000a_" sqref="AN6:AO6"/>
    <dataValidation allowBlank="1" showInputMessage="1" showErrorMessage="1" prompt="- Asignado (15)_x000a__x000a_- No Asignado (0)" sqref="AJ6:AK6"/>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AI6"/>
    <dataValidation allowBlank="1" showInputMessage="1" showErrorMessage="1" prompt="Completa (10)_x000a__x000a_Incompleta (5)_x000a__x000a_No esxiste (0)" sqref="AV6:AW6"/>
    <dataValidation allowBlank="1" showInputMessage="1" showErrorMessage="1" prompt="- Se investigan y se resuelven Oportunamente (15)_x000a__x000a_- No se investigan y resuelven Oportunamente (0)_x000a_" sqref="AT6:AU6"/>
    <dataValidation allowBlank="1" showInputMessage="1" showErrorMessage="1" prompt="- Adecuado (15)_x000a__x000a_- Inadecuado (0)_x000a_" sqref="AL6:AM6"/>
    <dataValidation allowBlank="1" showInputMessage="1" showErrorMessage="1" prompt="Promedio entre el diseño Total de Control y Total Solidez Individual " sqref="BD6"/>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BB6"/>
    <dataValidation allowBlank="1" showInputMessage="1" showErrorMessage="1" prompt="Si el resultado de las calificaciones del control o promedio en el diseño de los controles, está por debajo de 96%, se debe establecer un plan de acción que permita tener un control bien diseñado" sqref="AX6"/>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A6 AC6:AE6"/>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AB6"/>
    <dataValidation type="list" allowBlank="1" showInputMessage="1" showErrorMessage="1" sqref="AH9:AH11">
      <formula1>$E$7:$E$8</formula1>
    </dataValidation>
    <dataValidation type="list" allowBlank="1" showInputMessage="1" showErrorMessage="1" sqref="AH47">
      <formula1>$E$45:$E$47</formula1>
    </dataValidation>
    <dataValidation type="list" allowBlank="1" showInputMessage="1" showErrorMessage="1" sqref="AH7:AH8">
      <formula1>$E$7:$E$11</formula1>
    </dataValidation>
    <dataValidation type="list" allowBlank="1" showInputMessage="1" showErrorMessage="1" sqref="AH41:AH43 AH45">
      <formula1>$E$9:$E$13</formula1>
    </dataValidation>
  </dataValidations>
  <printOptions horizontalCentered="1"/>
  <pageMargins left="0" right="0" top="0.35433070866141736" bottom="0.35433070866141736" header="0.31496062992125984" footer="0.31496062992125984"/>
  <pageSetup paperSize="5" scale="50" pageOrder="overThenDown" orientation="portrait" r:id="rId1"/>
  <headerFooter>
    <oddFooter>&amp;CPág. &amp;P de &amp;N</oddFooter>
  </headerFooter>
  <drawing r:id="rId2"/>
  <extLst>
    <ext xmlns:x14="http://schemas.microsoft.com/office/spreadsheetml/2009/9/main" uri="{CCE6A557-97BC-4b89-ADB6-D9C93CAAB3DF}">
      <x14:dataValidations xmlns:xm="http://schemas.microsoft.com/office/excel/2006/main" xWindow="1047" yWindow="422" count="10">
        <x14:dataValidation type="list" allowBlank="1" showInputMessage="1" showErrorMessage="1">
          <x14:formula1>
            <xm:f>Listados!$B$26:$B$27</xm:f>
          </x14:formula1>
          <xm:sqref>H7 AN9:AN11 AN39:AN40 H9 H11:H12 H14 H46:Z46 H17:Z17 H20:Z20 H22:Z22 H35:J35 H25:Z25 H37:J37 H39:J39 H31:Z31 H41:Z41 AL7:AN7 AJ9:AJ12 AS7:AT7 AS15:AS19 AR7:AR45 AS28:AS30 AS40:AS44 H28:Z28 AJ7 AS21:AT24 AL9:AL12 I7:Z14 AT9:AT19 AS31:AT36 AT37:AT44 K35:Z38 AS37:AS38 AR46:AT48 AJ14:AJ48 AL14:AL1048576 AT25:AT30</xm:sqref>
        </x14:dataValidation>
        <x14:dataValidation type="list" allowBlank="1" showInputMessage="1" showErrorMessage="1">
          <x14:formula1>
            <xm:f>Corrupción!$J$3:$J$7</xm:f>
          </x14:formula1>
          <xm:sqref>AB22 AB25:AB28 AB41 AB17 AB20 AB31 AB35 AB37 AB39 AB46 AB7:AB14</xm:sqref>
        </x14:dataValidation>
        <x14:dataValidation type="list" allowBlank="1" showInputMessage="1" showErrorMessage="1">
          <x14:formula1>
            <xm:f>Listados!$B$3:$B$21</xm:f>
          </x14:formula1>
          <xm:sqref>B22 B25 B37 B28 B20 B39 B35 B46 B31 B14 B17 B41 B6:B12</xm:sqref>
        </x14:dataValidation>
        <x14:dataValidation type="list" allowBlank="1" showInputMessage="1" showErrorMessage="1">
          <x14:formula1>
            <xm:f>Listados!$G$26:$G$27</xm:f>
          </x14:formula1>
          <xm:sqref>AP7 AP9:AP12 AP14:AP48</xm:sqref>
        </x14:dataValidation>
        <x14:dataValidation type="list" allowBlank="1" showInputMessage="1" showErrorMessage="1">
          <x14:formula1>
            <xm:f>Listados!$E$26:$E$28</xm:f>
          </x14:formula1>
          <xm:sqref>AZ7:AZ12 AZ14:AZ28 AZ30:AZ48</xm:sqref>
        </x14:dataValidation>
        <x14:dataValidation type="list" allowBlank="1" showInputMessage="1" showErrorMessage="1">
          <x14:formula1>
            <xm:f>'C:\Users\ana sofia\Downloads\[RIESGO GRUPO GESTIÓN DOCUMENTAL (1).xlsx]Listados'!#REF!</xm:f>
          </x14:formula1>
          <xm:sqref>AN12</xm:sqref>
        </x14:dataValidation>
        <x14:dataValidation type="list" allowBlank="1" showInputMessage="1" showErrorMessage="1">
          <x14:formula1>
            <xm:f>'https://minjusticiagovco-my.sharepoint.com/personal/mjrodriguez_minjusticia_gov_co/Documents/MATRIZ DE RIESGOS/VIGENCIA 2022/PRIMER CUATRIMESTRE/[MATRIZ RIESGOS GESTION Y CORRUPCIÓN FINAL (1).xlsx]Listados'!#REF!</xm:f>
          </x14:formula1>
          <xm:sqref>K39:Z40</xm:sqref>
        </x14:dataValidation>
        <x14:dataValidation type="list" allowBlank="1" showInputMessage="1" showErrorMessage="1">
          <x14:formula1>
            <xm:f>Listados!$E$3:$E$4</xm:f>
          </x14:formula1>
          <xm:sqref>F35:F1048576 F7:F30</xm:sqref>
        </x14:dataValidation>
        <x14:dataValidation type="list" allowBlank="1" showInputMessage="1" showErrorMessage="1">
          <x14:formula1>
            <xm:f>Hoja!$I$26:$I$27</xm:f>
          </x14:formula1>
          <xm:sqref>AI7:AI12 AI45:AI48 AI14:AI25 AI27:AI43</xm:sqref>
        </x14:dataValidation>
        <x14:dataValidation type="list" allowBlank="1" showInputMessage="1" showErrorMessage="1">
          <x14:formula1>
            <xm:f>Listados!$C$26:$C$28</xm:f>
          </x14:formula1>
          <xm:sqref>AV7:AV48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15"/>
  <sheetViews>
    <sheetView zoomScale="90" zoomScaleNormal="90" workbookViewId="0">
      <selection activeCell="B9" sqref="B9"/>
    </sheetView>
  </sheetViews>
  <sheetFormatPr baseColWidth="10" defaultColWidth="11.42578125" defaultRowHeight="15"/>
  <cols>
    <col min="4" max="4" width="126" bestFit="1" customWidth="1"/>
  </cols>
  <sheetData>
    <row r="4" spans="4:4" ht="33.75">
      <c r="D4" s="132" t="s">
        <v>780</v>
      </c>
    </row>
    <row r="5" spans="4:4" ht="33.75">
      <c r="D5" s="132" t="s">
        <v>781</v>
      </c>
    </row>
    <row r="6" spans="4:4" ht="33.75">
      <c r="D6" s="132" t="s">
        <v>782</v>
      </c>
    </row>
    <row r="7" spans="4:4" ht="33.75">
      <c r="D7" s="132" t="s">
        <v>783</v>
      </c>
    </row>
    <row r="8" spans="4:4" ht="33.75">
      <c r="D8" s="132" t="s">
        <v>784</v>
      </c>
    </row>
    <row r="9" spans="4:4" ht="92.25">
      <c r="D9" s="136" t="s">
        <v>785</v>
      </c>
    </row>
    <row r="10" spans="4:4" ht="33.75">
      <c r="D10" s="135" t="s">
        <v>786</v>
      </c>
    </row>
    <row r="11" spans="4:4" ht="33.75">
      <c r="D11" s="132" t="s">
        <v>787</v>
      </c>
    </row>
    <row r="12" spans="4:4" ht="33.75">
      <c r="D12" s="132" t="s">
        <v>788</v>
      </c>
    </row>
    <row r="13" spans="4:4" ht="33.75">
      <c r="D13" s="134" t="s">
        <v>789</v>
      </c>
    </row>
    <row r="14" spans="4:4" ht="33.75">
      <c r="D14" s="132" t="s">
        <v>790</v>
      </c>
    </row>
    <row r="15" spans="4:4" ht="33.75">
      <c r="D15" s="133" t="s">
        <v>791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366"/>
  <sheetViews>
    <sheetView showGridLines="0" topLeftCell="J1" zoomScale="70" zoomScaleNormal="70" zoomScaleSheetLayoutView="50" workbookViewId="0">
      <selection activeCell="S15" sqref="S15"/>
    </sheetView>
  </sheetViews>
  <sheetFormatPr baseColWidth="10" defaultColWidth="11.42578125" defaultRowHeight="15"/>
  <cols>
    <col min="1" max="1" width="4.85546875" style="18" customWidth="1"/>
    <col min="2" max="2" width="33.5703125" style="15" customWidth="1"/>
    <col min="3" max="3" width="47" style="15" customWidth="1"/>
    <col min="4" max="7" width="28.85546875" style="19" customWidth="1"/>
    <col min="8" max="10" width="25.5703125" style="19" customWidth="1"/>
    <col min="11" max="11" width="27.28515625" style="19" customWidth="1"/>
    <col min="12" max="12" width="27.7109375" style="15" customWidth="1"/>
    <col min="13" max="13" width="10.85546875" style="20" customWidth="1"/>
    <col min="14" max="14" width="10.42578125" style="20" hidden="1" customWidth="1"/>
    <col min="15" max="15" width="12.42578125" style="20" customWidth="1"/>
    <col min="16" max="16" width="10.42578125" style="20" hidden="1" customWidth="1"/>
    <col min="17" max="17" width="10.140625" style="20" customWidth="1"/>
    <col min="18" max="18" width="17.140625" style="15" customWidth="1"/>
    <col min="19" max="19" width="36.28515625" style="20" customWidth="1"/>
    <col min="20" max="20" width="36" style="20" customWidth="1"/>
    <col min="21" max="22" width="52.7109375" style="15" customWidth="1"/>
    <col min="23" max="23" width="16.42578125" style="15" customWidth="1"/>
    <col min="24" max="24" width="20" style="15" customWidth="1"/>
    <col min="25" max="25" width="20" style="15" hidden="1" customWidth="1"/>
    <col min="26" max="26" width="22.85546875" style="15" customWidth="1"/>
    <col min="27" max="27" width="22.85546875" style="15" hidden="1" customWidth="1"/>
    <col min="28" max="28" width="28.140625" style="15" bestFit="1" customWidth="1"/>
    <col min="29" max="29" width="28.140625" style="15" hidden="1" customWidth="1"/>
    <col min="30" max="30" width="34.7109375" style="15" bestFit="1" customWidth="1"/>
    <col min="31" max="31" width="34.7109375" style="15" hidden="1" customWidth="1"/>
    <col min="32" max="32" width="24.140625" style="15" bestFit="1" customWidth="1"/>
    <col min="33" max="33" width="24.140625" style="15" hidden="1" customWidth="1"/>
    <col min="34" max="34" width="27.85546875" style="15" bestFit="1" customWidth="1"/>
    <col min="35" max="35" width="27.85546875" style="15" hidden="1" customWidth="1"/>
    <col min="36" max="36" width="23.85546875" style="15" bestFit="1" customWidth="1"/>
    <col min="37" max="37" width="23.85546875" style="15" hidden="1" customWidth="1"/>
    <col min="38" max="38" width="15.85546875" style="15" customWidth="1"/>
    <col min="39" max="39" width="18.5703125" style="15" customWidth="1"/>
    <col min="40" max="40" width="20.5703125" style="15" customWidth="1"/>
    <col min="41" max="41" width="20.5703125" style="15" hidden="1" customWidth="1"/>
    <col min="42" max="42" width="20.5703125" style="15" customWidth="1"/>
    <col min="43" max="43" width="20.5703125" style="15" hidden="1" customWidth="1"/>
    <col min="44" max="44" width="20.5703125" style="15" customWidth="1"/>
    <col min="45" max="45" width="20.5703125" style="15" hidden="1" customWidth="1"/>
    <col min="46" max="46" width="20.5703125" style="15" customWidth="1"/>
    <col min="47" max="48" width="20.5703125" style="15" hidden="1" customWidth="1"/>
    <col min="49" max="50" width="20.5703125" style="15" customWidth="1"/>
    <col min="51" max="53" width="15.5703125" style="15" customWidth="1"/>
    <col min="54" max="54" width="18.85546875" style="15" customWidth="1"/>
    <col min="55" max="56" width="15.5703125" style="15" customWidth="1"/>
    <col min="57" max="58" width="15.5703125" style="15" hidden="1" customWidth="1"/>
    <col min="59" max="59" width="22.28515625" style="20" customWidth="1"/>
    <col min="60" max="60" width="11.85546875" style="20" customWidth="1"/>
    <col min="61" max="61" width="19.42578125" style="15" customWidth="1"/>
    <col min="65" max="65" width="17.42578125" customWidth="1"/>
  </cols>
  <sheetData>
    <row r="1" spans="1:16383" s="14" customFormat="1" ht="45.75" customHeight="1" thickTop="1">
      <c r="A1" s="629" t="s">
        <v>128</v>
      </c>
      <c r="B1" s="630"/>
      <c r="C1" s="630"/>
      <c r="D1" s="630"/>
      <c r="E1" s="630"/>
      <c r="F1" s="630"/>
      <c r="G1" s="630"/>
      <c r="H1" s="401" t="s">
        <v>792</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spans="1:16383" s="14" customFormat="1" ht="13.5" customHeight="1">
      <c r="A2" s="631"/>
      <c r="B2" s="632"/>
      <c r="C2" s="632"/>
      <c r="D2" s="632"/>
      <c r="E2" s="632"/>
      <c r="F2" s="632"/>
      <c r="G2" s="632"/>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401"/>
      <c r="BB2" s="401"/>
      <c r="BC2" s="401"/>
      <c r="BD2" s="401"/>
      <c r="BE2" s="401"/>
      <c r="BF2" s="401"/>
      <c r="BG2" s="401"/>
      <c r="BH2" s="401"/>
      <c r="BI2" s="401"/>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1:16383" s="22" customFormat="1" ht="33" customHeight="1" thickBot="1">
      <c r="A3" s="633"/>
      <c r="B3" s="634"/>
      <c r="C3" s="634"/>
      <c r="D3" s="634"/>
      <c r="E3" s="634"/>
      <c r="F3" s="634"/>
      <c r="G3" s="634"/>
      <c r="H3" s="402" t="s">
        <v>130</v>
      </c>
      <c r="I3" s="402"/>
      <c r="J3" s="402"/>
      <c r="K3" s="402"/>
      <c r="L3" s="117">
        <v>2020</v>
      </c>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40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1:16383" ht="29.25" customHeight="1">
      <c r="A4" s="410" t="s">
        <v>131</v>
      </c>
      <c r="B4" s="411"/>
      <c r="C4" s="411"/>
      <c r="D4" s="411"/>
      <c r="E4" s="411"/>
      <c r="F4" s="411"/>
      <c r="G4" s="411"/>
      <c r="H4" s="411"/>
      <c r="I4" s="411"/>
      <c r="J4" s="411"/>
      <c r="K4" s="411"/>
      <c r="L4" s="411"/>
      <c r="M4" s="414"/>
      <c r="N4" s="414"/>
      <c r="O4" s="414"/>
      <c r="P4" s="414"/>
      <c r="Q4" s="414"/>
      <c r="R4" s="394" t="s">
        <v>134</v>
      </c>
      <c r="S4" s="156"/>
      <c r="T4" s="156"/>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c r="BC4" s="414"/>
      <c r="BD4" s="414"/>
      <c r="BE4" s="414"/>
      <c r="BF4" s="414"/>
      <c r="BG4" s="414"/>
      <c r="BH4" s="414"/>
      <c r="BI4" s="414"/>
      <c r="BJ4" s="612" t="s">
        <v>631</v>
      </c>
      <c r="BK4" s="613"/>
      <c r="BL4" s="613"/>
      <c r="BM4" s="614"/>
    </row>
    <row r="5" spans="1:16383" ht="40.5" customHeight="1" thickBot="1">
      <c r="A5" s="412"/>
      <c r="B5" s="413"/>
      <c r="C5" s="413"/>
      <c r="D5" s="413"/>
      <c r="E5" s="413"/>
      <c r="F5" s="413"/>
      <c r="G5" s="413"/>
      <c r="H5" s="413"/>
      <c r="I5" s="413"/>
      <c r="J5" s="413"/>
      <c r="K5" s="413"/>
      <c r="L5" s="413"/>
      <c r="M5" s="394" t="s">
        <v>135</v>
      </c>
      <c r="N5" s="394"/>
      <c r="O5" s="394"/>
      <c r="P5" s="394"/>
      <c r="Q5" s="394"/>
      <c r="R5" s="394"/>
      <c r="S5" s="157"/>
      <c r="T5" s="157"/>
      <c r="U5" s="395" t="s">
        <v>136</v>
      </c>
      <c r="V5" s="396"/>
      <c r="W5" s="397"/>
      <c r="X5" s="395" t="s">
        <v>137</v>
      </c>
      <c r="Y5" s="396"/>
      <c r="Z5" s="396"/>
      <c r="AA5" s="396"/>
      <c r="AB5" s="396"/>
      <c r="AC5" s="396"/>
      <c r="AD5" s="396"/>
      <c r="AE5" s="396"/>
      <c r="AF5" s="396"/>
      <c r="AG5" s="396"/>
      <c r="AH5" s="396"/>
      <c r="AI5" s="396"/>
      <c r="AJ5" s="396"/>
      <c r="AK5" s="396"/>
      <c r="AL5" s="396"/>
      <c r="AM5" s="397"/>
      <c r="AN5" s="398" t="s">
        <v>113</v>
      </c>
      <c r="AO5" s="399"/>
      <c r="AP5" s="399"/>
      <c r="AQ5" s="399"/>
      <c r="AR5" s="399"/>
      <c r="AS5" s="399"/>
      <c r="AT5" s="399"/>
      <c r="AU5" s="399"/>
      <c r="AV5" s="399"/>
      <c r="AW5" s="399"/>
      <c r="AX5" s="158"/>
      <c r="AY5" s="398" t="s">
        <v>138</v>
      </c>
      <c r="AZ5" s="400"/>
      <c r="BA5" s="398" t="s">
        <v>139</v>
      </c>
      <c r="BB5" s="400"/>
      <c r="BC5" s="159"/>
      <c r="BD5" s="159"/>
      <c r="BE5" s="159"/>
      <c r="BF5" s="159"/>
      <c r="BG5" s="394" t="s">
        <v>140</v>
      </c>
      <c r="BH5" s="394"/>
      <c r="BI5" s="394"/>
      <c r="BJ5" s="615"/>
      <c r="BK5" s="616"/>
      <c r="BL5" s="616"/>
      <c r="BM5" s="617"/>
    </row>
    <row r="6" spans="1:16383" ht="108" customHeight="1" thickBot="1">
      <c r="A6" s="54" t="s">
        <v>144</v>
      </c>
      <c r="B6" s="49" t="s">
        <v>145</v>
      </c>
      <c r="C6" s="49" t="s">
        <v>146</v>
      </c>
      <c r="D6" s="49" t="s">
        <v>793</v>
      </c>
      <c r="E6" s="49" t="s">
        <v>794</v>
      </c>
      <c r="F6" s="49" t="s">
        <v>795</v>
      </c>
      <c r="G6" s="49" t="s">
        <v>796</v>
      </c>
      <c r="H6" s="49" t="s">
        <v>797</v>
      </c>
      <c r="I6" s="49" t="s">
        <v>798</v>
      </c>
      <c r="J6" s="49" t="s">
        <v>799</v>
      </c>
      <c r="K6" s="49" t="s">
        <v>800</v>
      </c>
      <c r="L6" s="49" t="s">
        <v>152</v>
      </c>
      <c r="M6" s="195" t="s">
        <v>153</v>
      </c>
      <c r="N6" s="195"/>
      <c r="O6" s="195" t="s">
        <v>154</v>
      </c>
      <c r="P6" s="195"/>
      <c r="Q6" s="195" t="s">
        <v>155</v>
      </c>
      <c r="R6" s="192" t="s">
        <v>176</v>
      </c>
      <c r="S6" s="192" t="s">
        <v>801</v>
      </c>
      <c r="T6" s="192" t="s">
        <v>136</v>
      </c>
      <c r="U6" s="192" t="s">
        <v>156</v>
      </c>
      <c r="V6" s="192" t="s">
        <v>802</v>
      </c>
      <c r="W6" s="192" t="s">
        <v>158</v>
      </c>
      <c r="X6" s="192" t="s">
        <v>159</v>
      </c>
      <c r="Y6" s="192"/>
      <c r="Z6" s="192" t="s">
        <v>160</v>
      </c>
      <c r="AA6" s="192"/>
      <c r="AB6" s="192" t="s">
        <v>161</v>
      </c>
      <c r="AC6" s="192"/>
      <c r="AD6" s="192" t="s">
        <v>162</v>
      </c>
      <c r="AE6" s="192"/>
      <c r="AF6" s="192" t="s">
        <v>163</v>
      </c>
      <c r="AG6" s="192"/>
      <c r="AH6" s="192" t="s">
        <v>164</v>
      </c>
      <c r="AI6" s="192"/>
      <c r="AJ6" s="192" t="s">
        <v>165</v>
      </c>
      <c r="AK6" s="192"/>
      <c r="AL6" s="192" t="s">
        <v>166</v>
      </c>
      <c r="AM6" s="192" t="s">
        <v>167</v>
      </c>
      <c r="AN6" s="192" t="s">
        <v>803</v>
      </c>
      <c r="AO6" s="192"/>
      <c r="AP6" s="192" t="s">
        <v>804</v>
      </c>
      <c r="AQ6" s="192"/>
      <c r="AR6" s="192" t="s">
        <v>805</v>
      </c>
      <c r="AS6" s="192"/>
      <c r="AT6" s="192" t="s">
        <v>806</v>
      </c>
      <c r="AU6" s="192"/>
      <c r="AV6" s="192"/>
      <c r="AW6" s="192" t="s">
        <v>807</v>
      </c>
      <c r="AX6" s="192" t="s">
        <v>169</v>
      </c>
      <c r="AY6" s="192" t="s">
        <v>170</v>
      </c>
      <c r="AZ6" s="192" t="s">
        <v>171</v>
      </c>
      <c r="BA6" s="192" t="s">
        <v>172</v>
      </c>
      <c r="BB6" s="192" t="s">
        <v>173</v>
      </c>
      <c r="BC6" s="192" t="s">
        <v>174</v>
      </c>
      <c r="BD6" s="192" t="s">
        <v>175</v>
      </c>
      <c r="BE6" s="192"/>
      <c r="BF6" s="192"/>
      <c r="BG6" s="192" t="s">
        <v>153</v>
      </c>
      <c r="BH6" s="192" t="s">
        <v>154</v>
      </c>
      <c r="BI6" s="192" t="s">
        <v>155</v>
      </c>
      <c r="BJ6" s="49" t="s">
        <v>808</v>
      </c>
      <c r="BK6" s="49" t="s">
        <v>809</v>
      </c>
      <c r="BL6" s="49" t="s">
        <v>810</v>
      </c>
      <c r="BM6" s="49" t="s">
        <v>811</v>
      </c>
    </row>
    <row r="7" spans="1:16383" ht="65.099999999999994" customHeight="1" thickBot="1">
      <c r="A7" s="404">
        <v>1</v>
      </c>
      <c r="B7" s="522"/>
      <c r="C7" s="447" t="str">
        <f>IFERROR(VLOOKUP(B7,Listados!B$3:C$20,2,FALSE),"")</f>
        <v/>
      </c>
      <c r="D7" s="107"/>
      <c r="E7" s="107"/>
      <c r="F7" s="474"/>
      <c r="G7" s="529"/>
      <c r="H7" s="100"/>
      <c r="I7" s="100"/>
      <c r="J7" s="100"/>
      <c r="K7" s="103"/>
      <c r="L7" s="17"/>
      <c r="M7" s="522"/>
      <c r="N7" s="621" t="e">
        <f>+VLOOKUP(M7,Listados!$K$8:$L$12,2,0)</f>
        <v>#N/A</v>
      </c>
      <c r="O7" s="622"/>
      <c r="P7" s="621" t="e">
        <f>+VLOOKUP(O7,Listados!$K$13:$L$17,2,0)</f>
        <v>#N/A</v>
      </c>
      <c r="Q7" s="635" t="str">
        <f>IF(AND(M7&lt;&gt;"",O7&lt;&gt;""),VLOOKUP(M7&amp;O7,Listados!$M$3:$N$27,2,FALSE),"")</f>
        <v/>
      </c>
      <c r="R7" s="641" t="e">
        <f>+VLOOKUP(Q7,Listados!$P$3:$Q$6,2,FALSE)</f>
        <v>#N/A</v>
      </c>
      <c r="S7" s="150"/>
      <c r="T7" s="94"/>
      <c r="U7" s="59" t="s">
        <v>627</v>
      </c>
      <c r="V7" s="60"/>
      <c r="W7" s="61"/>
      <c r="X7" s="62"/>
      <c r="Y7" s="94"/>
      <c r="Z7" s="62"/>
      <c r="AA7" s="94"/>
      <c r="AB7" s="62"/>
      <c r="AC7" s="94"/>
      <c r="AD7" s="62"/>
      <c r="AE7" s="94"/>
      <c r="AF7" s="62"/>
      <c r="AG7" s="94"/>
      <c r="AH7" s="62"/>
      <c r="AI7" s="94"/>
      <c r="AJ7" s="62"/>
      <c r="AK7" s="63" t="str">
        <f>+IF(AJ7="Completa",10,IF(AJ7="Incompleta",5,""))</f>
        <v/>
      </c>
      <c r="AL7" s="111" t="str">
        <f>IF((SUM(Y7,AA7,AC7,AE7,AG7,AI7,AK7)=0),"",(SUM(Y7,AA7,AC7,AE7,AG7,AI7,AK7)))</f>
        <v/>
      </c>
      <c r="AM7" s="77" t="str">
        <f>IF(AL7&lt;=85,"Débil",IF(AL7&lt;=95,"Moderado",IF(AL7=100,"Fuerte","")))</f>
        <v/>
      </c>
      <c r="AN7" s="196"/>
      <c r="AO7" s="196"/>
      <c r="AP7" s="196"/>
      <c r="AQ7" s="196"/>
      <c r="AR7" s="196"/>
      <c r="AS7" s="196"/>
      <c r="AT7" s="196"/>
      <c r="AU7" s="197" t="str">
        <f>IFERROR(VLOOKUP(AT7,'Seguridad Información'!$I$61:$J$65,2,0),"")</f>
        <v/>
      </c>
      <c r="AV7" s="79"/>
      <c r="AW7" s="78" t="str">
        <f>IFERROR(AVERAGE(AO7,AQ7,AS7,AU7),"")</f>
        <v/>
      </c>
      <c r="AX7" s="77" t="str">
        <f>IF(AW7&lt;=80,"Débil",IF(AW7&lt;=90,"Moderado",IF(AW7=100,"Fuerte","")))</f>
        <v/>
      </c>
      <c r="AY7" s="21" t="str">
        <f>IFERROR(VLOOKUP((CONCATENATE(AM7,AX7)),Listados!$U$3:$V$11,2,FALSE),"")</f>
        <v/>
      </c>
      <c r="AZ7" s="111">
        <f>IF(ISBLANK(AY7),"",IF(AY7="Débil", 0, IF(AY7="Moderado",50,100)))</f>
        <v>100</v>
      </c>
      <c r="BA7" s="636">
        <f>AVERAGE(AZ7:AZ12)</f>
        <v>100</v>
      </c>
      <c r="BB7" s="638" t="str">
        <f>IF(BA7&lt;=50, "Débil", IF(BA7&lt;=99,"Moderado","Fuerte"))</f>
        <v>Fuerte</v>
      </c>
      <c r="BC7" s="64">
        <f>+IF(AND(W7="Preventivo",BB7="Fuerte"),2,IF(AND(W7="Preventivo",BB7="Moderado"),1,0))</f>
        <v>0</v>
      </c>
      <c r="BD7" s="64">
        <f>+IF(AND(W7="Detectivo/Correctivo",$BB7="Fuerte"),2,IF(AND(W7="Detectivo/Correctivo",$BB7="Moderado"),1,IF(AND(W7="Preventivo",$BB7="Fuerte"),1,0)))</f>
        <v>0</v>
      </c>
      <c r="BE7" s="64" t="e">
        <f>+N7-BC7</f>
        <v>#N/A</v>
      </c>
      <c r="BF7" s="64" t="e">
        <f>+P7-BD7</f>
        <v>#N/A</v>
      </c>
      <c r="BG7" s="626" t="e">
        <f>+VLOOKUP(MIN(BE7,BE8,BE9,BE10,BE11,BE12),Listados!$J$18:$K$24,2,TRUE)</f>
        <v>#N/A</v>
      </c>
      <c r="BH7" s="626" t="e">
        <f>+VLOOKUP(MIN(BF7,BF8,BF9,BF10,BF11,BF12),Listados!$J$26:$K$32,2,TRUE)</f>
        <v>#N/A</v>
      </c>
      <c r="BI7" s="626" t="e">
        <f>IF(AND(BG7&lt;&gt;"",BH7&lt;&gt;""),VLOOKUP(BG7&amp;BH7,Listados!$M$3:$N$27,2,FALSE),"")</f>
        <v>#N/A</v>
      </c>
      <c r="BJ7" s="644" t="e">
        <f>+IF($R7="Asumir el riesgo","NA","")</f>
        <v>#N/A</v>
      </c>
      <c r="BK7" s="644" t="e">
        <f>+IF($R7="Asumir el riesgo","NA","")</f>
        <v>#N/A</v>
      </c>
      <c r="BL7" s="644" t="e">
        <f>+IF($R7="Asumir el riesgo","NA","")</f>
        <v>#N/A</v>
      </c>
      <c r="BM7" s="644" t="e">
        <f>+IF($R7="Asumir el riesgo","NA","")</f>
        <v>#N/A</v>
      </c>
    </row>
    <row r="8" spans="1:16383" ht="65.099999999999994" customHeight="1" thickBot="1">
      <c r="A8" s="405"/>
      <c r="B8" s="446"/>
      <c r="C8" s="440"/>
      <c r="D8" s="152"/>
      <c r="E8" s="152"/>
      <c r="F8" s="475"/>
      <c r="G8" s="530"/>
      <c r="H8" s="100"/>
      <c r="I8" s="128"/>
      <c r="J8" s="100"/>
      <c r="K8" s="147"/>
      <c r="L8" s="129"/>
      <c r="M8" s="446"/>
      <c r="N8" s="425"/>
      <c r="O8" s="428"/>
      <c r="P8" s="425"/>
      <c r="Q8" s="429"/>
      <c r="R8" s="642"/>
      <c r="S8" s="150"/>
      <c r="T8" s="198"/>
      <c r="U8" s="72" t="s">
        <v>627</v>
      </c>
      <c r="V8" s="146"/>
      <c r="W8" s="145"/>
      <c r="X8" s="150"/>
      <c r="Y8" s="95"/>
      <c r="Z8" s="150"/>
      <c r="AA8" s="95"/>
      <c r="AB8" s="150"/>
      <c r="AC8" s="95"/>
      <c r="AD8" s="150"/>
      <c r="AE8" s="95"/>
      <c r="AF8" s="150"/>
      <c r="AG8" s="95"/>
      <c r="AH8" s="150"/>
      <c r="AI8" s="95"/>
      <c r="AJ8" s="150"/>
      <c r="AK8" s="27" t="str">
        <f t="shared" ref="AK8:AK71" si="0">+IF(AJ8="Completa",10,IF(AJ8="Incompleta",5,""))</f>
        <v/>
      </c>
      <c r="AL8" s="48" t="str">
        <f>IF((SUM(Y8,AA8,AC8,AE8,AG8,AI8,AK8)=0),"",(SUM(Y8,AA8,AC8,AE8,AG8,AI8,AK8)))</f>
        <v/>
      </c>
      <c r="AM8" s="48" t="str">
        <f>IF(AL8&lt;=85,"Débil",IF(AL8&lt;=95,"Moderado",IF(AL8=100,"Fuerte","")))</f>
        <v/>
      </c>
      <c r="AN8" s="196"/>
      <c r="AO8" s="196"/>
      <c r="AP8" s="196"/>
      <c r="AQ8" s="196"/>
      <c r="AR8" s="196"/>
      <c r="AS8" s="196"/>
      <c r="AT8" s="196"/>
      <c r="AU8" s="197" t="str">
        <f>IFERROR(VLOOKUP(AT8,'Seguridad Información'!$I$61:$J$65,2,0),"")</f>
        <v/>
      </c>
      <c r="AV8" s="79"/>
      <c r="AW8" s="78" t="str">
        <f t="shared" ref="AW8:AW70" si="1">IFERROR(AVERAGE(AO8,AQ8,AS8,AU8),"")</f>
        <v/>
      </c>
      <c r="AX8" s="77" t="str">
        <f t="shared" ref="AX8:AX71" si="2">IF(AW8&lt;=80,"Débil",IF(AW8&lt;=90,"Moderado",IF(AW8=100,"Fuerte","")))</f>
        <v/>
      </c>
      <c r="AY8" s="21" t="str">
        <f>IFERROR(VLOOKUP((CONCATENATE(AM8,AX8)),Listados!$U$3:$V$11,2,FALSE),"")</f>
        <v/>
      </c>
      <c r="AZ8" s="48">
        <f>IF(ISBLANK(AY8),"",IF(AY8="Débil", 0, IF(AY8="Moderado",50,100)))</f>
        <v>100</v>
      </c>
      <c r="BA8" s="431"/>
      <c r="BB8" s="433"/>
      <c r="BC8" s="169">
        <f>+IF(AND(W8="Preventivo",BB7="Fuerte"),2,IF(AND(W8="Preventivo",BB7="Moderado"),1,0))</f>
        <v>0</v>
      </c>
      <c r="BD8" s="64">
        <f>+IF(AND(W8="Detectivo/Correctivo",$BB7="Fuerte"),2,IF(AND(W8="Detectivo/Correctivo",$BB8="Moderado"),1,IF(AND(W8="Preventivo",$BB7="Fuerte"),1,0)))</f>
        <v>0</v>
      </c>
      <c r="BE8" s="169" t="e">
        <f>+N7-BC8</f>
        <v>#N/A</v>
      </c>
      <c r="BF8" s="169" t="e">
        <f>+P7-BD8</f>
        <v>#N/A</v>
      </c>
      <c r="BG8" s="422"/>
      <c r="BH8" s="422"/>
      <c r="BI8" s="422"/>
      <c r="BJ8" s="645"/>
      <c r="BK8" s="645"/>
      <c r="BL8" s="645"/>
      <c r="BM8" s="645"/>
    </row>
    <row r="9" spans="1:16383" ht="65.099999999999994" customHeight="1" thickBot="1">
      <c r="A9" s="405"/>
      <c r="B9" s="446"/>
      <c r="C9" s="440"/>
      <c r="D9" s="152"/>
      <c r="E9" s="152"/>
      <c r="F9" s="475"/>
      <c r="G9" s="530"/>
      <c r="H9" s="100"/>
      <c r="I9" s="128"/>
      <c r="J9" s="100"/>
      <c r="K9" s="147"/>
      <c r="L9" s="129"/>
      <c r="M9" s="446"/>
      <c r="N9" s="425"/>
      <c r="O9" s="428"/>
      <c r="P9" s="425"/>
      <c r="Q9" s="429"/>
      <c r="R9" s="642"/>
      <c r="S9" s="150"/>
      <c r="T9" s="96"/>
      <c r="U9" s="72" t="s">
        <v>627</v>
      </c>
      <c r="V9" s="146"/>
      <c r="W9" s="145"/>
      <c r="X9" s="150"/>
      <c r="Y9" s="95" t="str">
        <f t="shared" ref="Y9:Y71" si="3">+IF(X9="si",15,"")</f>
        <v/>
      </c>
      <c r="Z9" s="150"/>
      <c r="AA9" s="95" t="str">
        <f t="shared" ref="AA9:AA71" si="4">+IF(Z9="si",15,"")</f>
        <v/>
      </c>
      <c r="AB9" s="150"/>
      <c r="AC9" s="95" t="str">
        <f t="shared" ref="AC9:AC71" si="5">+IF(AB9="si",15,"")</f>
        <v/>
      </c>
      <c r="AD9" s="150"/>
      <c r="AE9" s="95" t="str">
        <f t="shared" ref="AE9:AE71" si="6">+IF(AD9="si",15,"")</f>
        <v/>
      </c>
      <c r="AF9" s="150"/>
      <c r="AG9" s="95" t="str">
        <f t="shared" ref="AG9:AG71" si="7">+IF(AF9="si",15,"")</f>
        <v/>
      </c>
      <c r="AH9" s="150"/>
      <c r="AI9" s="95" t="str">
        <f t="shared" ref="AI9:AI71" si="8">+IF(AH9="si",15,"")</f>
        <v/>
      </c>
      <c r="AJ9" s="150"/>
      <c r="AK9" s="27" t="str">
        <f t="shared" si="0"/>
        <v/>
      </c>
      <c r="AL9" s="48" t="str">
        <f>IF((SUM(Y9,AA9,AC9,AE9,AG9,AI9,AK9)=0),"",(SUM(Y9,AA9,AC9,AE9,AG9,AI9,AK9)))</f>
        <v/>
      </c>
      <c r="AM9" s="48" t="str">
        <f t="shared" ref="AM9:AM71" si="9">IF(AL9&lt;=85,"Débil",IF(AL9&lt;=95,"Moderado",IF(AL9=100,"Fuerte","")))</f>
        <v/>
      </c>
      <c r="AN9" s="196"/>
      <c r="AO9" s="196"/>
      <c r="AP9" s="196"/>
      <c r="AQ9" s="196"/>
      <c r="AR9" s="196"/>
      <c r="AS9" s="196"/>
      <c r="AT9" s="196"/>
      <c r="AU9" s="197" t="str">
        <f>IFERROR(VLOOKUP(AT9,'Seguridad Información'!$I$61:$J$65,2,0),"")</f>
        <v/>
      </c>
      <c r="AV9" s="79"/>
      <c r="AW9" s="78" t="str">
        <f t="shared" si="1"/>
        <v/>
      </c>
      <c r="AX9" s="77" t="str">
        <f t="shared" si="2"/>
        <v/>
      </c>
      <c r="AY9" s="21" t="str">
        <f>IFERROR(VLOOKUP((CONCATENATE(AM9,AX9)),Listados!$U$3:$V$11,2,FALSE),"")</f>
        <v/>
      </c>
      <c r="AZ9" s="48">
        <f t="shared" ref="AZ9:AZ72" si="10">IF(ISBLANK(AY9),"",IF(AY9="Débil", 0, IF(AY9="Moderado",50,100)))</f>
        <v>100</v>
      </c>
      <c r="BA9" s="431"/>
      <c r="BB9" s="433"/>
      <c r="BC9" s="169">
        <f>+IF(AND(W9="Preventivo",BB7="Fuerte"),2,IF(AND(W9="Preventivo",BB7="Moderado"),1,0))</f>
        <v>0</v>
      </c>
      <c r="BD9" s="64">
        <f>+IF(AND(W9="Detectivo/Correctivo",$BB7="Fuerte"),2,IF(AND(W9="Detectivo/Correctivo",$BB9="Moderado"),1,IF(AND(W9="Preventivo",$BB7="Fuerte"),1,0)))</f>
        <v>0</v>
      </c>
      <c r="BE9" s="169" t="e">
        <f>+N7-BC9</f>
        <v>#N/A</v>
      </c>
      <c r="BF9" s="169" t="e">
        <f>+P7-BD9</f>
        <v>#N/A</v>
      </c>
      <c r="BG9" s="422"/>
      <c r="BH9" s="422"/>
      <c r="BI9" s="422"/>
      <c r="BJ9" s="645"/>
      <c r="BK9" s="645"/>
      <c r="BL9" s="645"/>
      <c r="BM9" s="645"/>
    </row>
    <row r="10" spans="1:16383" ht="65.099999999999994" customHeight="1" thickBot="1">
      <c r="A10" s="405"/>
      <c r="B10" s="446"/>
      <c r="C10" s="440"/>
      <c r="D10" s="152"/>
      <c r="E10" s="152"/>
      <c r="F10" s="475"/>
      <c r="G10" s="530"/>
      <c r="H10" s="100"/>
      <c r="I10" s="128"/>
      <c r="J10" s="100"/>
      <c r="K10" s="147"/>
      <c r="L10" s="129"/>
      <c r="M10" s="446"/>
      <c r="N10" s="425"/>
      <c r="O10" s="428"/>
      <c r="P10" s="425"/>
      <c r="Q10" s="429"/>
      <c r="R10" s="642"/>
      <c r="S10" s="150"/>
      <c r="T10" s="97"/>
      <c r="U10" s="72" t="s">
        <v>627</v>
      </c>
      <c r="V10" s="146"/>
      <c r="W10" s="145"/>
      <c r="X10" s="150"/>
      <c r="Y10" s="95" t="str">
        <f t="shared" si="3"/>
        <v/>
      </c>
      <c r="Z10" s="150"/>
      <c r="AA10" s="95" t="str">
        <f t="shared" si="4"/>
        <v/>
      </c>
      <c r="AB10" s="150"/>
      <c r="AC10" s="95" t="str">
        <f t="shared" si="5"/>
        <v/>
      </c>
      <c r="AD10" s="150"/>
      <c r="AE10" s="95" t="str">
        <f t="shared" si="6"/>
        <v/>
      </c>
      <c r="AF10" s="150"/>
      <c r="AG10" s="95" t="str">
        <f t="shared" si="7"/>
        <v/>
      </c>
      <c r="AH10" s="150"/>
      <c r="AI10" s="95" t="str">
        <f t="shared" si="8"/>
        <v/>
      </c>
      <c r="AJ10" s="150"/>
      <c r="AK10" s="27" t="str">
        <f t="shared" si="0"/>
        <v/>
      </c>
      <c r="AL10" s="48" t="str">
        <f t="shared" ref="AL10:AL71" si="11">IF((SUM(Y10,AA10,AC10,AE10,AG10,AI10,AK10)=0),"",(SUM(Y10,AA10,AC10,AE10,AG10,AI10,AK10)))</f>
        <v/>
      </c>
      <c r="AM10" s="48" t="str">
        <f t="shared" si="9"/>
        <v/>
      </c>
      <c r="AN10" s="196"/>
      <c r="AO10" s="196"/>
      <c r="AP10" s="196"/>
      <c r="AQ10" s="196"/>
      <c r="AR10" s="196"/>
      <c r="AS10" s="196"/>
      <c r="AT10" s="196"/>
      <c r="AU10" s="197" t="str">
        <f>IFERROR(VLOOKUP(AT10,'Seguridad Información'!$I$61:$J$65,2,0),"")</f>
        <v/>
      </c>
      <c r="AV10" s="79"/>
      <c r="AW10" s="78" t="str">
        <f t="shared" si="1"/>
        <v/>
      </c>
      <c r="AX10" s="77" t="str">
        <f t="shared" si="2"/>
        <v/>
      </c>
      <c r="AY10" s="21" t="str">
        <f>IFERROR(VLOOKUP((CONCATENATE(AM10,AX10)),Listados!$U$3:$V$11,2,FALSE),"")</f>
        <v/>
      </c>
      <c r="AZ10" s="48">
        <f t="shared" si="10"/>
        <v>100</v>
      </c>
      <c r="BA10" s="431"/>
      <c r="BB10" s="433"/>
      <c r="BC10" s="169">
        <f>+IF(AND(W10="Preventivo",BB7="Fuerte"),2,IF(AND(W10="Preventivo",BB7="Moderado"),1,0))</f>
        <v>0</v>
      </c>
      <c r="BD10" s="64">
        <f>+IF(AND(W10="Detectivo/Correctivo",$BB7="Fuerte"),2,IF(AND(W10="Detectivo/Correctivo",$BB10="Moderado"),1,IF(AND(W10="Preventivo",$BB7="Fuerte"),1,0)))</f>
        <v>0</v>
      </c>
      <c r="BE10" s="169" t="e">
        <f>+N7-BC10</f>
        <v>#N/A</v>
      </c>
      <c r="BF10" s="169" t="e">
        <f>+P7-BD10</f>
        <v>#N/A</v>
      </c>
      <c r="BG10" s="422"/>
      <c r="BH10" s="422"/>
      <c r="BI10" s="422"/>
      <c r="BJ10" s="645"/>
      <c r="BK10" s="645"/>
      <c r="BL10" s="645"/>
      <c r="BM10" s="645"/>
    </row>
    <row r="11" spans="1:16383" ht="65.099999999999994" customHeight="1" thickBot="1">
      <c r="A11" s="405"/>
      <c r="B11" s="446"/>
      <c r="C11" s="440"/>
      <c r="D11" s="109"/>
      <c r="E11" s="109"/>
      <c r="F11" s="475"/>
      <c r="G11" s="530"/>
      <c r="H11" s="100"/>
      <c r="I11" s="128"/>
      <c r="J11" s="100"/>
      <c r="K11" s="29"/>
      <c r="L11" s="129"/>
      <c r="M11" s="446"/>
      <c r="N11" s="425"/>
      <c r="O11" s="428"/>
      <c r="P11" s="425"/>
      <c r="Q11" s="429"/>
      <c r="R11" s="642"/>
      <c r="S11" s="150"/>
      <c r="T11" s="198"/>
      <c r="U11" s="72" t="s">
        <v>627</v>
      </c>
      <c r="V11" s="146"/>
      <c r="W11" s="145"/>
      <c r="X11" s="150"/>
      <c r="Y11" s="95" t="str">
        <f t="shared" si="3"/>
        <v/>
      </c>
      <c r="Z11" s="150"/>
      <c r="AA11" s="95" t="str">
        <f t="shared" si="4"/>
        <v/>
      </c>
      <c r="AB11" s="150"/>
      <c r="AC11" s="95" t="str">
        <f t="shared" si="5"/>
        <v/>
      </c>
      <c r="AD11" s="150"/>
      <c r="AE11" s="95" t="str">
        <f t="shared" si="6"/>
        <v/>
      </c>
      <c r="AF11" s="150"/>
      <c r="AG11" s="95" t="str">
        <f t="shared" si="7"/>
        <v/>
      </c>
      <c r="AH11" s="150"/>
      <c r="AI11" s="95" t="str">
        <f t="shared" si="8"/>
        <v/>
      </c>
      <c r="AJ11" s="150"/>
      <c r="AK11" s="27" t="str">
        <f t="shared" si="0"/>
        <v/>
      </c>
      <c r="AL11" s="48" t="str">
        <f t="shared" si="11"/>
        <v/>
      </c>
      <c r="AM11" s="48" t="str">
        <f t="shared" si="9"/>
        <v/>
      </c>
      <c r="AN11" s="196"/>
      <c r="AO11" s="196"/>
      <c r="AP11" s="196"/>
      <c r="AQ11" s="196"/>
      <c r="AR11" s="196"/>
      <c r="AS11" s="196"/>
      <c r="AT11" s="196"/>
      <c r="AU11" s="197" t="str">
        <f>IFERROR(VLOOKUP(AT11,'Seguridad Información'!$I$61:$J$65,2,0),"")</f>
        <v/>
      </c>
      <c r="AV11" s="79"/>
      <c r="AW11" s="78" t="str">
        <f t="shared" si="1"/>
        <v/>
      </c>
      <c r="AX11" s="77" t="str">
        <f t="shared" si="2"/>
        <v/>
      </c>
      <c r="AY11" s="21" t="str">
        <f>IFERROR(VLOOKUP((CONCATENATE(AM11,AX11)),Listados!$U$3:$V$11,2,FALSE),"")</f>
        <v/>
      </c>
      <c r="AZ11" s="48">
        <f t="shared" si="10"/>
        <v>100</v>
      </c>
      <c r="BA11" s="431"/>
      <c r="BB11" s="433"/>
      <c r="BC11" s="169">
        <f>+IF(AND(W11="Preventivo",BB7="Fuerte"),2,IF(AND(W11="Preventivo",BB7="Moderado"),1,0))</f>
        <v>0</v>
      </c>
      <c r="BD11" s="64">
        <f>+IF(AND(W11="Detectivo/Correctivo",$BB7="Fuerte"),2,IF(AND(W11="Detectivo/Correctivo",$BB11="Moderado"),1,IF(AND(W11="Preventivo",$BB7="Fuerte"),1,0)))</f>
        <v>0</v>
      </c>
      <c r="BE11" s="169" t="e">
        <f>+N7-BC11</f>
        <v>#N/A</v>
      </c>
      <c r="BF11" s="169" t="e">
        <f>+P7-BD11</f>
        <v>#N/A</v>
      </c>
      <c r="BG11" s="422"/>
      <c r="BH11" s="422"/>
      <c r="BI11" s="422"/>
      <c r="BJ11" s="645"/>
      <c r="BK11" s="645"/>
      <c r="BL11" s="645"/>
      <c r="BM11" s="645"/>
    </row>
    <row r="12" spans="1:16383" ht="65.099999999999994" customHeight="1" thickBot="1">
      <c r="A12" s="406"/>
      <c r="B12" s="525"/>
      <c r="C12" s="441"/>
      <c r="D12" s="106"/>
      <c r="E12" s="106"/>
      <c r="F12" s="476"/>
      <c r="G12" s="531"/>
      <c r="H12" s="65"/>
      <c r="I12" s="53"/>
      <c r="J12" s="65"/>
      <c r="K12" s="31"/>
      <c r="L12" s="66"/>
      <c r="M12" s="525"/>
      <c r="N12" s="620"/>
      <c r="O12" s="623"/>
      <c r="P12" s="620"/>
      <c r="Q12" s="624"/>
      <c r="R12" s="643"/>
      <c r="S12" s="69"/>
      <c r="T12" s="98"/>
      <c r="U12" s="73" t="s">
        <v>627</v>
      </c>
      <c r="V12" s="67"/>
      <c r="W12" s="68"/>
      <c r="X12" s="69"/>
      <c r="Y12" s="99" t="str">
        <f t="shared" si="3"/>
        <v/>
      </c>
      <c r="Z12" s="69"/>
      <c r="AA12" s="99" t="str">
        <f t="shared" si="4"/>
        <v/>
      </c>
      <c r="AB12" s="69"/>
      <c r="AC12" s="99" t="str">
        <f t="shared" si="5"/>
        <v/>
      </c>
      <c r="AD12" s="69"/>
      <c r="AE12" s="99" t="str">
        <f t="shared" si="6"/>
        <v/>
      </c>
      <c r="AF12" s="69"/>
      <c r="AG12" s="99" t="str">
        <f t="shared" si="7"/>
        <v/>
      </c>
      <c r="AH12" s="69"/>
      <c r="AI12" s="99" t="str">
        <f t="shared" si="8"/>
        <v/>
      </c>
      <c r="AJ12" s="69"/>
      <c r="AK12" s="70" t="str">
        <f t="shared" si="0"/>
        <v/>
      </c>
      <c r="AL12" s="110" t="str">
        <f t="shared" si="11"/>
        <v/>
      </c>
      <c r="AM12" s="110" t="str">
        <f t="shared" si="9"/>
        <v/>
      </c>
      <c r="AN12" s="196"/>
      <c r="AO12" s="196"/>
      <c r="AP12" s="196"/>
      <c r="AQ12" s="196"/>
      <c r="AR12" s="196"/>
      <c r="AS12" s="196"/>
      <c r="AT12" s="196"/>
      <c r="AU12" s="197" t="str">
        <f>IFERROR(VLOOKUP(AT12,'Seguridad Información'!$I$61:$J$65,2,0),"")</f>
        <v/>
      </c>
      <c r="AV12" s="79"/>
      <c r="AW12" s="78" t="str">
        <f t="shared" si="1"/>
        <v/>
      </c>
      <c r="AX12" s="77" t="str">
        <f t="shared" si="2"/>
        <v/>
      </c>
      <c r="AY12" s="21" t="str">
        <f>IFERROR(VLOOKUP((CONCATENATE(AM12,AX12)),Listados!$U$3:$V$11,2,FALSE),"")</f>
        <v/>
      </c>
      <c r="AZ12" s="110">
        <f t="shared" si="10"/>
        <v>100</v>
      </c>
      <c r="BA12" s="637"/>
      <c r="BB12" s="639"/>
      <c r="BC12" s="71">
        <f>+IF(AND(W12="Preventivo",BB7="Fuerte"),2,IF(AND(W12="Preventivo",BB7="Moderado"),1,0))</f>
        <v>0</v>
      </c>
      <c r="BD12" s="64">
        <f>+IF(AND(W12="Detectivo/Correctivo",$BB7="Fuerte"),2,IF(AND(W12="Detectivo/Correctivo",$BB12="Moderado"),1,IF(AND(W12="Preventivo",$BB7="Fuerte"),1,0)))</f>
        <v>0</v>
      </c>
      <c r="BE12" s="71" t="e">
        <f>+N7-BC12</f>
        <v>#N/A</v>
      </c>
      <c r="BF12" s="71" t="e">
        <f>+P7-BD12</f>
        <v>#N/A</v>
      </c>
      <c r="BG12" s="627"/>
      <c r="BH12" s="627"/>
      <c r="BI12" s="627"/>
      <c r="BJ12" s="646"/>
      <c r="BK12" s="646"/>
      <c r="BL12" s="646"/>
      <c r="BM12" s="646"/>
    </row>
    <row r="13" spans="1:16383" ht="65.099999999999994" customHeight="1" thickBot="1">
      <c r="A13" s="405">
        <v>2</v>
      </c>
      <c r="B13" s="625"/>
      <c r="C13" s="440" t="str">
        <f>IFERROR(VLOOKUP(B13,Listados!B$3:C$20,2,FALSE),"")</f>
        <v/>
      </c>
      <c r="D13" s="105"/>
      <c r="E13" s="105"/>
      <c r="F13" s="475"/>
      <c r="G13" s="619"/>
      <c r="H13" s="52"/>
      <c r="I13" s="52"/>
      <c r="J13" s="52"/>
      <c r="K13" s="55"/>
      <c r="L13" s="56"/>
      <c r="M13" s="445"/>
      <c r="N13" s="425" t="e">
        <f>+VLOOKUP(M13,Listados!$K$8:$L$12,2,0)</f>
        <v>#N/A</v>
      </c>
      <c r="O13" s="427"/>
      <c r="P13" s="425" t="e">
        <f>+VLOOKUP(O13,Listados!$K$13:$L$17,2,0)</f>
        <v>#N/A</v>
      </c>
      <c r="Q13" s="423" t="str">
        <f>IF(AND(M13&lt;&gt;"",O13&lt;&gt;""),VLOOKUP(M13&amp;O13,Listados!$M$3:$N$27,2,FALSE),"")</f>
        <v/>
      </c>
      <c r="R13" s="422" t="e">
        <f>+VLOOKUP(Q13,Listados!$P$3:$Q$6,2,FALSE)</f>
        <v>#N/A</v>
      </c>
      <c r="S13" s="108"/>
      <c r="T13" s="94"/>
      <c r="U13" s="47" t="s">
        <v>627</v>
      </c>
      <c r="V13" s="60"/>
      <c r="W13" s="57"/>
      <c r="X13" s="57"/>
      <c r="Y13" s="95" t="str">
        <f t="shared" si="3"/>
        <v/>
      </c>
      <c r="Z13" s="57"/>
      <c r="AA13" s="95" t="str">
        <f t="shared" si="4"/>
        <v/>
      </c>
      <c r="AB13" s="108"/>
      <c r="AC13" s="95" t="str">
        <f t="shared" si="5"/>
        <v/>
      </c>
      <c r="AD13" s="108"/>
      <c r="AE13" s="95" t="str">
        <f t="shared" si="6"/>
        <v/>
      </c>
      <c r="AF13" s="108"/>
      <c r="AG13" s="95" t="str">
        <f t="shared" si="7"/>
        <v/>
      </c>
      <c r="AH13" s="108"/>
      <c r="AI13" s="95" t="str">
        <f t="shared" si="8"/>
        <v/>
      </c>
      <c r="AJ13" s="108"/>
      <c r="AK13" s="27" t="str">
        <f t="shared" si="0"/>
        <v/>
      </c>
      <c r="AL13" s="48" t="str">
        <f t="shared" si="11"/>
        <v/>
      </c>
      <c r="AM13" s="48" t="str">
        <f t="shared" si="9"/>
        <v/>
      </c>
      <c r="AN13" s="196"/>
      <c r="AO13" s="196"/>
      <c r="AP13" s="196"/>
      <c r="AQ13" s="196"/>
      <c r="AR13" s="196"/>
      <c r="AS13" s="196"/>
      <c r="AT13" s="196"/>
      <c r="AU13" s="197" t="str">
        <f>IFERROR(VLOOKUP(AT13,'Seguridad Información'!$I$61:$J$65,2,0),"")</f>
        <v/>
      </c>
      <c r="AV13" s="79"/>
      <c r="AW13" s="78" t="str">
        <f t="shared" si="1"/>
        <v/>
      </c>
      <c r="AX13" s="77" t="str">
        <f t="shared" si="2"/>
        <v/>
      </c>
      <c r="AY13" s="21" t="str">
        <f>IFERROR(VLOOKUP((CONCATENATE(AM13,AX13)),Listados!$U$3:$V$11,2,FALSE),"")</f>
        <v/>
      </c>
      <c r="AZ13" s="48">
        <f t="shared" si="10"/>
        <v>100</v>
      </c>
      <c r="BA13" s="431">
        <f>AVERAGE(AZ13:AZ18)</f>
        <v>100</v>
      </c>
      <c r="BB13" s="432" t="str">
        <f>IF(BA13&lt;=50, "Débil", IF(BA13&lt;=99,"Moderado","Fuerte"))</f>
        <v>Fuerte</v>
      </c>
      <c r="BC13" s="58">
        <f>+IF(AND(W13="Preventivo",BB13="Fuerte"),2,IF(AND(W13="Preventivo",BB13="Moderado"),1,0))</f>
        <v>0</v>
      </c>
      <c r="BD13" s="64">
        <f>+IF(AND(W13="Detectivo/Correctivo",$BB13="Fuerte"),2,IF(AND(W13="Detectivo/Correctivo",$BB13="Moderado"),1,IF(AND(W13="Preventivo",$BB13="Fuerte"),1,0)))</f>
        <v>0</v>
      </c>
      <c r="BE13" s="58" t="e">
        <f>+N13-BC13</f>
        <v>#N/A</v>
      </c>
      <c r="BF13" s="58" t="e">
        <f>+P13-BD13</f>
        <v>#N/A</v>
      </c>
      <c r="BG13" s="422" t="e">
        <f>+VLOOKUP(MIN(BE13,BE14,BE15,BE16,BE17,BE18),Listados!$J$18:$K$24,2,TRUE)</f>
        <v>#N/A</v>
      </c>
      <c r="BH13" s="422" t="e">
        <f>+VLOOKUP(MIN(BF13,BF14,BF15,BF16,BF17,BF18),Listados!$J$26:$K$32,2,TRUE)</f>
        <v>#N/A</v>
      </c>
      <c r="BI13" s="422" t="e">
        <f>IF(AND(BG13&lt;&gt;"",BH13&lt;&gt;""),VLOOKUP(BG13&amp;BH13,Listados!$M$3:$N$27,2,FALSE),"")</f>
        <v>#N/A</v>
      </c>
      <c r="BJ13" s="644" t="e">
        <f>+IF($R13="Asumir el riesgo","NA","")</f>
        <v>#N/A</v>
      </c>
      <c r="BK13" s="644" t="e">
        <f>+IF($R13="Asumir el riesgo","NA","")</f>
        <v>#N/A</v>
      </c>
      <c r="BL13" s="644" t="e">
        <f>+IF($R13="Asumir el riesgo","NA","")</f>
        <v>#N/A</v>
      </c>
      <c r="BM13" s="644" t="e">
        <f>+IF($R13="Asumir el riesgo","NA","")</f>
        <v>#N/A</v>
      </c>
    </row>
    <row r="14" spans="1:16383" ht="65.099999999999994" customHeight="1" thickBot="1">
      <c r="A14" s="405"/>
      <c r="B14" s="625"/>
      <c r="C14" s="440"/>
      <c r="D14" s="152"/>
      <c r="E14" s="152"/>
      <c r="F14" s="475"/>
      <c r="G14" s="530"/>
      <c r="H14" s="100"/>
      <c r="I14" s="128"/>
      <c r="J14" s="100"/>
      <c r="K14" s="147"/>
      <c r="L14" s="129"/>
      <c r="M14" s="446"/>
      <c r="N14" s="425"/>
      <c r="O14" s="428"/>
      <c r="P14" s="425"/>
      <c r="Q14" s="429"/>
      <c r="R14" s="422"/>
      <c r="S14" s="150"/>
      <c r="T14" s="198"/>
      <c r="U14" s="47" t="s">
        <v>627</v>
      </c>
      <c r="V14" s="146"/>
      <c r="W14" s="172"/>
      <c r="X14" s="172"/>
      <c r="Y14" s="95" t="str">
        <f t="shared" si="3"/>
        <v/>
      </c>
      <c r="Z14" s="172"/>
      <c r="AA14" s="95" t="str">
        <f t="shared" si="4"/>
        <v/>
      </c>
      <c r="AB14" s="150"/>
      <c r="AC14" s="95" t="str">
        <f t="shared" si="5"/>
        <v/>
      </c>
      <c r="AD14" s="150"/>
      <c r="AE14" s="95" t="str">
        <f t="shared" si="6"/>
        <v/>
      </c>
      <c r="AF14" s="150"/>
      <c r="AG14" s="95" t="str">
        <f t="shared" si="7"/>
        <v/>
      </c>
      <c r="AH14" s="150"/>
      <c r="AI14" s="95" t="str">
        <f t="shared" si="8"/>
        <v/>
      </c>
      <c r="AJ14" s="150"/>
      <c r="AK14" s="27" t="str">
        <f t="shared" si="0"/>
        <v/>
      </c>
      <c r="AL14" s="48" t="str">
        <f t="shared" si="11"/>
        <v/>
      </c>
      <c r="AM14" s="48" t="str">
        <f t="shared" si="9"/>
        <v/>
      </c>
      <c r="AN14" s="196"/>
      <c r="AO14" s="196"/>
      <c r="AP14" s="196"/>
      <c r="AQ14" s="196"/>
      <c r="AR14" s="196"/>
      <c r="AS14" s="196"/>
      <c r="AT14" s="196"/>
      <c r="AU14" s="197" t="str">
        <f>IFERROR(VLOOKUP(AT14,'Seguridad Información'!$I$61:$J$65,2,0),"")</f>
        <v/>
      </c>
      <c r="AV14" s="79"/>
      <c r="AW14" s="78" t="str">
        <f t="shared" si="1"/>
        <v/>
      </c>
      <c r="AX14" s="77" t="str">
        <f t="shared" si="2"/>
        <v/>
      </c>
      <c r="AY14" s="21" t="str">
        <f>IFERROR(VLOOKUP((CONCATENATE(AM14,AX14)),Listados!$U$3:$V$11,2,FALSE),"")</f>
        <v/>
      </c>
      <c r="AZ14" s="48">
        <f t="shared" si="10"/>
        <v>100</v>
      </c>
      <c r="BA14" s="431"/>
      <c r="BB14" s="433"/>
      <c r="BC14" s="169">
        <f>+IF(AND(W14="Preventivo",BB13="Fuerte"),2,IF(AND(W14="Preventivo",BB13="Moderado"),1,0))</f>
        <v>0</v>
      </c>
      <c r="BD14" s="64">
        <f>+IF(AND(W14="Detectivo/Correctivo",$BB13="Fuerte"),2,IF(AND(W14="Detectivo/Correctivo",$BB14="Moderado"),1,IF(AND(W14="Preventivo",$BB13="Fuerte"),1,0)))</f>
        <v>0</v>
      </c>
      <c r="BE14" s="169" t="e">
        <f>+N13-BC14</f>
        <v>#N/A</v>
      </c>
      <c r="BF14" s="169" t="e">
        <f>+P13-BD14</f>
        <v>#N/A</v>
      </c>
      <c r="BG14" s="422"/>
      <c r="BH14" s="422"/>
      <c r="BI14" s="422"/>
      <c r="BJ14" s="645"/>
      <c r="BK14" s="645"/>
      <c r="BL14" s="645"/>
      <c r="BM14" s="645"/>
    </row>
    <row r="15" spans="1:16383" ht="65.099999999999994" customHeight="1" thickBot="1">
      <c r="A15" s="405"/>
      <c r="B15" s="625"/>
      <c r="C15" s="440"/>
      <c r="D15" s="152"/>
      <c r="E15" s="152"/>
      <c r="F15" s="475"/>
      <c r="G15" s="530"/>
      <c r="H15" s="100"/>
      <c r="I15" s="128"/>
      <c r="J15" s="100"/>
      <c r="K15" s="147"/>
      <c r="L15" s="129"/>
      <c r="M15" s="446"/>
      <c r="N15" s="425"/>
      <c r="O15" s="428"/>
      <c r="P15" s="425"/>
      <c r="Q15" s="429"/>
      <c r="R15" s="422"/>
      <c r="S15" s="150"/>
      <c r="T15" s="96"/>
      <c r="U15" s="47" t="s">
        <v>627</v>
      </c>
      <c r="V15" s="146"/>
      <c r="W15" s="172"/>
      <c r="X15" s="172"/>
      <c r="Y15" s="95" t="str">
        <f t="shared" si="3"/>
        <v/>
      </c>
      <c r="Z15" s="172"/>
      <c r="AA15" s="95" t="str">
        <f t="shared" si="4"/>
        <v/>
      </c>
      <c r="AB15" s="150"/>
      <c r="AC15" s="95" t="str">
        <f t="shared" si="5"/>
        <v/>
      </c>
      <c r="AD15" s="150"/>
      <c r="AE15" s="95" t="str">
        <f t="shared" si="6"/>
        <v/>
      </c>
      <c r="AF15" s="150"/>
      <c r="AG15" s="95" t="str">
        <f t="shared" si="7"/>
        <v/>
      </c>
      <c r="AH15" s="150"/>
      <c r="AI15" s="95" t="str">
        <f t="shared" si="8"/>
        <v/>
      </c>
      <c r="AJ15" s="150"/>
      <c r="AK15" s="27" t="str">
        <f t="shared" si="0"/>
        <v/>
      </c>
      <c r="AL15" s="48" t="str">
        <f t="shared" si="11"/>
        <v/>
      </c>
      <c r="AM15" s="48" t="str">
        <f t="shared" si="9"/>
        <v/>
      </c>
      <c r="AN15" s="196"/>
      <c r="AO15" s="196"/>
      <c r="AP15" s="196"/>
      <c r="AQ15" s="196"/>
      <c r="AR15" s="196"/>
      <c r="AS15" s="196"/>
      <c r="AT15" s="196"/>
      <c r="AU15" s="197" t="str">
        <f>IFERROR(VLOOKUP(AT15,'Seguridad Información'!$I$61:$J$65,2,0),"")</f>
        <v/>
      </c>
      <c r="AV15" s="79"/>
      <c r="AW15" s="78" t="str">
        <f t="shared" si="1"/>
        <v/>
      </c>
      <c r="AX15" s="77" t="str">
        <f t="shared" si="2"/>
        <v/>
      </c>
      <c r="AY15" s="21" t="str">
        <f>IFERROR(VLOOKUP((CONCATENATE(AM15,AX15)),Listados!$U$3:$V$11,2,FALSE),"")</f>
        <v/>
      </c>
      <c r="AZ15" s="48">
        <f t="shared" si="10"/>
        <v>100</v>
      </c>
      <c r="BA15" s="431"/>
      <c r="BB15" s="433"/>
      <c r="BC15" s="169">
        <f>+IF(AND(W15="Preventivo",BB13="Fuerte"),2,IF(AND(W15="Preventivo",BB13="Moderado"),1,0))</f>
        <v>0</v>
      </c>
      <c r="BD15" s="64">
        <f>+IF(AND(W15="Detectivo/Correctivo",$BB13="Fuerte"),2,IF(AND(W15="Detectivo/Correctivo",$BB15="Moderado"),1,IF(AND(W15="Preventivo",$BB13="Fuerte"),1,0)))</f>
        <v>0</v>
      </c>
      <c r="BE15" s="169" t="e">
        <f>+N13-BC15</f>
        <v>#N/A</v>
      </c>
      <c r="BF15" s="169" t="e">
        <f>+P13-BD15</f>
        <v>#N/A</v>
      </c>
      <c r="BG15" s="422"/>
      <c r="BH15" s="422"/>
      <c r="BI15" s="422"/>
      <c r="BJ15" s="645"/>
      <c r="BK15" s="645"/>
      <c r="BL15" s="645"/>
      <c r="BM15" s="645"/>
    </row>
    <row r="16" spans="1:16383" ht="65.099999999999994" customHeight="1" thickBot="1">
      <c r="A16" s="405"/>
      <c r="B16" s="625"/>
      <c r="C16" s="440"/>
      <c r="D16" s="152"/>
      <c r="E16" s="152"/>
      <c r="F16" s="475"/>
      <c r="G16" s="530"/>
      <c r="H16" s="100"/>
      <c r="I16" s="128"/>
      <c r="J16" s="100"/>
      <c r="K16" s="147"/>
      <c r="L16" s="129"/>
      <c r="M16" s="446"/>
      <c r="N16" s="425"/>
      <c r="O16" s="428"/>
      <c r="P16" s="425"/>
      <c r="Q16" s="429"/>
      <c r="R16" s="422"/>
      <c r="S16" s="150"/>
      <c r="T16" s="150"/>
      <c r="U16" s="47" t="s">
        <v>627</v>
      </c>
      <c r="V16" s="146"/>
      <c r="W16" s="172"/>
      <c r="X16" s="172"/>
      <c r="Y16" s="95" t="str">
        <f t="shared" si="3"/>
        <v/>
      </c>
      <c r="Z16" s="172"/>
      <c r="AA16" s="95" t="str">
        <f t="shared" si="4"/>
        <v/>
      </c>
      <c r="AB16" s="150"/>
      <c r="AC16" s="95" t="str">
        <f t="shared" si="5"/>
        <v/>
      </c>
      <c r="AD16" s="150"/>
      <c r="AE16" s="95" t="str">
        <f t="shared" si="6"/>
        <v/>
      </c>
      <c r="AF16" s="150"/>
      <c r="AG16" s="95" t="str">
        <f t="shared" si="7"/>
        <v/>
      </c>
      <c r="AH16" s="150"/>
      <c r="AI16" s="95" t="str">
        <f t="shared" si="8"/>
        <v/>
      </c>
      <c r="AJ16" s="150"/>
      <c r="AK16" s="27" t="str">
        <f t="shared" si="0"/>
        <v/>
      </c>
      <c r="AL16" s="48" t="str">
        <f t="shared" si="11"/>
        <v/>
      </c>
      <c r="AM16" s="48" t="str">
        <f t="shared" si="9"/>
        <v/>
      </c>
      <c r="AN16" s="196"/>
      <c r="AO16" s="196"/>
      <c r="AP16" s="196"/>
      <c r="AQ16" s="196"/>
      <c r="AR16" s="196"/>
      <c r="AS16" s="196"/>
      <c r="AT16" s="196"/>
      <c r="AU16" s="197" t="str">
        <f>IFERROR(VLOOKUP(AT16,'Seguridad Información'!$I$61:$J$65,2,0),"")</f>
        <v/>
      </c>
      <c r="AV16" s="79"/>
      <c r="AW16" s="78" t="str">
        <f t="shared" si="1"/>
        <v/>
      </c>
      <c r="AX16" s="77" t="str">
        <f t="shared" si="2"/>
        <v/>
      </c>
      <c r="AY16" s="21" t="str">
        <f>IFERROR(VLOOKUP((CONCATENATE(AM16,AX16)),Listados!$U$3:$V$11,2,FALSE),"")</f>
        <v/>
      </c>
      <c r="AZ16" s="48">
        <f t="shared" si="10"/>
        <v>100</v>
      </c>
      <c r="BA16" s="431"/>
      <c r="BB16" s="433"/>
      <c r="BC16" s="169">
        <f>+IF(AND(W16="Preventivo",BB13="Fuerte"),2,IF(AND(W16="Preventivo",BB13="Moderado"),1,0))</f>
        <v>0</v>
      </c>
      <c r="BD16" s="64">
        <f>+IF(AND(W16="Detectivo/Correctivo",$BB13="Fuerte"),2,IF(AND(W16="Detectivo/Correctivo",$BB16="Moderado"),1,IF(AND(W16="Preventivo",$BB13="Fuerte"),1,0)))</f>
        <v>0</v>
      </c>
      <c r="BE16" s="169" t="e">
        <f>+N13-BC16</f>
        <v>#N/A</v>
      </c>
      <c r="BF16" s="169" t="e">
        <f>+P13-BD16</f>
        <v>#N/A</v>
      </c>
      <c r="BG16" s="422"/>
      <c r="BH16" s="422"/>
      <c r="BI16" s="422"/>
      <c r="BJ16" s="645"/>
      <c r="BK16" s="645"/>
      <c r="BL16" s="645"/>
      <c r="BM16" s="645"/>
    </row>
    <row r="17" spans="1:65" ht="65.099999999999994" customHeight="1" thickBot="1">
      <c r="A17" s="405"/>
      <c r="B17" s="625"/>
      <c r="C17" s="440"/>
      <c r="D17" s="109"/>
      <c r="E17" s="109"/>
      <c r="F17" s="475"/>
      <c r="G17" s="530"/>
      <c r="H17" s="100"/>
      <c r="I17" s="128"/>
      <c r="J17" s="100"/>
      <c r="K17" s="29"/>
      <c r="L17" s="129"/>
      <c r="M17" s="446"/>
      <c r="N17" s="425"/>
      <c r="O17" s="428"/>
      <c r="P17" s="425"/>
      <c r="Q17" s="429"/>
      <c r="R17" s="422"/>
      <c r="S17" s="150"/>
      <c r="T17" s="198"/>
      <c r="U17" s="47" t="s">
        <v>627</v>
      </c>
      <c r="V17" s="146"/>
      <c r="W17" s="172"/>
      <c r="X17" s="172"/>
      <c r="Y17" s="95" t="str">
        <f t="shared" si="3"/>
        <v/>
      </c>
      <c r="Z17" s="172"/>
      <c r="AA17" s="95" t="str">
        <f t="shared" si="4"/>
        <v/>
      </c>
      <c r="AB17" s="150"/>
      <c r="AC17" s="95" t="str">
        <f t="shared" si="5"/>
        <v/>
      </c>
      <c r="AD17" s="150"/>
      <c r="AE17" s="95" t="str">
        <f t="shared" si="6"/>
        <v/>
      </c>
      <c r="AF17" s="150"/>
      <c r="AG17" s="95" t="str">
        <f t="shared" si="7"/>
        <v/>
      </c>
      <c r="AH17" s="150"/>
      <c r="AI17" s="95" t="str">
        <f t="shared" si="8"/>
        <v/>
      </c>
      <c r="AJ17" s="150"/>
      <c r="AK17" s="27" t="str">
        <f t="shared" si="0"/>
        <v/>
      </c>
      <c r="AL17" s="48" t="str">
        <f t="shared" si="11"/>
        <v/>
      </c>
      <c r="AM17" s="48" t="str">
        <f t="shared" si="9"/>
        <v/>
      </c>
      <c r="AN17" s="196"/>
      <c r="AO17" s="196"/>
      <c r="AP17" s="196"/>
      <c r="AQ17" s="196"/>
      <c r="AR17" s="196"/>
      <c r="AS17" s="196"/>
      <c r="AT17" s="196"/>
      <c r="AU17" s="197" t="str">
        <f>IFERROR(VLOOKUP(AT17,'Seguridad Información'!$I$61:$J$65,2,0),"")</f>
        <v/>
      </c>
      <c r="AV17" s="79"/>
      <c r="AW17" s="78" t="str">
        <f t="shared" si="1"/>
        <v/>
      </c>
      <c r="AX17" s="77" t="str">
        <f t="shared" si="2"/>
        <v/>
      </c>
      <c r="AY17" s="21" t="str">
        <f>IFERROR(VLOOKUP((CONCATENATE(AM17,AX17)),Listados!$U$3:$V$11,2,FALSE),"")</f>
        <v/>
      </c>
      <c r="AZ17" s="48">
        <f t="shared" si="10"/>
        <v>100</v>
      </c>
      <c r="BA17" s="431"/>
      <c r="BB17" s="433"/>
      <c r="BC17" s="169">
        <f>+IF(AND(W17="Preventivo",BB13="Fuerte"),2,IF(AND(W17="Preventivo",BB13="Moderado"),1,0))</f>
        <v>0</v>
      </c>
      <c r="BD17" s="64">
        <f>+IF(AND(W17="Detectivo/Correctivo",$BB13="Fuerte"),2,IF(AND(W17="Detectivo/Correctivo",$BB17="Moderado"),1,IF(AND(W17="Preventivo",$BB13="Fuerte"),1,0)))</f>
        <v>0</v>
      </c>
      <c r="BE17" s="169" t="e">
        <f>+N13-BC17</f>
        <v>#N/A</v>
      </c>
      <c r="BF17" s="169" t="e">
        <f>+P13-BD17</f>
        <v>#N/A</v>
      </c>
      <c r="BG17" s="422"/>
      <c r="BH17" s="422"/>
      <c r="BI17" s="422"/>
      <c r="BJ17" s="645"/>
      <c r="BK17" s="645"/>
      <c r="BL17" s="645"/>
      <c r="BM17" s="645"/>
    </row>
    <row r="18" spans="1:65" ht="65.099999999999994" customHeight="1" thickBot="1">
      <c r="A18" s="406"/>
      <c r="B18" s="625"/>
      <c r="C18" s="441"/>
      <c r="D18" s="106"/>
      <c r="E18" s="106"/>
      <c r="F18" s="619"/>
      <c r="G18" s="530"/>
      <c r="H18" s="100"/>
      <c r="I18" s="128"/>
      <c r="J18" s="100"/>
      <c r="K18" s="31"/>
      <c r="L18" s="129"/>
      <c r="M18" s="525"/>
      <c r="N18" s="620"/>
      <c r="O18" s="623"/>
      <c r="P18" s="620"/>
      <c r="Q18" s="624"/>
      <c r="R18" s="423"/>
      <c r="S18" s="69"/>
      <c r="T18" s="98"/>
      <c r="U18" s="47" t="s">
        <v>627</v>
      </c>
      <c r="V18" s="67"/>
      <c r="W18" s="172"/>
      <c r="X18" s="172"/>
      <c r="Y18" s="95" t="str">
        <f t="shared" si="3"/>
        <v/>
      </c>
      <c r="Z18" s="172"/>
      <c r="AA18" s="95" t="str">
        <f t="shared" si="4"/>
        <v/>
      </c>
      <c r="AB18" s="150"/>
      <c r="AC18" s="95" t="str">
        <f t="shared" si="5"/>
        <v/>
      </c>
      <c r="AD18" s="150"/>
      <c r="AE18" s="95" t="str">
        <f t="shared" si="6"/>
        <v/>
      </c>
      <c r="AF18" s="150"/>
      <c r="AG18" s="95" t="str">
        <f t="shared" si="7"/>
        <v/>
      </c>
      <c r="AH18" s="150"/>
      <c r="AI18" s="95" t="str">
        <f t="shared" si="8"/>
        <v/>
      </c>
      <c r="AJ18" s="150"/>
      <c r="AK18" s="27" t="str">
        <f t="shared" si="0"/>
        <v/>
      </c>
      <c r="AL18" s="48" t="str">
        <f t="shared" si="11"/>
        <v/>
      </c>
      <c r="AM18" s="48" t="str">
        <f t="shared" si="9"/>
        <v/>
      </c>
      <c r="AN18" s="196"/>
      <c r="AO18" s="196"/>
      <c r="AP18" s="196"/>
      <c r="AQ18" s="196"/>
      <c r="AR18" s="196"/>
      <c r="AS18" s="196"/>
      <c r="AT18" s="196"/>
      <c r="AU18" s="197" t="str">
        <f>IFERROR(VLOOKUP(AT18,'Seguridad Información'!$I$61:$J$65,2,0),"")</f>
        <v/>
      </c>
      <c r="AV18" s="79"/>
      <c r="AW18" s="78" t="str">
        <f t="shared" si="1"/>
        <v/>
      </c>
      <c r="AX18" s="77" t="str">
        <f t="shared" si="2"/>
        <v/>
      </c>
      <c r="AY18" s="21" t="str">
        <f>IFERROR(VLOOKUP((CONCATENATE(AM18,AX18)),Listados!$U$3:$V$11,2,FALSE),"")</f>
        <v/>
      </c>
      <c r="AZ18" s="48">
        <f t="shared" si="10"/>
        <v>100</v>
      </c>
      <c r="BA18" s="432"/>
      <c r="BB18" s="433"/>
      <c r="BC18" s="169">
        <f>+IF(AND(W18="Preventivo",BB13="Fuerte"),2,IF(AND(W18="Preventivo",BB13="Moderado"),1,0))</f>
        <v>0</v>
      </c>
      <c r="BD18" s="64">
        <f>+IF(AND(W18="Detectivo/Correctivo",$BB13="Fuerte"),2,IF(AND(W18="Detectivo/Correctivo",$BB18="Moderado"),1,IF(AND(W18="Preventivo",$BB13="Fuerte"),1,0)))</f>
        <v>0</v>
      </c>
      <c r="BE18" s="169" t="e">
        <f>+N13-BC18</f>
        <v>#N/A</v>
      </c>
      <c r="BF18" s="169" t="e">
        <f>+P13-BD18</f>
        <v>#N/A</v>
      </c>
      <c r="BG18" s="423"/>
      <c r="BH18" s="423"/>
      <c r="BI18" s="423"/>
      <c r="BJ18" s="646"/>
      <c r="BK18" s="646"/>
      <c r="BL18" s="646"/>
      <c r="BM18" s="646"/>
    </row>
    <row r="19" spans="1:65" ht="65.099999999999994" customHeight="1" thickBot="1">
      <c r="A19" s="404">
        <v>3</v>
      </c>
      <c r="B19" s="628"/>
      <c r="C19" s="447" t="str">
        <f>IFERROR(VLOOKUP(B19,Listados!B$3:C$20,2,FALSE),"")</f>
        <v/>
      </c>
      <c r="D19" s="107"/>
      <c r="E19" s="107"/>
      <c r="F19" s="618"/>
      <c r="G19" s="448"/>
      <c r="H19" s="100"/>
      <c r="I19" s="128"/>
      <c r="J19" s="100"/>
      <c r="K19" s="103"/>
      <c r="L19" s="17"/>
      <c r="M19" s="445"/>
      <c r="N19" s="425" t="e">
        <f>+VLOOKUP(M19,Listados!$K$8:$L$12,2,0)</f>
        <v>#N/A</v>
      </c>
      <c r="O19" s="427"/>
      <c r="P19" s="425" t="e">
        <f>+VLOOKUP(O19,Listados!$K$13:$L$17,2,0)</f>
        <v>#N/A</v>
      </c>
      <c r="Q19" s="423" t="str">
        <f>IF(AND(M19&lt;&gt;"",O19&lt;&gt;""),VLOOKUP(M19&amp;O19,Listados!$M$3:$N$27,2,FALSE),"")</f>
        <v/>
      </c>
      <c r="R19" s="421" t="e">
        <f>+VLOOKUP(Q19,Listados!$P$3:$Q$6,2,FALSE)</f>
        <v>#N/A</v>
      </c>
      <c r="S19" s="108"/>
      <c r="T19" s="94"/>
      <c r="U19" s="47" t="s">
        <v>627</v>
      </c>
      <c r="V19" s="60"/>
      <c r="W19" s="172" t="s">
        <v>20</v>
      </c>
      <c r="X19" s="172" t="s">
        <v>767</v>
      </c>
      <c r="Y19" s="95" t="str">
        <f t="shared" si="3"/>
        <v/>
      </c>
      <c r="Z19" s="172" t="s">
        <v>767</v>
      </c>
      <c r="AA19" s="95" t="str">
        <f t="shared" si="4"/>
        <v/>
      </c>
      <c r="AB19" s="150" t="s">
        <v>767</v>
      </c>
      <c r="AC19" s="95" t="str">
        <f t="shared" si="5"/>
        <v/>
      </c>
      <c r="AD19" s="150" t="s">
        <v>767</v>
      </c>
      <c r="AE19" s="95" t="str">
        <f t="shared" si="6"/>
        <v/>
      </c>
      <c r="AF19" s="150" t="s">
        <v>767</v>
      </c>
      <c r="AG19" s="95" t="str">
        <f t="shared" si="7"/>
        <v/>
      </c>
      <c r="AH19" s="150" t="s">
        <v>767</v>
      </c>
      <c r="AI19" s="95" t="str">
        <f t="shared" si="8"/>
        <v/>
      </c>
      <c r="AJ19" s="150" t="s">
        <v>812</v>
      </c>
      <c r="AK19" s="27">
        <f t="shared" si="0"/>
        <v>5</v>
      </c>
      <c r="AL19" s="48">
        <f t="shared" si="11"/>
        <v>5</v>
      </c>
      <c r="AM19" s="48" t="str">
        <f t="shared" si="9"/>
        <v>Débil</v>
      </c>
      <c r="AN19" s="196"/>
      <c r="AO19" s="196"/>
      <c r="AP19" s="196"/>
      <c r="AQ19" s="196"/>
      <c r="AR19" s="196"/>
      <c r="AS19" s="196"/>
      <c r="AT19" s="196"/>
      <c r="AU19" s="197" t="str">
        <f>IFERROR(VLOOKUP(AT19,'Seguridad Información'!$I$61:$J$65,2,0),"")</f>
        <v/>
      </c>
      <c r="AV19" s="79"/>
      <c r="AW19" s="78" t="str">
        <f t="shared" si="1"/>
        <v/>
      </c>
      <c r="AX19" s="77" t="str">
        <f t="shared" si="2"/>
        <v/>
      </c>
      <c r="AY19" s="21" t="str">
        <f>IFERROR(VLOOKUP((CONCATENATE(AM19,AX19)),Listados!$U$3:$V$11,2,FALSE),"")</f>
        <v/>
      </c>
      <c r="AZ19" s="48">
        <f t="shared" si="10"/>
        <v>100</v>
      </c>
      <c r="BA19" s="430">
        <f>AVERAGE(AZ19:AZ24)</f>
        <v>100</v>
      </c>
      <c r="BB19" s="432" t="str">
        <f>IF(BA19&lt;=50, "Débil", IF(BA19&lt;=99,"Moderado","Fuerte"))</f>
        <v>Fuerte</v>
      </c>
      <c r="BC19" s="169">
        <f>+IF(AND(W19="Preventivo",BB19="Fuerte"),2,IF(AND(W19="Preventivo",BB19="Moderado"),1,0))</f>
        <v>2</v>
      </c>
      <c r="BD19" s="64">
        <f>+IF(AND(W19="Detectivo/Correctivo",$BB19="Fuerte"),2,IF(AND(W19="Detectivo/Correctivo",$BB19="Moderado"),1,IF(AND(W19="Preventivo",$BB19="Fuerte"),1,0)))</f>
        <v>1</v>
      </c>
      <c r="BE19" s="169" t="e">
        <f>+N19-BC19</f>
        <v>#N/A</v>
      </c>
      <c r="BF19" s="169" t="e">
        <f>+P19-BD19</f>
        <v>#N/A</v>
      </c>
      <c r="BG19" s="421" t="e">
        <f>+VLOOKUP(MIN(BE19,BE20,BE21,BE22,BE23,BE24),Listados!$J$18:$K$24,2,TRUE)</f>
        <v>#N/A</v>
      </c>
      <c r="BH19" s="421" t="e">
        <f>+VLOOKUP(MIN(BF19,BF20,BF21,BF22,BF23,BF24),Listados!$J$26:$K$32,2,TRUE)</f>
        <v>#N/A</v>
      </c>
      <c r="BI19" s="421" t="e">
        <f>IF(AND(BG19&lt;&gt;"",BH19&lt;&gt;""),VLOOKUP(BG19&amp;BH19,Listados!$M$3:$N$27,2,FALSE),"")</f>
        <v>#N/A</v>
      </c>
      <c r="BJ19" s="644" t="e">
        <f>+IF($R19="Asumir el riesgo","NA","")</f>
        <v>#N/A</v>
      </c>
      <c r="BK19" s="644" t="e">
        <f>+IF($R19="Asumir el riesgo","NA","")</f>
        <v>#N/A</v>
      </c>
      <c r="BL19" s="644" t="e">
        <f>+IF($R19="Asumir el riesgo","NA","")</f>
        <v>#N/A</v>
      </c>
      <c r="BM19" s="644" t="e">
        <f>+IF($R19="Asumir el riesgo","NA","")</f>
        <v>#N/A</v>
      </c>
    </row>
    <row r="20" spans="1:65" ht="65.099999999999994" customHeight="1" thickBot="1">
      <c r="A20" s="405"/>
      <c r="B20" s="625"/>
      <c r="C20" s="440"/>
      <c r="D20" s="152"/>
      <c r="E20" s="152"/>
      <c r="F20" s="475"/>
      <c r="G20" s="443"/>
      <c r="H20" s="100"/>
      <c r="I20" s="128"/>
      <c r="J20" s="100"/>
      <c r="K20" s="147"/>
      <c r="L20" s="129"/>
      <c r="M20" s="446"/>
      <c r="N20" s="425"/>
      <c r="O20" s="428"/>
      <c r="P20" s="425"/>
      <c r="Q20" s="429"/>
      <c r="R20" s="422"/>
      <c r="S20" s="150"/>
      <c r="T20" s="198"/>
      <c r="U20" s="47" t="s">
        <v>627</v>
      </c>
      <c r="V20" s="146"/>
      <c r="W20" s="172" t="s">
        <v>127</v>
      </c>
      <c r="X20" s="172" t="s">
        <v>116</v>
      </c>
      <c r="Y20" s="95">
        <f t="shared" si="3"/>
        <v>15</v>
      </c>
      <c r="Z20" s="172" t="s">
        <v>312</v>
      </c>
      <c r="AA20" s="95">
        <f t="shared" si="4"/>
        <v>15</v>
      </c>
      <c r="AB20" s="150" t="s">
        <v>312</v>
      </c>
      <c r="AC20" s="95">
        <f t="shared" si="5"/>
        <v>15</v>
      </c>
      <c r="AD20" s="150" t="s">
        <v>312</v>
      </c>
      <c r="AE20" s="95">
        <f t="shared" si="6"/>
        <v>15</v>
      </c>
      <c r="AF20" s="150" t="s">
        <v>312</v>
      </c>
      <c r="AG20" s="95">
        <f t="shared" si="7"/>
        <v>15</v>
      </c>
      <c r="AH20" s="150" t="s">
        <v>312</v>
      </c>
      <c r="AI20" s="95">
        <f t="shared" si="8"/>
        <v>15</v>
      </c>
      <c r="AJ20" s="150" t="s">
        <v>117</v>
      </c>
      <c r="AK20" s="27">
        <f t="shared" si="0"/>
        <v>10</v>
      </c>
      <c r="AL20" s="48">
        <f t="shared" si="11"/>
        <v>100</v>
      </c>
      <c r="AM20" s="48" t="str">
        <f t="shared" si="9"/>
        <v>Fuerte</v>
      </c>
      <c r="AN20" s="196"/>
      <c r="AO20" s="196"/>
      <c r="AP20" s="196"/>
      <c r="AQ20" s="196"/>
      <c r="AR20" s="196"/>
      <c r="AS20" s="196"/>
      <c r="AT20" s="196"/>
      <c r="AU20" s="197" t="str">
        <f>IFERROR(VLOOKUP(AT20,'Seguridad Información'!$I$61:$J$65,2,0),"")</f>
        <v/>
      </c>
      <c r="AV20" s="79"/>
      <c r="AW20" s="78" t="str">
        <f t="shared" si="1"/>
        <v/>
      </c>
      <c r="AX20" s="77" t="str">
        <f t="shared" si="2"/>
        <v/>
      </c>
      <c r="AY20" s="21" t="str">
        <f>IFERROR(VLOOKUP((CONCATENATE(AM20,AX20)),Listados!$U$3:$V$11,2,FALSE),"")</f>
        <v/>
      </c>
      <c r="AZ20" s="48">
        <f t="shared" si="10"/>
        <v>100</v>
      </c>
      <c r="BA20" s="431"/>
      <c r="BB20" s="433"/>
      <c r="BC20" s="169">
        <f>+IF(AND(W20="Preventivo",BB19="Fuerte"),2,IF(AND(W20="Preventivo",BB19="Moderado"),1,0))</f>
        <v>0</v>
      </c>
      <c r="BD20" s="64">
        <f>+IF(AND(W20="Detectivo/Correctivo",$BB19="Fuerte"),2,IF(AND(W20="Detectivo/Correctivo",$BB20="Moderado"),1,IF(AND(W20="Preventivo",$BB19="Fuerte"),1,0)))</f>
        <v>2</v>
      </c>
      <c r="BE20" s="169" t="e">
        <f>+N19-BC20</f>
        <v>#N/A</v>
      </c>
      <c r="BF20" s="169" t="e">
        <f>+P19-BD20</f>
        <v>#N/A</v>
      </c>
      <c r="BG20" s="422"/>
      <c r="BH20" s="422"/>
      <c r="BI20" s="422"/>
      <c r="BJ20" s="645"/>
      <c r="BK20" s="645"/>
      <c r="BL20" s="645"/>
      <c r="BM20" s="645"/>
    </row>
    <row r="21" spans="1:65" ht="65.099999999999994" customHeight="1" thickBot="1">
      <c r="A21" s="405"/>
      <c r="B21" s="625"/>
      <c r="C21" s="440"/>
      <c r="D21" s="152"/>
      <c r="E21" s="152"/>
      <c r="F21" s="475"/>
      <c r="G21" s="443"/>
      <c r="H21" s="100"/>
      <c r="I21" s="128"/>
      <c r="J21" s="100"/>
      <c r="K21" s="147"/>
      <c r="L21" s="129"/>
      <c r="M21" s="446"/>
      <c r="N21" s="425"/>
      <c r="O21" s="428"/>
      <c r="P21" s="425"/>
      <c r="Q21" s="429"/>
      <c r="R21" s="422"/>
      <c r="S21" s="150"/>
      <c r="T21" s="96"/>
      <c r="U21" s="47" t="s">
        <v>627</v>
      </c>
      <c r="V21" s="146"/>
      <c r="W21" s="172"/>
      <c r="X21" s="172"/>
      <c r="Y21" s="95" t="str">
        <f t="shared" si="3"/>
        <v/>
      </c>
      <c r="Z21" s="172"/>
      <c r="AA21" s="95" t="str">
        <f t="shared" si="4"/>
        <v/>
      </c>
      <c r="AB21" s="150"/>
      <c r="AC21" s="95" t="str">
        <f t="shared" si="5"/>
        <v/>
      </c>
      <c r="AD21" s="150"/>
      <c r="AE21" s="95" t="str">
        <f t="shared" si="6"/>
        <v/>
      </c>
      <c r="AF21" s="150"/>
      <c r="AG21" s="95" t="str">
        <f t="shared" si="7"/>
        <v/>
      </c>
      <c r="AH21" s="150"/>
      <c r="AI21" s="95" t="str">
        <f t="shared" si="8"/>
        <v/>
      </c>
      <c r="AJ21" s="150"/>
      <c r="AK21" s="27" t="str">
        <f t="shared" si="0"/>
        <v/>
      </c>
      <c r="AL21" s="48" t="str">
        <f t="shared" si="11"/>
        <v/>
      </c>
      <c r="AM21" s="48" t="str">
        <f t="shared" si="9"/>
        <v/>
      </c>
      <c r="AN21" s="196"/>
      <c r="AO21" s="196"/>
      <c r="AP21" s="196"/>
      <c r="AQ21" s="196"/>
      <c r="AR21" s="196"/>
      <c r="AS21" s="196"/>
      <c r="AT21" s="196"/>
      <c r="AU21" s="197" t="str">
        <f>IFERROR(VLOOKUP(AT21,'Seguridad Información'!$I$61:$J$65,2,0),"")</f>
        <v/>
      </c>
      <c r="AV21" s="79"/>
      <c r="AW21" s="78" t="str">
        <f t="shared" si="1"/>
        <v/>
      </c>
      <c r="AX21" s="77" t="str">
        <f t="shared" si="2"/>
        <v/>
      </c>
      <c r="AY21" s="21" t="str">
        <f>IFERROR(VLOOKUP((CONCATENATE(AM21,AX21)),Listados!$U$3:$V$11,2,FALSE),"")</f>
        <v/>
      </c>
      <c r="AZ21" s="48">
        <f t="shared" si="10"/>
        <v>100</v>
      </c>
      <c r="BA21" s="431"/>
      <c r="BB21" s="433"/>
      <c r="BC21" s="169">
        <f>+IF(AND(W21="Preventivo",BB19="Fuerte"),2,IF(AND(W21="Preventivo",BB19="Moderado"),1,0))</f>
        <v>0</v>
      </c>
      <c r="BD21" s="64">
        <f>+IF(AND(W21="Detectivo/Correctivo",$BB19="Fuerte"),2,IF(AND(W21="Detectivo/Correctivo",$BB21="Moderado"),1,IF(AND(W21="Preventivo",$BB19="Fuerte"),1,0)))</f>
        <v>0</v>
      </c>
      <c r="BE21" s="169" t="e">
        <f>+N19-BC21</f>
        <v>#N/A</v>
      </c>
      <c r="BF21" s="169" t="e">
        <f>+P19-BD21</f>
        <v>#N/A</v>
      </c>
      <c r="BG21" s="422"/>
      <c r="BH21" s="422"/>
      <c r="BI21" s="422"/>
      <c r="BJ21" s="645"/>
      <c r="BK21" s="645"/>
      <c r="BL21" s="645"/>
      <c r="BM21" s="645"/>
    </row>
    <row r="22" spans="1:65" ht="65.099999999999994" customHeight="1" thickBot="1">
      <c r="A22" s="405"/>
      <c r="B22" s="625"/>
      <c r="C22" s="440"/>
      <c r="D22" s="152"/>
      <c r="E22" s="152"/>
      <c r="F22" s="475"/>
      <c r="G22" s="443"/>
      <c r="H22" s="100"/>
      <c r="I22" s="128"/>
      <c r="J22" s="100"/>
      <c r="K22" s="147"/>
      <c r="L22" s="129"/>
      <c r="M22" s="446"/>
      <c r="N22" s="425"/>
      <c r="O22" s="428"/>
      <c r="P22" s="425"/>
      <c r="Q22" s="429"/>
      <c r="R22" s="422"/>
      <c r="S22" s="150"/>
      <c r="T22" s="97"/>
      <c r="U22" s="47" t="s">
        <v>627</v>
      </c>
      <c r="V22" s="146"/>
      <c r="W22" s="172"/>
      <c r="X22" s="172"/>
      <c r="Y22" s="95" t="str">
        <f t="shared" si="3"/>
        <v/>
      </c>
      <c r="Z22" s="172"/>
      <c r="AA22" s="95" t="str">
        <f t="shared" si="4"/>
        <v/>
      </c>
      <c r="AB22" s="150"/>
      <c r="AC22" s="95" t="str">
        <f t="shared" si="5"/>
        <v/>
      </c>
      <c r="AD22" s="150"/>
      <c r="AE22" s="95" t="str">
        <f t="shared" si="6"/>
        <v/>
      </c>
      <c r="AF22" s="150"/>
      <c r="AG22" s="95" t="str">
        <f t="shared" si="7"/>
        <v/>
      </c>
      <c r="AH22" s="150"/>
      <c r="AI22" s="95" t="str">
        <f t="shared" si="8"/>
        <v/>
      </c>
      <c r="AJ22" s="150"/>
      <c r="AK22" s="27" t="str">
        <f t="shared" si="0"/>
        <v/>
      </c>
      <c r="AL22" s="48" t="str">
        <f t="shared" si="11"/>
        <v/>
      </c>
      <c r="AM22" s="48" t="str">
        <f t="shared" si="9"/>
        <v/>
      </c>
      <c r="AN22" s="196"/>
      <c r="AO22" s="196"/>
      <c r="AP22" s="196"/>
      <c r="AQ22" s="196"/>
      <c r="AR22" s="196"/>
      <c r="AS22" s="196"/>
      <c r="AT22" s="196"/>
      <c r="AU22" s="197" t="str">
        <f>IFERROR(VLOOKUP(AT22,'Seguridad Información'!$I$61:$J$65,2,0),"")</f>
        <v/>
      </c>
      <c r="AV22" s="79"/>
      <c r="AW22" s="78" t="str">
        <f t="shared" si="1"/>
        <v/>
      </c>
      <c r="AX22" s="77" t="str">
        <f t="shared" si="2"/>
        <v/>
      </c>
      <c r="AY22" s="21" t="str">
        <f>IFERROR(VLOOKUP((CONCATENATE(AM22,AX22)),Listados!$U$3:$V$11,2,FALSE),"")</f>
        <v/>
      </c>
      <c r="AZ22" s="48">
        <f t="shared" si="10"/>
        <v>100</v>
      </c>
      <c r="BA22" s="431"/>
      <c r="BB22" s="433"/>
      <c r="BC22" s="169">
        <f>+IF(AND(W22="Preventivo",BB19="Fuerte"),2,IF(AND(W22="Preventivo",BB19="Moderado"),1,0))</f>
        <v>0</v>
      </c>
      <c r="BD22" s="64">
        <f>+IF(AND(W22="Detectivo/Correctivo",$BB19="Fuerte"),2,IF(AND(W22="Detectivo/Correctivo",$BB22="Moderado"),1,IF(AND(W22="Preventivo",$BB19="Fuerte"),1,0)))</f>
        <v>0</v>
      </c>
      <c r="BE22" s="169" t="e">
        <f>+N19-BC22</f>
        <v>#N/A</v>
      </c>
      <c r="BF22" s="169" t="e">
        <f>+P19-BD22</f>
        <v>#N/A</v>
      </c>
      <c r="BG22" s="422"/>
      <c r="BH22" s="422"/>
      <c r="BI22" s="422"/>
      <c r="BJ22" s="645"/>
      <c r="BK22" s="645"/>
      <c r="BL22" s="645"/>
      <c r="BM22" s="645"/>
    </row>
    <row r="23" spans="1:65" ht="65.099999999999994" customHeight="1" thickBot="1">
      <c r="A23" s="405"/>
      <c r="B23" s="625"/>
      <c r="C23" s="440"/>
      <c r="D23" s="109"/>
      <c r="E23" s="109"/>
      <c r="F23" s="475"/>
      <c r="G23" s="443"/>
      <c r="H23" s="100"/>
      <c r="I23" s="128"/>
      <c r="J23" s="100"/>
      <c r="K23" s="29"/>
      <c r="L23" s="129"/>
      <c r="M23" s="446"/>
      <c r="N23" s="425"/>
      <c r="O23" s="428"/>
      <c r="P23" s="425"/>
      <c r="Q23" s="429"/>
      <c r="R23" s="422"/>
      <c r="S23" s="150"/>
      <c r="T23" s="198"/>
      <c r="U23" s="47" t="s">
        <v>627</v>
      </c>
      <c r="V23" s="146"/>
      <c r="W23" s="172"/>
      <c r="X23" s="172"/>
      <c r="Y23" s="95" t="str">
        <f t="shared" si="3"/>
        <v/>
      </c>
      <c r="Z23" s="172"/>
      <c r="AA23" s="95" t="str">
        <f t="shared" si="4"/>
        <v/>
      </c>
      <c r="AB23" s="150"/>
      <c r="AC23" s="95" t="str">
        <f t="shared" si="5"/>
        <v/>
      </c>
      <c r="AD23" s="150"/>
      <c r="AE23" s="95" t="str">
        <f t="shared" si="6"/>
        <v/>
      </c>
      <c r="AF23" s="150"/>
      <c r="AG23" s="95" t="str">
        <f t="shared" si="7"/>
        <v/>
      </c>
      <c r="AH23" s="150"/>
      <c r="AI23" s="95" t="str">
        <f t="shared" si="8"/>
        <v/>
      </c>
      <c r="AJ23" s="150"/>
      <c r="AK23" s="27" t="str">
        <f t="shared" si="0"/>
        <v/>
      </c>
      <c r="AL23" s="48" t="str">
        <f t="shared" si="11"/>
        <v/>
      </c>
      <c r="AM23" s="48" t="str">
        <f t="shared" si="9"/>
        <v/>
      </c>
      <c r="AN23" s="196"/>
      <c r="AO23" s="196"/>
      <c r="AP23" s="196"/>
      <c r="AQ23" s="196"/>
      <c r="AR23" s="196"/>
      <c r="AS23" s="196"/>
      <c r="AT23" s="196"/>
      <c r="AU23" s="197" t="str">
        <f>IFERROR(VLOOKUP(AT23,'Seguridad Información'!$I$61:$J$65,2,0),"")</f>
        <v/>
      </c>
      <c r="AV23" s="79"/>
      <c r="AW23" s="78" t="str">
        <f t="shared" si="1"/>
        <v/>
      </c>
      <c r="AX23" s="77" t="str">
        <f t="shared" si="2"/>
        <v/>
      </c>
      <c r="AY23" s="21" t="str">
        <f>IFERROR(VLOOKUP((CONCATENATE(AM23,AX23)),Listados!$U$3:$V$11,2,FALSE),"")</f>
        <v/>
      </c>
      <c r="AZ23" s="48">
        <f t="shared" si="10"/>
        <v>100</v>
      </c>
      <c r="BA23" s="431"/>
      <c r="BB23" s="433"/>
      <c r="BC23" s="169">
        <f>+IF(AND(W23="Preventivo",BB19="Fuerte"),2,IF(AND(W23="Preventivo",BB19="Moderado"),1,0))</f>
        <v>0</v>
      </c>
      <c r="BD23" s="64">
        <f>+IF(AND(W23="Detectivo/Correctivo",$BB19="Fuerte"),2,IF(AND(W23="Detectivo/Correctivo",$BB23="Moderado"),1,IF(AND(W23="Preventivo",$BB19="Fuerte"),1,0)))</f>
        <v>0</v>
      </c>
      <c r="BE23" s="169" t="e">
        <f>+N19-BC23</f>
        <v>#N/A</v>
      </c>
      <c r="BF23" s="169" t="e">
        <f>+P19-BD23</f>
        <v>#N/A</v>
      </c>
      <c r="BG23" s="422"/>
      <c r="BH23" s="422"/>
      <c r="BI23" s="422"/>
      <c r="BJ23" s="645"/>
      <c r="BK23" s="645"/>
      <c r="BL23" s="645"/>
      <c r="BM23" s="645"/>
    </row>
    <row r="24" spans="1:65" ht="65.099999999999994" customHeight="1" thickBot="1">
      <c r="A24" s="406"/>
      <c r="B24" s="625"/>
      <c r="C24" s="441"/>
      <c r="D24" s="106"/>
      <c r="E24" s="106"/>
      <c r="F24" s="619"/>
      <c r="G24" s="444"/>
      <c r="H24" s="100"/>
      <c r="I24" s="128"/>
      <c r="J24" s="100"/>
      <c r="K24" s="31"/>
      <c r="L24" s="129"/>
      <c r="M24" s="525"/>
      <c r="N24" s="620"/>
      <c r="O24" s="623"/>
      <c r="P24" s="620"/>
      <c r="Q24" s="624"/>
      <c r="R24" s="423"/>
      <c r="S24" s="69"/>
      <c r="T24" s="98"/>
      <c r="U24" s="47" t="s">
        <v>627</v>
      </c>
      <c r="V24" s="67"/>
      <c r="W24" s="172"/>
      <c r="X24" s="172"/>
      <c r="Y24" s="95" t="str">
        <f t="shared" si="3"/>
        <v/>
      </c>
      <c r="Z24" s="172"/>
      <c r="AA24" s="95" t="str">
        <f t="shared" si="4"/>
        <v/>
      </c>
      <c r="AB24" s="150"/>
      <c r="AC24" s="95" t="str">
        <f t="shared" si="5"/>
        <v/>
      </c>
      <c r="AD24" s="150"/>
      <c r="AE24" s="95" t="str">
        <f t="shared" si="6"/>
        <v/>
      </c>
      <c r="AF24" s="150"/>
      <c r="AG24" s="95" t="str">
        <f t="shared" si="7"/>
        <v/>
      </c>
      <c r="AH24" s="150"/>
      <c r="AI24" s="95" t="str">
        <f t="shared" si="8"/>
        <v/>
      </c>
      <c r="AJ24" s="150"/>
      <c r="AK24" s="27" t="str">
        <f t="shared" si="0"/>
        <v/>
      </c>
      <c r="AL24" s="48" t="str">
        <f t="shared" si="11"/>
        <v/>
      </c>
      <c r="AM24" s="48" t="str">
        <f t="shared" si="9"/>
        <v/>
      </c>
      <c r="AN24" s="196"/>
      <c r="AO24" s="196"/>
      <c r="AP24" s="196"/>
      <c r="AQ24" s="196"/>
      <c r="AR24" s="196"/>
      <c r="AS24" s="196"/>
      <c r="AT24" s="196"/>
      <c r="AU24" s="197" t="str">
        <f>IFERROR(VLOOKUP(AT24,'Seguridad Información'!$I$61:$J$65,2,0),"")</f>
        <v/>
      </c>
      <c r="AV24" s="79"/>
      <c r="AW24" s="78" t="str">
        <f t="shared" si="1"/>
        <v/>
      </c>
      <c r="AX24" s="77" t="str">
        <f t="shared" si="2"/>
        <v/>
      </c>
      <c r="AY24" s="21" t="str">
        <f>IFERROR(VLOOKUP((CONCATENATE(AM24,AX24)),Listados!$U$3:$V$11,2,FALSE),"")</f>
        <v/>
      </c>
      <c r="AZ24" s="48">
        <f t="shared" si="10"/>
        <v>100</v>
      </c>
      <c r="BA24" s="432"/>
      <c r="BB24" s="433"/>
      <c r="BC24" s="169">
        <f>+IF(AND(W24="Preventivo",BB19="Fuerte"),2,IF(AND(W24="Preventivo",BB19="Moderado"),1,0))</f>
        <v>0</v>
      </c>
      <c r="BD24" s="64">
        <f>+IF(AND(W24="Detectivo/Correctivo",$BB19="Fuerte"),2,IF(AND(W24="Detectivo/Correctivo",$BB24="Moderado"),1,IF(AND(W24="Preventivo",$BB19="Fuerte"),1,0)))</f>
        <v>0</v>
      </c>
      <c r="BE24" s="169" t="e">
        <f>+N19-BC24</f>
        <v>#N/A</v>
      </c>
      <c r="BF24" s="169" t="e">
        <f>+P19-BD24</f>
        <v>#N/A</v>
      </c>
      <c r="BG24" s="423"/>
      <c r="BH24" s="423"/>
      <c r="BI24" s="423"/>
      <c r="BJ24" s="646"/>
      <c r="BK24" s="646"/>
      <c r="BL24" s="646"/>
      <c r="BM24" s="646"/>
    </row>
    <row r="25" spans="1:65" ht="65.099999999999994" customHeight="1" thickBot="1">
      <c r="A25" s="404">
        <v>4</v>
      </c>
      <c r="B25" s="628"/>
      <c r="C25" s="447" t="str">
        <f>IFERROR(VLOOKUP(B25,Listados!B$3:C$20,2,FALSE),"")</f>
        <v/>
      </c>
      <c r="D25" s="107"/>
      <c r="E25" s="107"/>
      <c r="F25" s="618"/>
      <c r="G25" s="448"/>
      <c r="H25" s="100"/>
      <c r="I25" s="128"/>
      <c r="J25" s="100"/>
      <c r="K25" s="103"/>
      <c r="L25" s="17"/>
      <c r="M25" s="445"/>
      <c r="N25" s="425" t="e">
        <f>+VLOOKUP(M25,Listados!$K$8:$L$12,2,0)</f>
        <v>#N/A</v>
      </c>
      <c r="O25" s="427"/>
      <c r="P25" s="425" t="e">
        <f>+VLOOKUP(O25,Listados!$K$13:$L$17,2,0)</f>
        <v>#N/A</v>
      </c>
      <c r="Q25" s="423" t="str">
        <f>IF(AND(M25&lt;&gt;"",O25&lt;&gt;""),VLOOKUP(M25&amp;O25,Listados!$M$3:$N$27,2,FALSE),"")</f>
        <v/>
      </c>
      <c r="R25" s="421" t="e">
        <f>+VLOOKUP(Q25,Listados!$P$3:$Q$6,2,FALSE)</f>
        <v>#N/A</v>
      </c>
      <c r="S25" s="108"/>
      <c r="T25" s="95"/>
      <c r="U25" s="47" t="s">
        <v>627</v>
      </c>
      <c r="V25" s="60"/>
      <c r="W25" s="172" t="s">
        <v>20</v>
      </c>
      <c r="X25" s="172" t="s">
        <v>116</v>
      </c>
      <c r="Y25" s="95">
        <f t="shared" si="3"/>
        <v>15</v>
      </c>
      <c r="Z25" s="172" t="s">
        <v>312</v>
      </c>
      <c r="AA25" s="95">
        <f t="shared" si="4"/>
        <v>15</v>
      </c>
      <c r="AB25" s="150" t="s">
        <v>312</v>
      </c>
      <c r="AC25" s="95">
        <f t="shared" si="5"/>
        <v>15</v>
      </c>
      <c r="AD25" s="150" t="s">
        <v>312</v>
      </c>
      <c r="AE25" s="95">
        <f t="shared" si="6"/>
        <v>15</v>
      </c>
      <c r="AF25" s="150" t="s">
        <v>312</v>
      </c>
      <c r="AG25" s="95">
        <f t="shared" si="7"/>
        <v>15</v>
      </c>
      <c r="AH25" s="150" t="s">
        <v>312</v>
      </c>
      <c r="AI25" s="95">
        <f t="shared" si="8"/>
        <v>15</v>
      </c>
      <c r="AJ25" s="150" t="s">
        <v>812</v>
      </c>
      <c r="AK25" s="27">
        <f t="shared" si="0"/>
        <v>5</v>
      </c>
      <c r="AL25" s="48">
        <f t="shared" si="11"/>
        <v>95</v>
      </c>
      <c r="AM25" s="48" t="str">
        <f t="shared" si="9"/>
        <v>Moderado</v>
      </c>
      <c r="AN25" s="196"/>
      <c r="AO25" s="196"/>
      <c r="AP25" s="196"/>
      <c r="AQ25" s="196"/>
      <c r="AR25" s="196"/>
      <c r="AS25" s="196"/>
      <c r="AT25" s="196"/>
      <c r="AU25" s="197" t="str">
        <f>IFERROR(VLOOKUP(AT25,'Seguridad Información'!$I$61:$J$65,2,0),"")</f>
        <v/>
      </c>
      <c r="AV25" s="79"/>
      <c r="AW25" s="78" t="str">
        <f t="shared" si="1"/>
        <v/>
      </c>
      <c r="AX25" s="77" t="str">
        <f t="shared" si="2"/>
        <v/>
      </c>
      <c r="AY25" s="21" t="str">
        <f>IFERROR(VLOOKUP((CONCATENATE(AM25,AX25)),Listados!$U$3:$V$11,2,FALSE),"")</f>
        <v/>
      </c>
      <c r="AZ25" s="48">
        <f t="shared" si="10"/>
        <v>100</v>
      </c>
      <c r="BA25" s="430">
        <f>AVERAGE(AZ25:AZ30)</f>
        <v>100</v>
      </c>
      <c r="BB25" s="432" t="str">
        <f>IF(BA25&lt;=50, "Débil", IF(BA25&lt;=99,"Moderado","Fuerte"))</f>
        <v>Fuerte</v>
      </c>
      <c r="BC25" s="169">
        <f>+IF(AND(W25="Preventivo",BB25="Fuerte"),2,IF(AND(W25="Preventivo",BB25="Moderado"),1,0))</f>
        <v>2</v>
      </c>
      <c r="BD25" s="64">
        <f>+IF(AND(W25="Detectivo/Correctivo",$BB25="Fuerte"),2,IF(AND(W25="Detectivo/Correctivo",$BB25="Moderado"),1,IF(AND(W25="Preventivo",$BB25="Fuerte"),1,0)))</f>
        <v>1</v>
      </c>
      <c r="BE25" s="169" t="e">
        <f>+N25-BC25</f>
        <v>#N/A</v>
      </c>
      <c r="BF25" s="169" t="e">
        <f>+P25-BD25</f>
        <v>#N/A</v>
      </c>
      <c r="BG25" s="421" t="e">
        <f>+VLOOKUP(MIN(BE25,BE26,BE27,BE28,BE29,BE30),Listados!$J$18:$K$24,2,TRUE)</f>
        <v>#N/A</v>
      </c>
      <c r="BH25" s="421" t="e">
        <f>+VLOOKUP(MIN(BF25,BF26,BF27,BF28,BF29,BF30),Listados!$J$26:$K$32,2,TRUE)</f>
        <v>#N/A</v>
      </c>
      <c r="BI25" s="421" t="e">
        <f>IF(AND(BG25&lt;&gt;"",BH25&lt;&gt;""),VLOOKUP(BG25&amp;BH25,Listados!$M$3:$N$27,2,FALSE),"")</f>
        <v>#N/A</v>
      </c>
      <c r="BJ25" s="644" t="e">
        <f>+IF($R25="Asumir el riesgo","NA","")</f>
        <v>#N/A</v>
      </c>
      <c r="BK25" s="644" t="e">
        <f>+IF($R25="Asumir el riesgo","NA","")</f>
        <v>#N/A</v>
      </c>
      <c r="BL25" s="644" t="e">
        <f>+IF($R25="Asumir el riesgo","NA","")</f>
        <v>#N/A</v>
      </c>
      <c r="BM25" s="644" t="e">
        <f>+IF($R25="Asumir el riesgo","NA","")</f>
        <v>#N/A</v>
      </c>
    </row>
    <row r="26" spans="1:65" ht="65.099999999999994" customHeight="1" thickBot="1">
      <c r="A26" s="405"/>
      <c r="B26" s="625"/>
      <c r="C26" s="440"/>
      <c r="D26" s="152"/>
      <c r="E26" s="152"/>
      <c r="F26" s="475"/>
      <c r="G26" s="443"/>
      <c r="H26" s="100"/>
      <c r="I26" s="128"/>
      <c r="J26" s="100"/>
      <c r="K26" s="147"/>
      <c r="L26" s="129"/>
      <c r="M26" s="446"/>
      <c r="N26" s="425"/>
      <c r="O26" s="428"/>
      <c r="P26" s="425"/>
      <c r="Q26" s="429"/>
      <c r="R26" s="422"/>
      <c r="S26" s="150"/>
      <c r="T26" s="198"/>
      <c r="U26" s="47" t="s">
        <v>627</v>
      </c>
      <c r="V26" s="146"/>
      <c r="W26" s="172" t="s">
        <v>123</v>
      </c>
      <c r="X26" s="172" t="s">
        <v>670</v>
      </c>
      <c r="Y26" s="95" t="str">
        <f t="shared" si="3"/>
        <v/>
      </c>
      <c r="Z26" s="172" t="s">
        <v>312</v>
      </c>
      <c r="AA26" s="95">
        <f t="shared" si="4"/>
        <v>15</v>
      </c>
      <c r="AB26" s="150" t="s">
        <v>312</v>
      </c>
      <c r="AC26" s="95">
        <f t="shared" si="5"/>
        <v>15</v>
      </c>
      <c r="AD26" s="150" t="s">
        <v>312</v>
      </c>
      <c r="AE26" s="95">
        <f t="shared" si="6"/>
        <v>15</v>
      </c>
      <c r="AF26" s="150" t="s">
        <v>312</v>
      </c>
      <c r="AG26" s="95">
        <f t="shared" si="7"/>
        <v>15</v>
      </c>
      <c r="AH26" s="150" t="s">
        <v>312</v>
      </c>
      <c r="AI26" s="95">
        <f t="shared" si="8"/>
        <v>15</v>
      </c>
      <c r="AJ26" s="150" t="s">
        <v>117</v>
      </c>
      <c r="AK26" s="27">
        <f t="shared" si="0"/>
        <v>10</v>
      </c>
      <c r="AL26" s="48">
        <f t="shared" si="11"/>
        <v>85</v>
      </c>
      <c r="AM26" s="48" t="str">
        <f t="shared" si="9"/>
        <v>Débil</v>
      </c>
      <c r="AN26" s="196"/>
      <c r="AO26" s="196"/>
      <c r="AP26" s="196"/>
      <c r="AQ26" s="196"/>
      <c r="AR26" s="196"/>
      <c r="AS26" s="196"/>
      <c r="AT26" s="196"/>
      <c r="AU26" s="197" t="str">
        <f>IFERROR(VLOOKUP(AT26,'Seguridad Información'!$I$61:$J$65,2,0),"")</f>
        <v/>
      </c>
      <c r="AV26" s="79"/>
      <c r="AW26" s="78" t="str">
        <f t="shared" si="1"/>
        <v/>
      </c>
      <c r="AX26" s="77" t="str">
        <f t="shared" si="2"/>
        <v/>
      </c>
      <c r="AY26" s="21" t="str">
        <f>IFERROR(VLOOKUP((CONCATENATE(AM26,AX26)),Listados!$U$3:$V$11,2,FALSE),"")</f>
        <v/>
      </c>
      <c r="AZ26" s="48">
        <f t="shared" si="10"/>
        <v>100</v>
      </c>
      <c r="BA26" s="431"/>
      <c r="BB26" s="433"/>
      <c r="BC26" s="169">
        <f>+IF(AND(W26="Preventivo",BB25="Fuerte"),2,IF(AND(W26="Preventivo",BB25="Moderado"),1,0))</f>
        <v>0</v>
      </c>
      <c r="BD26" s="64">
        <f>+IF(AND(W26="Detectivo/Correctivo",$BB25="Fuerte"),2,IF(AND(W26="Detectivo/Correctivo",$BB26="Moderado"),1,IF(AND(W26="Preventivo",$BB25="Fuerte"),1,0)))</f>
        <v>0</v>
      </c>
      <c r="BE26" s="169" t="e">
        <f>+N25-BC26</f>
        <v>#N/A</v>
      </c>
      <c r="BF26" s="169" t="e">
        <f>+P25-BD26</f>
        <v>#N/A</v>
      </c>
      <c r="BG26" s="422"/>
      <c r="BH26" s="422"/>
      <c r="BI26" s="422"/>
      <c r="BJ26" s="645"/>
      <c r="BK26" s="645"/>
      <c r="BL26" s="645"/>
      <c r="BM26" s="645"/>
    </row>
    <row r="27" spans="1:65" ht="65.099999999999994" customHeight="1" thickBot="1">
      <c r="A27" s="405"/>
      <c r="B27" s="625"/>
      <c r="C27" s="440"/>
      <c r="D27" s="152"/>
      <c r="E27" s="152"/>
      <c r="F27" s="475"/>
      <c r="G27" s="443"/>
      <c r="H27" s="100"/>
      <c r="I27" s="128"/>
      <c r="J27" s="100"/>
      <c r="K27" s="147"/>
      <c r="L27" s="129"/>
      <c r="M27" s="446"/>
      <c r="N27" s="425"/>
      <c r="O27" s="428"/>
      <c r="P27" s="425"/>
      <c r="Q27" s="429"/>
      <c r="R27" s="422"/>
      <c r="S27" s="194"/>
      <c r="T27" s="95"/>
      <c r="U27" s="47" t="s">
        <v>627</v>
      </c>
      <c r="V27" s="146"/>
      <c r="W27" s="172"/>
      <c r="X27" s="172"/>
      <c r="Y27" s="95" t="str">
        <f t="shared" si="3"/>
        <v/>
      </c>
      <c r="Z27" s="172"/>
      <c r="AA27" s="95" t="str">
        <f t="shared" si="4"/>
        <v/>
      </c>
      <c r="AB27" s="150"/>
      <c r="AC27" s="95" t="str">
        <f t="shared" si="5"/>
        <v/>
      </c>
      <c r="AD27" s="150"/>
      <c r="AE27" s="95" t="str">
        <f t="shared" si="6"/>
        <v/>
      </c>
      <c r="AF27" s="150"/>
      <c r="AG27" s="95" t="str">
        <f t="shared" si="7"/>
        <v/>
      </c>
      <c r="AH27" s="150"/>
      <c r="AI27" s="95" t="str">
        <f t="shared" si="8"/>
        <v/>
      </c>
      <c r="AJ27" s="150"/>
      <c r="AK27" s="27" t="str">
        <f t="shared" si="0"/>
        <v/>
      </c>
      <c r="AL27" s="48" t="str">
        <f t="shared" si="11"/>
        <v/>
      </c>
      <c r="AM27" s="48" t="str">
        <f t="shared" si="9"/>
        <v/>
      </c>
      <c r="AN27" s="196"/>
      <c r="AO27" s="196"/>
      <c r="AP27" s="196"/>
      <c r="AQ27" s="196"/>
      <c r="AR27" s="196"/>
      <c r="AS27" s="196"/>
      <c r="AT27" s="196"/>
      <c r="AU27" s="197" t="str">
        <f>IFERROR(VLOOKUP(AT27,'Seguridad Información'!$I$61:$J$65,2,0),"")</f>
        <v/>
      </c>
      <c r="AV27" s="79"/>
      <c r="AW27" s="78" t="str">
        <f t="shared" si="1"/>
        <v/>
      </c>
      <c r="AX27" s="77" t="str">
        <f t="shared" si="2"/>
        <v/>
      </c>
      <c r="AY27" s="21" t="str">
        <f>IFERROR(VLOOKUP((CONCATENATE(AM27,AX27)),Listados!$U$3:$V$11,2,FALSE),"")</f>
        <v/>
      </c>
      <c r="AZ27" s="48">
        <f t="shared" si="10"/>
        <v>100</v>
      </c>
      <c r="BA27" s="431"/>
      <c r="BB27" s="433"/>
      <c r="BC27" s="169">
        <f>+IF(AND(W27="Preventivo",BB25="Fuerte"),2,IF(AND(W27="Preventivo",BB25="Moderado"),1,0))</f>
        <v>0</v>
      </c>
      <c r="BD27" s="64">
        <f>+IF(AND(W27="Detectivo/Correctivo",$BB25="Fuerte"),2,IF(AND(W27="Detectivo/Correctivo",$BB27="Moderado"),1,IF(AND(W27="Preventivo",$BB25="Fuerte"),1,0)))</f>
        <v>0</v>
      </c>
      <c r="BE27" s="169" t="e">
        <f>+N25-BC27</f>
        <v>#N/A</v>
      </c>
      <c r="BF27" s="169" t="e">
        <f>+P25-BD27</f>
        <v>#N/A</v>
      </c>
      <c r="BG27" s="422"/>
      <c r="BH27" s="422"/>
      <c r="BI27" s="422"/>
      <c r="BJ27" s="645"/>
      <c r="BK27" s="645"/>
      <c r="BL27" s="645"/>
      <c r="BM27" s="645"/>
    </row>
    <row r="28" spans="1:65" ht="65.099999999999994" customHeight="1" thickBot="1">
      <c r="A28" s="405"/>
      <c r="B28" s="625"/>
      <c r="C28" s="440"/>
      <c r="D28" s="152"/>
      <c r="E28" s="152"/>
      <c r="F28" s="475"/>
      <c r="G28" s="443"/>
      <c r="H28" s="100"/>
      <c r="I28" s="128"/>
      <c r="J28" s="100"/>
      <c r="K28" s="147"/>
      <c r="L28" s="129"/>
      <c r="M28" s="446"/>
      <c r="N28" s="425"/>
      <c r="O28" s="428"/>
      <c r="P28" s="425"/>
      <c r="Q28" s="435"/>
      <c r="R28" s="422"/>
      <c r="S28" s="93"/>
      <c r="T28" s="93"/>
      <c r="U28" s="47" t="s">
        <v>627</v>
      </c>
      <c r="V28" s="146"/>
      <c r="W28" s="172"/>
      <c r="X28" s="172"/>
      <c r="Y28" s="95" t="str">
        <f t="shared" si="3"/>
        <v/>
      </c>
      <c r="Z28" s="172"/>
      <c r="AA28" s="95" t="str">
        <f t="shared" si="4"/>
        <v/>
      </c>
      <c r="AB28" s="150"/>
      <c r="AC28" s="95" t="str">
        <f t="shared" si="5"/>
        <v/>
      </c>
      <c r="AD28" s="150"/>
      <c r="AE28" s="95" t="str">
        <f t="shared" si="6"/>
        <v/>
      </c>
      <c r="AF28" s="150"/>
      <c r="AG28" s="95" t="str">
        <f t="shared" si="7"/>
        <v/>
      </c>
      <c r="AH28" s="150"/>
      <c r="AI28" s="95" t="str">
        <f t="shared" si="8"/>
        <v/>
      </c>
      <c r="AJ28" s="150"/>
      <c r="AK28" s="27" t="str">
        <f t="shared" si="0"/>
        <v/>
      </c>
      <c r="AL28" s="48" t="str">
        <f t="shared" si="11"/>
        <v/>
      </c>
      <c r="AM28" s="48" t="str">
        <f t="shared" si="9"/>
        <v/>
      </c>
      <c r="AN28" s="196"/>
      <c r="AO28" s="196"/>
      <c r="AP28" s="196"/>
      <c r="AQ28" s="196"/>
      <c r="AR28" s="196"/>
      <c r="AS28" s="196"/>
      <c r="AT28" s="196"/>
      <c r="AU28" s="197" t="str">
        <f>IFERROR(VLOOKUP(AT28,'Seguridad Información'!$I$61:$J$65,2,0),"")</f>
        <v/>
      </c>
      <c r="AV28" s="79"/>
      <c r="AW28" s="78" t="str">
        <f t="shared" si="1"/>
        <v/>
      </c>
      <c r="AX28" s="77" t="str">
        <f t="shared" si="2"/>
        <v/>
      </c>
      <c r="AY28" s="21" t="str">
        <f>IFERROR(VLOOKUP((CONCATENATE(AM28,AX28)),Listados!$U$3:$V$11,2,FALSE),"")</f>
        <v/>
      </c>
      <c r="AZ28" s="48">
        <f t="shared" si="10"/>
        <v>100</v>
      </c>
      <c r="BA28" s="431"/>
      <c r="BB28" s="433"/>
      <c r="BC28" s="169">
        <f>+IF(AND(W28="Preventivo",BB25="Fuerte"),2,IF(AND(W28="Preventivo",BB25="Moderado"),1,0))</f>
        <v>0</v>
      </c>
      <c r="BD28" s="64">
        <f>+IF(AND(W28="Detectivo/Correctivo",$BB25="Fuerte"),2,IF(AND(W28="Detectivo/Correctivo",$BB28="Moderado"),1,IF(AND(W28="Preventivo",$BB25="Fuerte"),1,0)))</f>
        <v>0</v>
      </c>
      <c r="BE28" s="169" t="e">
        <f>+N25-BC28</f>
        <v>#N/A</v>
      </c>
      <c r="BF28" s="169" t="e">
        <f>+P25-BD28</f>
        <v>#N/A</v>
      </c>
      <c r="BG28" s="422"/>
      <c r="BH28" s="422"/>
      <c r="BI28" s="422"/>
      <c r="BJ28" s="645"/>
      <c r="BK28" s="645"/>
      <c r="BL28" s="645"/>
      <c r="BM28" s="645"/>
    </row>
    <row r="29" spans="1:65" ht="65.099999999999994" customHeight="1" thickBot="1">
      <c r="A29" s="405"/>
      <c r="B29" s="625"/>
      <c r="C29" s="440"/>
      <c r="D29" s="109"/>
      <c r="E29" s="109"/>
      <c r="F29" s="475"/>
      <c r="G29" s="443"/>
      <c r="H29" s="100"/>
      <c r="I29" s="128"/>
      <c r="J29" s="100"/>
      <c r="K29" s="29"/>
      <c r="L29" s="129"/>
      <c r="M29" s="446"/>
      <c r="N29" s="425"/>
      <c r="O29" s="428"/>
      <c r="P29" s="425"/>
      <c r="Q29" s="429"/>
      <c r="R29" s="422"/>
      <c r="S29" s="108"/>
      <c r="T29" s="96"/>
      <c r="U29" s="47" t="s">
        <v>627</v>
      </c>
      <c r="V29" s="146"/>
      <c r="W29" s="172"/>
      <c r="X29" s="172"/>
      <c r="Y29" s="95" t="str">
        <f t="shared" si="3"/>
        <v/>
      </c>
      <c r="Z29" s="172"/>
      <c r="AA29" s="95" t="str">
        <f t="shared" si="4"/>
        <v/>
      </c>
      <c r="AB29" s="150"/>
      <c r="AC29" s="95" t="str">
        <f t="shared" si="5"/>
        <v/>
      </c>
      <c r="AD29" s="150"/>
      <c r="AE29" s="95" t="str">
        <f t="shared" si="6"/>
        <v/>
      </c>
      <c r="AF29" s="150"/>
      <c r="AG29" s="95" t="str">
        <f t="shared" si="7"/>
        <v/>
      </c>
      <c r="AH29" s="150"/>
      <c r="AI29" s="95" t="str">
        <f t="shared" si="8"/>
        <v/>
      </c>
      <c r="AJ29" s="150"/>
      <c r="AK29" s="27" t="str">
        <f t="shared" si="0"/>
        <v/>
      </c>
      <c r="AL29" s="48" t="str">
        <f t="shared" si="11"/>
        <v/>
      </c>
      <c r="AM29" s="48" t="str">
        <f t="shared" si="9"/>
        <v/>
      </c>
      <c r="AN29" s="196"/>
      <c r="AO29" s="196"/>
      <c r="AP29" s="196"/>
      <c r="AQ29" s="196"/>
      <c r="AR29" s="196"/>
      <c r="AS29" s="196"/>
      <c r="AT29" s="196"/>
      <c r="AU29" s="197" t="str">
        <f>IFERROR(VLOOKUP(AT29,'Seguridad Información'!$I$61:$J$65,2,0),"")</f>
        <v/>
      </c>
      <c r="AV29" s="79"/>
      <c r="AW29" s="78" t="str">
        <f t="shared" si="1"/>
        <v/>
      </c>
      <c r="AX29" s="77" t="str">
        <f t="shared" si="2"/>
        <v/>
      </c>
      <c r="AY29" s="21" t="str">
        <f>IFERROR(VLOOKUP((CONCATENATE(AM29,AX29)),Listados!$U$3:$V$11,2,FALSE),"")</f>
        <v/>
      </c>
      <c r="AZ29" s="48">
        <f t="shared" si="10"/>
        <v>100</v>
      </c>
      <c r="BA29" s="431"/>
      <c r="BB29" s="433"/>
      <c r="BC29" s="169">
        <f>+IF(AND(W29="Preventivo",BB25="Fuerte"),2,IF(AND(W29="Preventivo",BB25="Moderado"),1,0))</f>
        <v>0</v>
      </c>
      <c r="BD29" s="64">
        <f>+IF(AND(W29="Detectivo/Correctivo",$BB25="Fuerte"),2,IF(AND(W29="Detectivo/Correctivo",$BB29="Moderado"),1,IF(AND(W29="Preventivo",$BB25="Fuerte"),1,0)))</f>
        <v>0</v>
      </c>
      <c r="BE29" s="169" t="e">
        <f>+N25-BC29</f>
        <v>#N/A</v>
      </c>
      <c r="BF29" s="169" t="e">
        <f>+P25-BD29</f>
        <v>#N/A</v>
      </c>
      <c r="BG29" s="422"/>
      <c r="BH29" s="422"/>
      <c r="BI29" s="422"/>
      <c r="BJ29" s="645"/>
      <c r="BK29" s="645"/>
      <c r="BL29" s="645"/>
      <c r="BM29" s="645"/>
    </row>
    <row r="30" spans="1:65" ht="65.099999999999994" customHeight="1" thickBot="1">
      <c r="A30" s="406"/>
      <c r="B30" s="625"/>
      <c r="C30" s="441"/>
      <c r="D30" s="106"/>
      <c r="E30" s="106"/>
      <c r="F30" s="619"/>
      <c r="G30" s="444"/>
      <c r="H30" s="100"/>
      <c r="I30" s="128"/>
      <c r="J30" s="100"/>
      <c r="K30" s="31"/>
      <c r="L30" s="129"/>
      <c r="M30" s="525"/>
      <c r="N30" s="620"/>
      <c r="O30" s="623"/>
      <c r="P30" s="620"/>
      <c r="Q30" s="624"/>
      <c r="R30" s="423"/>
      <c r="S30" s="69"/>
      <c r="T30" s="98"/>
      <c r="U30" s="47" t="s">
        <v>627</v>
      </c>
      <c r="V30" s="67"/>
      <c r="W30" s="172"/>
      <c r="X30" s="172"/>
      <c r="Y30" s="95" t="str">
        <f t="shared" si="3"/>
        <v/>
      </c>
      <c r="Z30" s="172"/>
      <c r="AA30" s="95" t="str">
        <f t="shared" si="4"/>
        <v/>
      </c>
      <c r="AB30" s="150"/>
      <c r="AC30" s="95" t="str">
        <f t="shared" si="5"/>
        <v/>
      </c>
      <c r="AD30" s="150"/>
      <c r="AE30" s="95" t="str">
        <f t="shared" si="6"/>
        <v/>
      </c>
      <c r="AF30" s="150"/>
      <c r="AG30" s="95" t="str">
        <f t="shared" si="7"/>
        <v/>
      </c>
      <c r="AH30" s="150"/>
      <c r="AI30" s="95" t="str">
        <f t="shared" si="8"/>
        <v/>
      </c>
      <c r="AJ30" s="150"/>
      <c r="AK30" s="27" t="str">
        <f t="shared" si="0"/>
        <v/>
      </c>
      <c r="AL30" s="48" t="str">
        <f t="shared" si="11"/>
        <v/>
      </c>
      <c r="AM30" s="48" t="str">
        <f t="shared" si="9"/>
        <v/>
      </c>
      <c r="AN30" s="196"/>
      <c r="AO30" s="196"/>
      <c r="AP30" s="196"/>
      <c r="AQ30" s="196"/>
      <c r="AR30" s="196"/>
      <c r="AS30" s="196"/>
      <c r="AT30" s="196"/>
      <c r="AU30" s="197" t="str">
        <f>IFERROR(VLOOKUP(AT30,'Seguridad Información'!$I$61:$J$65,2,0),"")</f>
        <v/>
      </c>
      <c r="AV30" s="79"/>
      <c r="AW30" s="78" t="str">
        <f t="shared" si="1"/>
        <v/>
      </c>
      <c r="AX30" s="77" t="str">
        <f t="shared" si="2"/>
        <v/>
      </c>
      <c r="AY30" s="21" t="str">
        <f>IFERROR(VLOOKUP((CONCATENATE(AM30,AX30)),Listados!$U$3:$V$11,2,FALSE),"")</f>
        <v/>
      </c>
      <c r="AZ30" s="48">
        <f t="shared" si="10"/>
        <v>100</v>
      </c>
      <c r="BA30" s="432"/>
      <c r="BB30" s="433"/>
      <c r="BC30" s="169">
        <f>+IF(AND(W30="Preventivo",BB25="Fuerte"),2,IF(AND(W30="Preventivo",BB25="Moderado"),1,0))</f>
        <v>0</v>
      </c>
      <c r="BD30" s="64">
        <f>+IF(AND(W30="Detectivo/Correctivo",$BB25="Fuerte"),2,IF(AND(W30="Detectivo/Correctivo",$BB30="Moderado"),1,IF(AND(W30="Preventivo",$BB25="Fuerte"),1,0)))</f>
        <v>0</v>
      </c>
      <c r="BE30" s="169" t="e">
        <f>+N25-BC30</f>
        <v>#N/A</v>
      </c>
      <c r="BF30" s="169" t="e">
        <f>+P25-BD30</f>
        <v>#N/A</v>
      </c>
      <c r="BG30" s="423"/>
      <c r="BH30" s="423"/>
      <c r="BI30" s="423"/>
      <c r="BJ30" s="646"/>
      <c r="BK30" s="646"/>
      <c r="BL30" s="646"/>
      <c r="BM30" s="646"/>
    </row>
    <row r="31" spans="1:65" ht="65.099999999999994" customHeight="1" thickBot="1">
      <c r="A31" s="404">
        <v>5</v>
      </c>
      <c r="B31" s="628"/>
      <c r="C31" s="447" t="str">
        <f>IFERROR(VLOOKUP(B31,Listados!B$3:C$20,2,FALSE),"")</f>
        <v/>
      </c>
      <c r="D31" s="107"/>
      <c r="E31" s="107"/>
      <c r="F31" s="618"/>
      <c r="G31" s="448"/>
      <c r="H31" s="100"/>
      <c r="I31" s="128"/>
      <c r="J31" s="100"/>
      <c r="K31" s="103"/>
      <c r="L31" s="17"/>
      <c r="M31" s="445"/>
      <c r="N31" s="425" t="e">
        <f>+VLOOKUP(M31,Listados!$K$8:$L$12,2,0)</f>
        <v>#N/A</v>
      </c>
      <c r="O31" s="427"/>
      <c r="P31" s="425" t="e">
        <f>+VLOOKUP(O31,Listados!$K$13:$L$17,2,0)</f>
        <v>#N/A</v>
      </c>
      <c r="Q31" s="423" t="str">
        <f>IF(AND(M31&lt;&gt;"",O31&lt;&gt;""),VLOOKUP(M31&amp;O31,Listados!$M$3:$N$27,2,FALSE),"")</f>
        <v/>
      </c>
      <c r="R31" s="421" t="e">
        <f>+VLOOKUP(Q31,Listados!$P$3:$Q$6,2,FALSE)</f>
        <v>#N/A</v>
      </c>
      <c r="S31" s="108"/>
      <c r="T31" s="95"/>
      <c r="U31" s="47" t="s">
        <v>627</v>
      </c>
      <c r="V31" s="172"/>
      <c r="W31" s="172"/>
      <c r="X31" s="172"/>
      <c r="Y31" s="95" t="str">
        <f t="shared" si="3"/>
        <v/>
      </c>
      <c r="Z31" s="172"/>
      <c r="AA31" s="95" t="str">
        <f t="shared" si="4"/>
        <v/>
      </c>
      <c r="AB31" s="150"/>
      <c r="AC31" s="95" t="str">
        <f t="shared" si="5"/>
        <v/>
      </c>
      <c r="AD31" s="150"/>
      <c r="AE31" s="95" t="str">
        <f t="shared" si="6"/>
        <v/>
      </c>
      <c r="AF31" s="150"/>
      <c r="AG31" s="95" t="str">
        <f t="shared" si="7"/>
        <v/>
      </c>
      <c r="AH31" s="150"/>
      <c r="AI31" s="95" t="str">
        <f t="shared" si="8"/>
        <v/>
      </c>
      <c r="AJ31" s="150"/>
      <c r="AK31" s="27" t="str">
        <f t="shared" si="0"/>
        <v/>
      </c>
      <c r="AL31" s="48" t="str">
        <f t="shared" si="11"/>
        <v/>
      </c>
      <c r="AM31" s="48" t="str">
        <f t="shared" si="9"/>
        <v/>
      </c>
      <c r="AN31" s="196"/>
      <c r="AO31" s="196"/>
      <c r="AP31" s="196"/>
      <c r="AQ31" s="196"/>
      <c r="AR31" s="196"/>
      <c r="AS31" s="196"/>
      <c r="AT31" s="196"/>
      <c r="AU31" s="197" t="str">
        <f>IFERROR(VLOOKUP(AT31,'Seguridad Información'!$I$61:$J$65,2,0),"")</f>
        <v/>
      </c>
      <c r="AV31" s="79"/>
      <c r="AW31" s="78" t="str">
        <f t="shared" si="1"/>
        <v/>
      </c>
      <c r="AX31" s="77" t="str">
        <f t="shared" si="2"/>
        <v/>
      </c>
      <c r="AY31" s="21" t="str">
        <f>IFERROR(VLOOKUP((CONCATENATE(AM31,AX31)),Listados!$U$3:$V$11,2,FALSE),"")</f>
        <v/>
      </c>
      <c r="AZ31" s="48">
        <f t="shared" si="10"/>
        <v>100</v>
      </c>
      <c r="BA31" s="430">
        <f>AVERAGE(AZ31:AZ36)</f>
        <v>100</v>
      </c>
      <c r="BB31" s="432" t="str">
        <f>IF(BA31&lt;=50, "Débil", IF(BA31&lt;=99,"Moderado","Fuerte"))</f>
        <v>Fuerte</v>
      </c>
      <c r="BC31" s="169">
        <f>+IF(AND(W31="Preventivo",BB31="Fuerte"),2,IF(AND(W31="Preventivo",BB31="Moderado"),1,0))</f>
        <v>0</v>
      </c>
      <c r="BD31" s="64">
        <f>+IF(AND(W31="Detectivo/Correctivo",$BB31="Fuerte"),2,IF(AND(W31="Detectivo/Correctivo",$BB31="Moderado"),1,IF(AND(W31="Preventivo",$BB31="Fuerte"),1,0)))</f>
        <v>0</v>
      </c>
      <c r="BE31" s="169" t="e">
        <f>+N31-BC31</f>
        <v>#N/A</v>
      </c>
      <c r="BF31" s="169" t="e">
        <f>+P31-BD31</f>
        <v>#N/A</v>
      </c>
      <c r="BG31" s="421" t="e">
        <f>+VLOOKUP(MIN(BE31,BE32,BE33,BE34,BE35,BE36),Listados!$J$18:$K$24,2,TRUE)</f>
        <v>#N/A</v>
      </c>
      <c r="BH31" s="421" t="e">
        <f>+VLOOKUP(MIN(BF31,BF32,BF33,BF34,BF35,BF36),Listados!$J$26:$K$32,2,TRUE)</f>
        <v>#N/A</v>
      </c>
      <c r="BI31" s="421" t="e">
        <f>IF(AND(BG31&lt;&gt;"",BH31&lt;&gt;""),VLOOKUP(BG31&amp;BH31,Listados!$M$3:$N$27,2,FALSE),"")</f>
        <v>#N/A</v>
      </c>
      <c r="BJ31" s="644" t="e">
        <f>+IF($R31="Asumir el riesgo","NA","")</f>
        <v>#N/A</v>
      </c>
      <c r="BK31" s="644" t="e">
        <f>+IF($R31="Asumir el riesgo","NA","")</f>
        <v>#N/A</v>
      </c>
      <c r="BL31" s="644" t="e">
        <f>+IF($R31="Asumir el riesgo","NA","")</f>
        <v>#N/A</v>
      </c>
      <c r="BM31" s="644" t="e">
        <f>+IF($R31="Asumir el riesgo","NA","")</f>
        <v>#N/A</v>
      </c>
    </row>
    <row r="32" spans="1:65" ht="65.099999999999994" customHeight="1" thickBot="1">
      <c r="A32" s="405"/>
      <c r="B32" s="625"/>
      <c r="C32" s="440"/>
      <c r="D32" s="152"/>
      <c r="E32" s="152"/>
      <c r="F32" s="475"/>
      <c r="G32" s="443"/>
      <c r="H32" s="100"/>
      <c r="I32" s="128"/>
      <c r="J32" s="100"/>
      <c r="K32" s="147"/>
      <c r="L32" s="129"/>
      <c r="M32" s="446"/>
      <c r="N32" s="425"/>
      <c r="O32" s="428"/>
      <c r="P32" s="425"/>
      <c r="Q32" s="429"/>
      <c r="R32" s="422"/>
      <c r="S32" s="150"/>
      <c r="T32" s="198"/>
      <c r="U32" s="47" t="s">
        <v>627</v>
      </c>
      <c r="V32" s="172"/>
      <c r="W32" s="172"/>
      <c r="X32" s="172"/>
      <c r="Y32" s="95" t="str">
        <f t="shared" si="3"/>
        <v/>
      </c>
      <c r="Z32" s="172"/>
      <c r="AA32" s="95" t="str">
        <f t="shared" si="4"/>
        <v/>
      </c>
      <c r="AB32" s="150"/>
      <c r="AC32" s="95" t="str">
        <f t="shared" si="5"/>
        <v/>
      </c>
      <c r="AD32" s="150"/>
      <c r="AE32" s="95" t="str">
        <f t="shared" si="6"/>
        <v/>
      </c>
      <c r="AF32" s="150"/>
      <c r="AG32" s="95" t="str">
        <f t="shared" si="7"/>
        <v/>
      </c>
      <c r="AH32" s="150"/>
      <c r="AI32" s="95" t="str">
        <f t="shared" si="8"/>
        <v/>
      </c>
      <c r="AJ32" s="150"/>
      <c r="AK32" s="27" t="str">
        <f t="shared" si="0"/>
        <v/>
      </c>
      <c r="AL32" s="48" t="str">
        <f t="shared" si="11"/>
        <v/>
      </c>
      <c r="AM32" s="48" t="str">
        <f t="shared" si="9"/>
        <v/>
      </c>
      <c r="AN32" s="196"/>
      <c r="AO32" s="196"/>
      <c r="AP32" s="196"/>
      <c r="AQ32" s="196"/>
      <c r="AR32" s="196"/>
      <c r="AS32" s="196"/>
      <c r="AT32" s="196"/>
      <c r="AU32" s="197" t="str">
        <f>IFERROR(VLOOKUP(AT32,'Seguridad Información'!$I$61:$J$65,2,0),"")</f>
        <v/>
      </c>
      <c r="AV32" s="79"/>
      <c r="AW32" s="78" t="str">
        <f t="shared" si="1"/>
        <v/>
      </c>
      <c r="AX32" s="77" t="str">
        <f t="shared" si="2"/>
        <v/>
      </c>
      <c r="AY32" s="21" t="str">
        <f>IFERROR(VLOOKUP((CONCATENATE(AM32,AX32)),Listados!$U$3:$V$11,2,FALSE),"")</f>
        <v/>
      </c>
      <c r="AZ32" s="48">
        <f t="shared" si="10"/>
        <v>100</v>
      </c>
      <c r="BA32" s="431"/>
      <c r="BB32" s="433"/>
      <c r="BC32" s="169">
        <f>+IF(AND(W32="Preventivo",BB31="Fuerte"),2,IF(AND(W32="Preventivo",BB31="Moderado"),1,0))</f>
        <v>0</v>
      </c>
      <c r="BD32" s="64">
        <f>+IF(AND(W32="Detectivo/Correctivo",$BB31="Fuerte"),2,IF(AND(W32="Detectivo/Correctivo",$BB32="Moderado"),1,IF(AND(W32="Preventivo",$BB31="Fuerte"),1,0)))</f>
        <v>0</v>
      </c>
      <c r="BE32" s="169" t="e">
        <f>+N31-BC32</f>
        <v>#N/A</v>
      </c>
      <c r="BF32" s="169" t="e">
        <f>+P31-BD32</f>
        <v>#N/A</v>
      </c>
      <c r="BG32" s="422"/>
      <c r="BH32" s="422"/>
      <c r="BI32" s="422"/>
      <c r="BJ32" s="645"/>
      <c r="BK32" s="645"/>
      <c r="BL32" s="645"/>
      <c r="BM32" s="645"/>
    </row>
    <row r="33" spans="1:65" ht="65.099999999999994" customHeight="1" thickBot="1">
      <c r="A33" s="405"/>
      <c r="B33" s="625"/>
      <c r="C33" s="440"/>
      <c r="D33" s="152"/>
      <c r="E33" s="152"/>
      <c r="F33" s="475"/>
      <c r="G33" s="443"/>
      <c r="H33" s="100"/>
      <c r="I33" s="128"/>
      <c r="J33" s="100"/>
      <c r="K33" s="147"/>
      <c r="L33" s="129"/>
      <c r="M33" s="446"/>
      <c r="N33" s="425"/>
      <c r="O33" s="428"/>
      <c r="P33" s="425"/>
      <c r="Q33" s="429"/>
      <c r="R33" s="422"/>
      <c r="S33" s="150"/>
      <c r="T33" s="96"/>
      <c r="U33" s="47" t="s">
        <v>627</v>
      </c>
      <c r="V33" s="172"/>
      <c r="W33" s="172"/>
      <c r="X33" s="172"/>
      <c r="Y33" s="95" t="str">
        <f t="shared" si="3"/>
        <v/>
      </c>
      <c r="Z33" s="172"/>
      <c r="AA33" s="95" t="str">
        <f t="shared" si="4"/>
        <v/>
      </c>
      <c r="AB33" s="150"/>
      <c r="AC33" s="95" t="str">
        <f t="shared" si="5"/>
        <v/>
      </c>
      <c r="AD33" s="150"/>
      <c r="AE33" s="95" t="str">
        <f t="shared" si="6"/>
        <v/>
      </c>
      <c r="AF33" s="150"/>
      <c r="AG33" s="95" t="str">
        <f t="shared" si="7"/>
        <v/>
      </c>
      <c r="AH33" s="150"/>
      <c r="AI33" s="95" t="str">
        <f t="shared" si="8"/>
        <v/>
      </c>
      <c r="AJ33" s="150"/>
      <c r="AK33" s="27" t="str">
        <f t="shared" si="0"/>
        <v/>
      </c>
      <c r="AL33" s="48" t="str">
        <f t="shared" si="11"/>
        <v/>
      </c>
      <c r="AM33" s="48" t="str">
        <f t="shared" si="9"/>
        <v/>
      </c>
      <c r="AN33" s="196"/>
      <c r="AO33" s="196"/>
      <c r="AP33" s="196"/>
      <c r="AQ33" s="196"/>
      <c r="AR33" s="196"/>
      <c r="AS33" s="196"/>
      <c r="AT33" s="196"/>
      <c r="AU33" s="197" t="str">
        <f>IFERROR(VLOOKUP(AT33,'Seguridad Información'!$I$61:$J$65,2,0),"")</f>
        <v/>
      </c>
      <c r="AV33" s="79"/>
      <c r="AW33" s="78" t="str">
        <f t="shared" si="1"/>
        <v/>
      </c>
      <c r="AX33" s="77" t="str">
        <f t="shared" si="2"/>
        <v/>
      </c>
      <c r="AY33" s="21" t="str">
        <f>IFERROR(VLOOKUP((CONCATENATE(AM33,AX33)),Listados!$U$3:$V$11,2,FALSE),"")</f>
        <v/>
      </c>
      <c r="AZ33" s="48">
        <f t="shared" si="10"/>
        <v>100</v>
      </c>
      <c r="BA33" s="431"/>
      <c r="BB33" s="433"/>
      <c r="BC33" s="169">
        <f>+IF(AND(W33="Preventivo",BB31="Fuerte"),2,IF(AND(W33="Preventivo",BB31="Moderado"),1,0))</f>
        <v>0</v>
      </c>
      <c r="BD33" s="64">
        <f>+IF(AND(W33="Detectivo/Correctivo",$BB31="Fuerte"),2,IF(AND(W33="Detectivo/Correctivo",$BB33="Moderado"),1,IF(AND(W33="Preventivo",$BB31="Fuerte"),1,0)))</f>
        <v>0</v>
      </c>
      <c r="BE33" s="169" t="e">
        <f>+N31-BC33</f>
        <v>#N/A</v>
      </c>
      <c r="BF33" s="169" t="e">
        <f>+P31-BD33</f>
        <v>#N/A</v>
      </c>
      <c r="BG33" s="422"/>
      <c r="BH33" s="422"/>
      <c r="BI33" s="422"/>
      <c r="BJ33" s="645"/>
      <c r="BK33" s="645"/>
      <c r="BL33" s="645"/>
      <c r="BM33" s="645"/>
    </row>
    <row r="34" spans="1:65" ht="65.099999999999994" customHeight="1" thickBot="1">
      <c r="A34" s="405"/>
      <c r="B34" s="625"/>
      <c r="C34" s="440"/>
      <c r="D34" s="152"/>
      <c r="E34" s="152"/>
      <c r="F34" s="475"/>
      <c r="G34" s="443"/>
      <c r="H34" s="100"/>
      <c r="I34" s="128"/>
      <c r="J34" s="100"/>
      <c r="K34" s="147"/>
      <c r="L34" s="129"/>
      <c r="M34" s="446"/>
      <c r="N34" s="425"/>
      <c r="O34" s="428"/>
      <c r="P34" s="425"/>
      <c r="Q34" s="429"/>
      <c r="R34" s="422"/>
      <c r="S34" s="150"/>
      <c r="T34" s="97"/>
      <c r="U34" s="47" t="s">
        <v>627</v>
      </c>
      <c r="V34" s="172"/>
      <c r="W34" s="172"/>
      <c r="X34" s="172"/>
      <c r="Y34" s="95" t="str">
        <f t="shared" si="3"/>
        <v/>
      </c>
      <c r="Z34" s="172"/>
      <c r="AA34" s="95" t="str">
        <f t="shared" si="4"/>
        <v/>
      </c>
      <c r="AB34" s="150"/>
      <c r="AC34" s="95" t="str">
        <f t="shared" si="5"/>
        <v/>
      </c>
      <c r="AD34" s="150"/>
      <c r="AE34" s="95" t="str">
        <f t="shared" si="6"/>
        <v/>
      </c>
      <c r="AF34" s="150"/>
      <c r="AG34" s="95" t="str">
        <f t="shared" si="7"/>
        <v/>
      </c>
      <c r="AH34" s="150"/>
      <c r="AI34" s="95" t="str">
        <f t="shared" si="8"/>
        <v/>
      </c>
      <c r="AJ34" s="150"/>
      <c r="AK34" s="27" t="str">
        <f t="shared" si="0"/>
        <v/>
      </c>
      <c r="AL34" s="48" t="str">
        <f t="shared" si="11"/>
        <v/>
      </c>
      <c r="AM34" s="48" t="str">
        <f t="shared" si="9"/>
        <v/>
      </c>
      <c r="AN34" s="196"/>
      <c r="AO34" s="196"/>
      <c r="AP34" s="196"/>
      <c r="AQ34" s="196"/>
      <c r="AR34" s="196"/>
      <c r="AS34" s="196"/>
      <c r="AT34" s="196"/>
      <c r="AU34" s="197" t="str">
        <f>IFERROR(VLOOKUP(AT34,'Seguridad Información'!$I$61:$J$65,2,0),"")</f>
        <v/>
      </c>
      <c r="AV34" s="79"/>
      <c r="AW34" s="78" t="str">
        <f t="shared" si="1"/>
        <v/>
      </c>
      <c r="AX34" s="77" t="str">
        <f t="shared" si="2"/>
        <v/>
      </c>
      <c r="AY34" s="21" t="str">
        <f>IFERROR(VLOOKUP((CONCATENATE(AM34,AX34)),Listados!$U$3:$V$11,2,FALSE),"")</f>
        <v/>
      </c>
      <c r="AZ34" s="48">
        <f t="shared" si="10"/>
        <v>100</v>
      </c>
      <c r="BA34" s="431"/>
      <c r="BB34" s="433"/>
      <c r="BC34" s="169">
        <f>+IF(AND(W34="Preventivo",BB31="Fuerte"),2,IF(AND(W34="Preventivo",BB31="Moderado"),1,0))</f>
        <v>0</v>
      </c>
      <c r="BD34" s="64">
        <f>+IF(AND(W34="Detectivo/Correctivo",$BB31="Fuerte"),2,IF(AND(W34="Detectivo/Correctivo",$BB34="Moderado"),1,IF(AND(W34="Preventivo",$BB31="Fuerte"),1,0)))</f>
        <v>0</v>
      </c>
      <c r="BE34" s="169" t="e">
        <f>+N31-BC34</f>
        <v>#N/A</v>
      </c>
      <c r="BF34" s="169" t="e">
        <f>+P31-BD34</f>
        <v>#N/A</v>
      </c>
      <c r="BG34" s="422"/>
      <c r="BH34" s="422"/>
      <c r="BI34" s="422"/>
      <c r="BJ34" s="645"/>
      <c r="BK34" s="645"/>
      <c r="BL34" s="645"/>
      <c r="BM34" s="645"/>
    </row>
    <row r="35" spans="1:65" ht="65.099999999999994" customHeight="1" thickBot="1">
      <c r="A35" s="405"/>
      <c r="B35" s="625"/>
      <c r="C35" s="440"/>
      <c r="D35" s="109"/>
      <c r="E35" s="109"/>
      <c r="F35" s="475"/>
      <c r="G35" s="443"/>
      <c r="H35" s="100"/>
      <c r="I35" s="128"/>
      <c r="J35" s="100"/>
      <c r="K35" s="29"/>
      <c r="L35" s="129"/>
      <c r="M35" s="446"/>
      <c r="N35" s="425"/>
      <c r="O35" s="428"/>
      <c r="P35" s="425"/>
      <c r="Q35" s="429"/>
      <c r="R35" s="422"/>
      <c r="S35" s="150"/>
      <c r="T35" s="198"/>
      <c r="U35" s="47" t="s">
        <v>627</v>
      </c>
      <c r="V35" s="172"/>
      <c r="W35" s="172"/>
      <c r="X35" s="172"/>
      <c r="Y35" s="95" t="str">
        <f t="shared" si="3"/>
        <v/>
      </c>
      <c r="Z35" s="172"/>
      <c r="AA35" s="95" t="str">
        <f t="shared" si="4"/>
        <v/>
      </c>
      <c r="AB35" s="150"/>
      <c r="AC35" s="95" t="str">
        <f t="shared" si="5"/>
        <v/>
      </c>
      <c r="AD35" s="150"/>
      <c r="AE35" s="95" t="str">
        <f t="shared" si="6"/>
        <v/>
      </c>
      <c r="AF35" s="150"/>
      <c r="AG35" s="95" t="str">
        <f t="shared" si="7"/>
        <v/>
      </c>
      <c r="AH35" s="150"/>
      <c r="AI35" s="95" t="str">
        <f t="shared" si="8"/>
        <v/>
      </c>
      <c r="AJ35" s="150"/>
      <c r="AK35" s="27" t="str">
        <f t="shared" si="0"/>
        <v/>
      </c>
      <c r="AL35" s="48" t="str">
        <f t="shared" si="11"/>
        <v/>
      </c>
      <c r="AM35" s="48" t="str">
        <f t="shared" si="9"/>
        <v/>
      </c>
      <c r="AN35" s="196"/>
      <c r="AO35" s="196"/>
      <c r="AP35" s="196"/>
      <c r="AQ35" s="196"/>
      <c r="AR35" s="196"/>
      <c r="AS35" s="196"/>
      <c r="AT35" s="196"/>
      <c r="AU35" s="197" t="str">
        <f>IFERROR(VLOOKUP(AT35,'Seguridad Información'!$I$61:$J$65,2,0),"")</f>
        <v/>
      </c>
      <c r="AV35" s="79"/>
      <c r="AW35" s="78" t="str">
        <f t="shared" si="1"/>
        <v/>
      </c>
      <c r="AX35" s="77" t="str">
        <f t="shared" si="2"/>
        <v/>
      </c>
      <c r="AY35" s="21" t="str">
        <f>IFERROR(VLOOKUP((CONCATENATE(AM35,AX35)),Listados!$U$3:$V$11,2,FALSE),"")</f>
        <v/>
      </c>
      <c r="AZ35" s="48">
        <f t="shared" si="10"/>
        <v>100</v>
      </c>
      <c r="BA35" s="431"/>
      <c r="BB35" s="433"/>
      <c r="BC35" s="169">
        <f>+IF(AND(W35="Preventivo",BB31="Fuerte"),2,IF(AND(W35="Preventivo",BB31="Moderado"),1,0))</f>
        <v>0</v>
      </c>
      <c r="BD35" s="64">
        <f>+IF(AND(W35="Detectivo/Correctivo",$BB31="Fuerte"),2,IF(AND(W35="Detectivo/Correctivo",$BB35="Moderado"),1,IF(AND(W35="Preventivo",$BB31="Fuerte"),1,0)))</f>
        <v>0</v>
      </c>
      <c r="BE35" s="169" t="e">
        <f>+N31-BC35</f>
        <v>#N/A</v>
      </c>
      <c r="BF35" s="169" t="e">
        <f>+P31-BD35</f>
        <v>#N/A</v>
      </c>
      <c r="BG35" s="422"/>
      <c r="BH35" s="422"/>
      <c r="BI35" s="422"/>
      <c r="BJ35" s="645"/>
      <c r="BK35" s="645"/>
      <c r="BL35" s="645"/>
      <c r="BM35" s="645"/>
    </row>
    <row r="36" spans="1:65" ht="65.099999999999994" customHeight="1" thickBot="1">
      <c r="A36" s="406"/>
      <c r="B36" s="625"/>
      <c r="C36" s="441"/>
      <c r="D36" s="106"/>
      <c r="E36" s="106"/>
      <c r="F36" s="619"/>
      <c r="G36" s="444"/>
      <c r="H36" s="100"/>
      <c r="I36" s="128"/>
      <c r="J36" s="100"/>
      <c r="K36" s="31"/>
      <c r="L36" s="129"/>
      <c r="M36" s="446"/>
      <c r="N36" s="426"/>
      <c r="O36" s="428"/>
      <c r="P36" s="426"/>
      <c r="Q36" s="429"/>
      <c r="R36" s="423"/>
      <c r="S36" s="150"/>
      <c r="T36" s="98"/>
      <c r="U36" s="47" t="s">
        <v>627</v>
      </c>
      <c r="V36" s="172"/>
      <c r="W36" s="172"/>
      <c r="X36" s="172"/>
      <c r="Y36" s="95" t="str">
        <f t="shared" si="3"/>
        <v/>
      </c>
      <c r="Z36" s="172"/>
      <c r="AA36" s="95" t="str">
        <f t="shared" si="4"/>
        <v/>
      </c>
      <c r="AB36" s="150"/>
      <c r="AC36" s="95" t="str">
        <f t="shared" si="5"/>
        <v/>
      </c>
      <c r="AD36" s="150"/>
      <c r="AE36" s="95" t="str">
        <f t="shared" si="6"/>
        <v/>
      </c>
      <c r="AF36" s="150"/>
      <c r="AG36" s="95" t="str">
        <f t="shared" si="7"/>
        <v/>
      </c>
      <c r="AH36" s="150"/>
      <c r="AI36" s="95" t="str">
        <f t="shared" si="8"/>
        <v/>
      </c>
      <c r="AJ36" s="150"/>
      <c r="AK36" s="27" t="str">
        <f t="shared" si="0"/>
        <v/>
      </c>
      <c r="AL36" s="48" t="str">
        <f t="shared" si="11"/>
        <v/>
      </c>
      <c r="AM36" s="48" t="str">
        <f t="shared" si="9"/>
        <v/>
      </c>
      <c r="AN36" s="196"/>
      <c r="AO36" s="196"/>
      <c r="AP36" s="196"/>
      <c r="AQ36" s="196"/>
      <c r="AR36" s="196"/>
      <c r="AS36" s="196"/>
      <c r="AT36" s="196"/>
      <c r="AU36" s="197" t="str">
        <f>IFERROR(VLOOKUP(AT36,'Seguridad Información'!$I$61:$J$65,2,0),"")</f>
        <v/>
      </c>
      <c r="AV36" s="79"/>
      <c r="AW36" s="78" t="str">
        <f t="shared" si="1"/>
        <v/>
      </c>
      <c r="AX36" s="77" t="str">
        <f t="shared" si="2"/>
        <v/>
      </c>
      <c r="AY36" s="21" t="str">
        <f>IFERROR(VLOOKUP((CONCATENATE(AM36,AX36)),Listados!$U$3:$V$11,2,FALSE),"")</f>
        <v/>
      </c>
      <c r="AZ36" s="48">
        <f t="shared" si="10"/>
        <v>100</v>
      </c>
      <c r="BA36" s="432"/>
      <c r="BB36" s="433"/>
      <c r="BC36" s="169">
        <f>+IF(AND(W36="Preventivo",BB31="Fuerte"),2,IF(AND(W36="Preventivo",BB31="Moderado"),1,0))</f>
        <v>0</v>
      </c>
      <c r="BD36" s="64">
        <f>+IF(AND(W36="Detectivo/Correctivo",$BB31="Fuerte"),2,IF(AND(W36="Detectivo/Correctivo",$BB36="Moderado"),1,IF(AND(W36="Preventivo",$BB31="Fuerte"),1,0)))</f>
        <v>0</v>
      </c>
      <c r="BE36" s="169" t="e">
        <f>+N31-BC36</f>
        <v>#N/A</v>
      </c>
      <c r="BF36" s="169" t="e">
        <f>+P31-BD36</f>
        <v>#N/A</v>
      </c>
      <c r="BG36" s="423"/>
      <c r="BH36" s="423"/>
      <c r="BI36" s="423"/>
      <c r="BJ36" s="646"/>
      <c r="BK36" s="646"/>
      <c r="BL36" s="646"/>
      <c r="BM36" s="646"/>
    </row>
    <row r="37" spans="1:65" ht="65.099999999999994" customHeight="1" thickBot="1">
      <c r="A37" s="404">
        <v>6</v>
      </c>
      <c r="B37" s="628"/>
      <c r="C37" s="447" t="str">
        <f>IFERROR(VLOOKUP(B37,Listados!B$3:C$20,2,FALSE),"")</f>
        <v/>
      </c>
      <c r="D37" s="107"/>
      <c r="E37" s="107"/>
      <c r="F37" s="618"/>
      <c r="G37" s="448"/>
      <c r="H37" s="100"/>
      <c r="I37" s="128"/>
      <c r="J37" s="100"/>
      <c r="K37" s="103"/>
      <c r="L37" s="17"/>
      <c r="M37" s="445"/>
      <c r="N37" s="424" t="e">
        <f>+VLOOKUP(M37,Listados!$K$8:$L$12,2,0)</f>
        <v>#N/A</v>
      </c>
      <c r="O37" s="427"/>
      <c r="P37" s="424" t="e">
        <f>+VLOOKUP(O37,Listados!$K$13:$L$17,2,0)</f>
        <v>#N/A</v>
      </c>
      <c r="Q37" s="423" t="str">
        <f>IF(AND(M37&lt;&gt;"",O37&lt;&gt;""),VLOOKUP(M37&amp;O37,Listados!$M$3:$N$27,2,FALSE),"")</f>
        <v/>
      </c>
      <c r="R37" s="421" t="e">
        <f>+VLOOKUP(Q37,Listados!$P$3:$Q$6,2,FALSE)</f>
        <v>#N/A</v>
      </c>
      <c r="S37" s="150"/>
      <c r="T37" s="94"/>
      <c r="U37" s="47" t="s">
        <v>627</v>
      </c>
      <c r="V37" s="172"/>
      <c r="W37" s="172"/>
      <c r="X37" s="172"/>
      <c r="Y37" s="95" t="str">
        <f t="shared" si="3"/>
        <v/>
      </c>
      <c r="Z37" s="172"/>
      <c r="AA37" s="95" t="str">
        <f t="shared" si="4"/>
        <v/>
      </c>
      <c r="AB37" s="150"/>
      <c r="AC37" s="95" t="str">
        <f t="shared" si="5"/>
        <v/>
      </c>
      <c r="AD37" s="150"/>
      <c r="AE37" s="95" t="str">
        <f t="shared" si="6"/>
        <v/>
      </c>
      <c r="AF37" s="150"/>
      <c r="AG37" s="95" t="str">
        <f t="shared" si="7"/>
        <v/>
      </c>
      <c r="AH37" s="150"/>
      <c r="AI37" s="95" t="str">
        <f t="shared" si="8"/>
        <v/>
      </c>
      <c r="AJ37" s="150"/>
      <c r="AK37" s="27" t="str">
        <f t="shared" si="0"/>
        <v/>
      </c>
      <c r="AL37" s="48" t="str">
        <f t="shared" si="11"/>
        <v/>
      </c>
      <c r="AM37" s="48" t="str">
        <f t="shared" si="9"/>
        <v/>
      </c>
      <c r="AN37" s="196"/>
      <c r="AO37" s="196"/>
      <c r="AP37" s="196"/>
      <c r="AQ37" s="196"/>
      <c r="AR37" s="196"/>
      <c r="AS37" s="196"/>
      <c r="AT37" s="196"/>
      <c r="AU37" s="197" t="str">
        <f>IFERROR(VLOOKUP(AT37,'Seguridad Información'!$I$61:$J$65,2,0),"")</f>
        <v/>
      </c>
      <c r="AV37" s="79"/>
      <c r="AW37" s="78" t="str">
        <f t="shared" si="1"/>
        <v/>
      </c>
      <c r="AX37" s="77" t="str">
        <f t="shared" si="2"/>
        <v/>
      </c>
      <c r="AY37" s="21" t="str">
        <f>IFERROR(VLOOKUP((CONCATENATE(AM37,AX37)),Listados!$U$3:$V$11,2,FALSE),"")</f>
        <v/>
      </c>
      <c r="AZ37" s="48">
        <f t="shared" si="10"/>
        <v>100</v>
      </c>
      <c r="BA37" s="430">
        <f>AVERAGE(AZ37:AZ42)</f>
        <v>100</v>
      </c>
      <c r="BB37" s="432" t="str">
        <f>IF(BA37&lt;=50, "Débil", IF(BA37&lt;=99,"Moderado","Fuerte"))</f>
        <v>Fuerte</v>
      </c>
      <c r="BC37" s="169">
        <f>+IF(AND(W37="Preventivo",BB37="Fuerte"),2,IF(AND(W37="Preventivo",BB37="Moderado"),1,0))</f>
        <v>0</v>
      </c>
      <c r="BD37" s="64">
        <f>+IF(AND(W37="Detectivo/Correctivo",$BB37="Fuerte"),2,IF(AND(W37="Detectivo/Correctivo",$BB37="Moderado"),1,IF(AND(W37="Preventivo",$BB37="Fuerte"),1,0)))</f>
        <v>0</v>
      </c>
      <c r="BE37" s="169" t="e">
        <f>+N37-BC37</f>
        <v>#N/A</v>
      </c>
      <c r="BF37" s="169" t="e">
        <f>+P37-BD37</f>
        <v>#N/A</v>
      </c>
      <c r="BG37" s="421" t="e">
        <f>+VLOOKUP(MIN(BE37,BE38,BE39,BE40,BE41,BE42),Listados!$J$18:$K$24,2,TRUE)</f>
        <v>#N/A</v>
      </c>
      <c r="BH37" s="421" t="e">
        <f>+VLOOKUP(MIN(BF37,BF38,BF39,BF40,BF41,BF42),Listados!$J$26:$K$32,2,TRUE)</f>
        <v>#N/A</v>
      </c>
      <c r="BI37" s="421" t="e">
        <f>IF(AND(BG37&lt;&gt;"",BH37&lt;&gt;""),VLOOKUP(BG37&amp;BH37,Listados!$M$3:$N$27,2,FALSE),"")</f>
        <v>#N/A</v>
      </c>
      <c r="BJ37" s="644" t="e">
        <f>+IF($R37="Asumir el riesgo","NA","")</f>
        <v>#N/A</v>
      </c>
      <c r="BK37" s="644" t="e">
        <f>+IF($R37="Asumir el riesgo","NA","")</f>
        <v>#N/A</v>
      </c>
      <c r="BL37" s="644" t="e">
        <f>+IF($R37="Asumir el riesgo","NA","")</f>
        <v>#N/A</v>
      </c>
      <c r="BM37" s="644" t="e">
        <f>+IF($R37="Asumir el riesgo","NA","")</f>
        <v>#N/A</v>
      </c>
    </row>
    <row r="38" spans="1:65" ht="65.099999999999994" customHeight="1" thickBot="1">
      <c r="A38" s="405"/>
      <c r="B38" s="625"/>
      <c r="C38" s="440"/>
      <c r="D38" s="152"/>
      <c r="E38" s="152"/>
      <c r="F38" s="475"/>
      <c r="G38" s="443"/>
      <c r="H38" s="100"/>
      <c r="I38" s="128"/>
      <c r="J38" s="100"/>
      <c r="K38" s="147"/>
      <c r="L38" s="129"/>
      <c r="M38" s="446"/>
      <c r="N38" s="425"/>
      <c r="O38" s="428"/>
      <c r="P38" s="425"/>
      <c r="Q38" s="429"/>
      <c r="R38" s="422"/>
      <c r="S38" s="150"/>
      <c r="T38" s="198"/>
      <c r="U38" s="47" t="s">
        <v>627</v>
      </c>
      <c r="V38" s="172"/>
      <c r="W38" s="172"/>
      <c r="X38" s="172"/>
      <c r="Y38" s="95" t="str">
        <f t="shared" si="3"/>
        <v/>
      </c>
      <c r="Z38" s="172"/>
      <c r="AA38" s="95" t="str">
        <f t="shared" si="4"/>
        <v/>
      </c>
      <c r="AB38" s="150"/>
      <c r="AC38" s="95" t="str">
        <f t="shared" si="5"/>
        <v/>
      </c>
      <c r="AD38" s="150"/>
      <c r="AE38" s="95" t="str">
        <f t="shared" si="6"/>
        <v/>
      </c>
      <c r="AF38" s="150"/>
      <c r="AG38" s="95" t="str">
        <f t="shared" si="7"/>
        <v/>
      </c>
      <c r="AH38" s="150"/>
      <c r="AI38" s="95" t="str">
        <f t="shared" si="8"/>
        <v/>
      </c>
      <c r="AJ38" s="150"/>
      <c r="AK38" s="27" t="str">
        <f t="shared" si="0"/>
        <v/>
      </c>
      <c r="AL38" s="48" t="str">
        <f t="shared" si="11"/>
        <v/>
      </c>
      <c r="AM38" s="48" t="str">
        <f t="shared" si="9"/>
        <v/>
      </c>
      <c r="AN38" s="196"/>
      <c r="AO38" s="196"/>
      <c r="AP38" s="196"/>
      <c r="AQ38" s="196"/>
      <c r="AR38" s="196"/>
      <c r="AS38" s="196"/>
      <c r="AT38" s="196"/>
      <c r="AU38" s="197" t="str">
        <f>IFERROR(VLOOKUP(AT38,'Seguridad Información'!$I$61:$J$65,2,0),"")</f>
        <v/>
      </c>
      <c r="AV38" s="79"/>
      <c r="AW38" s="78" t="str">
        <f t="shared" si="1"/>
        <v/>
      </c>
      <c r="AX38" s="77" t="str">
        <f t="shared" si="2"/>
        <v/>
      </c>
      <c r="AY38" s="21" t="str">
        <f>IFERROR(VLOOKUP((CONCATENATE(AM38,AX38)),Listados!$U$3:$V$11,2,FALSE),"")</f>
        <v/>
      </c>
      <c r="AZ38" s="48">
        <f t="shared" si="10"/>
        <v>100</v>
      </c>
      <c r="BA38" s="431"/>
      <c r="BB38" s="433"/>
      <c r="BC38" s="169">
        <f>+IF(AND(W38="Preventivo",BB37="Fuerte"),2,IF(AND(W38="Preventivo",BB37="Moderado"),1,0))</f>
        <v>0</v>
      </c>
      <c r="BD38" s="64">
        <f>+IF(AND(W38="Detectivo/Correctivo",$BB37="Fuerte"),2,IF(AND(W38="Detectivo/Correctivo",$BB38="Moderado"),1,IF(AND(W38="Preventivo",$BB37="Fuerte"),1,0)))</f>
        <v>0</v>
      </c>
      <c r="BE38" s="169" t="e">
        <f>+N37-BC38</f>
        <v>#N/A</v>
      </c>
      <c r="BF38" s="169" t="e">
        <f>+P37-BD38</f>
        <v>#N/A</v>
      </c>
      <c r="BG38" s="422"/>
      <c r="BH38" s="422"/>
      <c r="BI38" s="422"/>
      <c r="BJ38" s="645"/>
      <c r="BK38" s="645"/>
      <c r="BL38" s="645"/>
      <c r="BM38" s="645"/>
    </row>
    <row r="39" spans="1:65" ht="65.099999999999994" customHeight="1" thickBot="1">
      <c r="A39" s="405"/>
      <c r="B39" s="625"/>
      <c r="C39" s="440"/>
      <c r="D39" s="152"/>
      <c r="E39" s="152"/>
      <c r="F39" s="475"/>
      <c r="G39" s="443"/>
      <c r="H39" s="100"/>
      <c r="I39" s="128"/>
      <c r="J39" s="100"/>
      <c r="K39" s="147"/>
      <c r="L39" s="129"/>
      <c r="M39" s="446"/>
      <c r="N39" s="425"/>
      <c r="O39" s="428"/>
      <c r="P39" s="425"/>
      <c r="Q39" s="429"/>
      <c r="R39" s="422"/>
      <c r="S39" s="150"/>
      <c r="T39" s="96"/>
      <c r="U39" s="47" t="s">
        <v>627</v>
      </c>
      <c r="V39" s="172"/>
      <c r="W39" s="172"/>
      <c r="X39" s="172"/>
      <c r="Y39" s="95" t="str">
        <f t="shared" si="3"/>
        <v/>
      </c>
      <c r="Z39" s="172"/>
      <c r="AA39" s="95" t="str">
        <f t="shared" si="4"/>
        <v/>
      </c>
      <c r="AB39" s="150"/>
      <c r="AC39" s="95" t="str">
        <f t="shared" si="5"/>
        <v/>
      </c>
      <c r="AD39" s="150"/>
      <c r="AE39" s="95" t="str">
        <f t="shared" si="6"/>
        <v/>
      </c>
      <c r="AF39" s="150"/>
      <c r="AG39" s="95" t="str">
        <f t="shared" si="7"/>
        <v/>
      </c>
      <c r="AH39" s="150"/>
      <c r="AI39" s="95" t="str">
        <f t="shared" si="8"/>
        <v/>
      </c>
      <c r="AJ39" s="150"/>
      <c r="AK39" s="27" t="str">
        <f t="shared" si="0"/>
        <v/>
      </c>
      <c r="AL39" s="48" t="str">
        <f t="shared" si="11"/>
        <v/>
      </c>
      <c r="AM39" s="48" t="str">
        <f t="shared" si="9"/>
        <v/>
      </c>
      <c r="AN39" s="196"/>
      <c r="AO39" s="196"/>
      <c r="AP39" s="196"/>
      <c r="AQ39" s="196"/>
      <c r="AR39" s="196"/>
      <c r="AS39" s="196"/>
      <c r="AT39" s="196"/>
      <c r="AU39" s="197" t="str">
        <f>IFERROR(VLOOKUP(AT39,'Seguridad Información'!$I$61:$J$65,2,0),"")</f>
        <v/>
      </c>
      <c r="AV39" s="79"/>
      <c r="AW39" s="78" t="str">
        <f t="shared" si="1"/>
        <v/>
      </c>
      <c r="AX39" s="77" t="str">
        <f t="shared" si="2"/>
        <v/>
      </c>
      <c r="AY39" s="21" t="str">
        <f>IFERROR(VLOOKUP((CONCATENATE(AM39,AX39)),Listados!$U$3:$V$11,2,FALSE),"")</f>
        <v/>
      </c>
      <c r="AZ39" s="48">
        <f t="shared" si="10"/>
        <v>100</v>
      </c>
      <c r="BA39" s="431"/>
      <c r="BB39" s="433"/>
      <c r="BC39" s="169">
        <f>+IF(AND(W39="Preventivo",BB37="Fuerte"),2,IF(AND(W39="Preventivo",BB37="Moderado"),1,0))</f>
        <v>0</v>
      </c>
      <c r="BD39" s="64">
        <f>+IF(AND(W39="Detectivo/Correctivo",$BB37="Fuerte"),2,IF(AND(W39="Detectivo/Correctivo",$BB39="Moderado"),1,IF(AND(W39="Preventivo",$BB37="Fuerte"),1,0)))</f>
        <v>0</v>
      </c>
      <c r="BE39" s="169" t="e">
        <f>+N37-BC39</f>
        <v>#N/A</v>
      </c>
      <c r="BF39" s="169" t="e">
        <f>+P37-BD39</f>
        <v>#N/A</v>
      </c>
      <c r="BG39" s="422"/>
      <c r="BH39" s="422"/>
      <c r="BI39" s="422"/>
      <c r="BJ39" s="645"/>
      <c r="BK39" s="645"/>
      <c r="BL39" s="645"/>
      <c r="BM39" s="645"/>
    </row>
    <row r="40" spans="1:65" ht="65.099999999999994" customHeight="1" thickBot="1">
      <c r="A40" s="405"/>
      <c r="B40" s="625"/>
      <c r="C40" s="440"/>
      <c r="D40" s="152"/>
      <c r="E40" s="152"/>
      <c r="F40" s="475"/>
      <c r="G40" s="443"/>
      <c r="H40" s="100"/>
      <c r="I40" s="128"/>
      <c r="J40" s="100"/>
      <c r="K40" s="147"/>
      <c r="L40" s="129"/>
      <c r="M40" s="446"/>
      <c r="N40" s="425"/>
      <c r="O40" s="428"/>
      <c r="P40" s="425"/>
      <c r="Q40" s="429"/>
      <c r="R40" s="422"/>
      <c r="S40" s="150"/>
      <c r="T40" s="97"/>
      <c r="U40" s="47" t="s">
        <v>627</v>
      </c>
      <c r="V40" s="172"/>
      <c r="W40" s="172"/>
      <c r="X40" s="172"/>
      <c r="Y40" s="95" t="str">
        <f t="shared" si="3"/>
        <v/>
      </c>
      <c r="Z40" s="172"/>
      <c r="AA40" s="95" t="str">
        <f t="shared" si="4"/>
        <v/>
      </c>
      <c r="AB40" s="150"/>
      <c r="AC40" s="95" t="str">
        <f t="shared" si="5"/>
        <v/>
      </c>
      <c r="AD40" s="150"/>
      <c r="AE40" s="95" t="str">
        <f t="shared" si="6"/>
        <v/>
      </c>
      <c r="AF40" s="150"/>
      <c r="AG40" s="95" t="str">
        <f t="shared" si="7"/>
        <v/>
      </c>
      <c r="AH40" s="150"/>
      <c r="AI40" s="95" t="str">
        <f t="shared" si="8"/>
        <v/>
      </c>
      <c r="AJ40" s="150"/>
      <c r="AK40" s="27" t="str">
        <f t="shared" si="0"/>
        <v/>
      </c>
      <c r="AL40" s="48" t="str">
        <f t="shared" si="11"/>
        <v/>
      </c>
      <c r="AM40" s="48" t="str">
        <f t="shared" si="9"/>
        <v/>
      </c>
      <c r="AN40" s="196"/>
      <c r="AO40" s="196"/>
      <c r="AP40" s="196"/>
      <c r="AQ40" s="196"/>
      <c r="AR40" s="196"/>
      <c r="AS40" s="196"/>
      <c r="AT40" s="196"/>
      <c r="AU40" s="197" t="str">
        <f>IFERROR(VLOOKUP(AT40,'Seguridad Información'!$I$61:$J$65,2,0),"")</f>
        <v/>
      </c>
      <c r="AV40" s="79"/>
      <c r="AW40" s="78" t="str">
        <f t="shared" si="1"/>
        <v/>
      </c>
      <c r="AX40" s="77" t="str">
        <f t="shared" si="2"/>
        <v/>
      </c>
      <c r="AY40" s="21" t="str">
        <f>IFERROR(VLOOKUP((CONCATENATE(AM40,AX40)),Listados!$U$3:$V$11,2,FALSE),"")</f>
        <v/>
      </c>
      <c r="AZ40" s="48">
        <f t="shared" si="10"/>
        <v>100</v>
      </c>
      <c r="BA40" s="431"/>
      <c r="BB40" s="433"/>
      <c r="BC40" s="169">
        <f>+IF(AND(W40="Preventivo",BB37="Fuerte"),2,IF(AND(W40="Preventivo",BB37="Moderado"),1,0))</f>
        <v>0</v>
      </c>
      <c r="BD40" s="64">
        <f>+IF(AND(W40="Detectivo/Correctivo",$BB37="Fuerte"),2,IF(AND(W40="Detectivo/Correctivo",$BB40="Moderado"),1,IF(AND(W40="Preventivo",$BB37="Fuerte"),1,0)))</f>
        <v>0</v>
      </c>
      <c r="BE40" s="169" t="e">
        <f>+N37-BC40</f>
        <v>#N/A</v>
      </c>
      <c r="BF40" s="169" t="e">
        <f>+P37-BD40</f>
        <v>#N/A</v>
      </c>
      <c r="BG40" s="422"/>
      <c r="BH40" s="422"/>
      <c r="BI40" s="422"/>
      <c r="BJ40" s="645"/>
      <c r="BK40" s="645"/>
      <c r="BL40" s="645"/>
      <c r="BM40" s="645"/>
    </row>
    <row r="41" spans="1:65" ht="65.099999999999994" customHeight="1" thickBot="1">
      <c r="A41" s="405"/>
      <c r="B41" s="625"/>
      <c r="C41" s="440"/>
      <c r="D41" s="109"/>
      <c r="E41" s="109"/>
      <c r="F41" s="475"/>
      <c r="G41" s="443"/>
      <c r="H41" s="100"/>
      <c r="I41" s="128"/>
      <c r="J41" s="100"/>
      <c r="K41" s="29"/>
      <c r="L41" s="129"/>
      <c r="M41" s="446"/>
      <c r="N41" s="425"/>
      <c r="O41" s="428"/>
      <c r="P41" s="425"/>
      <c r="Q41" s="429"/>
      <c r="R41" s="422"/>
      <c r="S41" s="150"/>
      <c r="T41" s="198"/>
      <c r="U41" s="47" t="s">
        <v>627</v>
      </c>
      <c r="V41" s="172"/>
      <c r="W41" s="172"/>
      <c r="X41" s="172"/>
      <c r="Y41" s="95" t="str">
        <f t="shared" si="3"/>
        <v/>
      </c>
      <c r="Z41" s="172"/>
      <c r="AA41" s="95" t="str">
        <f t="shared" si="4"/>
        <v/>
      </c>
      <c r="AB41" s="150"/>
      <c r="AC41" s="95" t="str">
        <f t="shared" si="5"/>
        <v/>
      </c>
      <c r="AD41" s="150"/>
      <c r="AE41" s="95" t="str">
        <f t="shared" si="6"/>
        <v/>
      </c>
      <c r="AF41" s="150"/>
      <c r="AG41" s="95" t="str">
        <f t="shared" si="7"/>
        <v/>
      </c>
      <c r="AH41" s="150"/>
      <c r="AI41" s="95" t="str">
        <f t="shared" si="8"/>
        <v/>
      </c>
      <c r="AJ41" s="150"/>
      <c r="AK41" s="27" t="str">
        <f t="shared" si="0"/>
        <v/>
      </c>
      <c r="AL41" s="48" t="str">
        <f t="shared" si="11"/>
        <v/>
      </c>
      <c r="AM41" s="48" t="str">
        <f t="shared" si="9"/>
        <v/>
      </c>
      <c r="AN41" s="196"/>
      <c r="AO41" s="196"/>
      <c r="AP41" s="196"/>
      <c r="AQ41" s="196"/>
      <c r="AR41" s="196"/>
      <c r="AS41" s="196"/>
      <c r="AT41" s="196"/>
      <c r="AU41" s="197" t="str">
        <f>IFERROR(VLOOKUP(AT41,'Seguridad Información'!$I$61:$J$65,2,0),"")</f>
        <v/>
      </c>
      <c r="AV41" s="79"/>
      <c r="AW41" s="78" t="str">
        <f t="shared" si="1"/>
        <v/>
      </c>
      <c r="AX41" s="77" t="str">
        <f t="shared" si="2"/>
        <v/>
      </c>
      <c r="AY41" s="21" t="str">
        <f>IFERROR(VLOOKUP((CONCATENATE(AM41,AX41)),Listados!$U$3:$V$11,2,FALSE),"")</f>
        <v/>
      </c>
      <c r="AZ41" s="48">
        <f t="shared" si="10"/>
        <v>100</v>
      </c>
      <c r="BA41" s="431"/>
      <c r="BB41" s="433"/>
      <c r="BC41" s="169">
        <f>+IF(AND(W41="Preventivo",BB37="Fuerte"),2,IF(AND(W41="Preventivo",BB37="Moderado"),1,0))</f>
        <v>0</v>
      </c>
      <c r="BD41" s="64">
        <f>+IF(AND(W41="Detectivo/Correctivo",$BB37="Fuerte"),2,IF(AND(W41="Detectivo/Correctivo",$BB41="Moderado"),1,IF(AND(W41="Preventivo",$BB37="Fuerte"),1,0)))</f>
        <v>0</v>
      </c>
      <c r="BE41" s="169" t="e">
        <f>+N37-BC41</f>
        <v>#N/A</v>
      </c>
      <c r="BF41" s="169" t="e">
        <f>+P37-BD41</f>
        <v>#N/A</v>
      </c>
      <c r="BG41" s="422"/>
      <c r="BH41" s="422"/>
      <c r="BI41" s="422"/>
      <c r="BJ41" s="645"/>
      <c r="BK41" s="645"/>
      <c r="BL41" s="645"/>
      <c r="BM41" s="645"/>
    </row>
    <row r="42" spans="1:65" ht="65.099999999999994" customHeight="1" thickBot="1">
      <c r="A42" s="406"/>
      <c r="B42" s="625"/>
      <c r="C42" s="441"/>
      <c r="D42" s="106"/>
      <c r="E42" s="106"/>
      <c r="F42" s="619"/>
      <c r="G42" s="444"/>
      <c r="H42" s="100"/>
      <c r="I42" s="128"/>
      <c r="J42" s="100"/>
      <c r="K42" s="31"/>
      <c r="L42" s="129"/>
      <c r="M42" s="446"/>
      <c r="N42" s="426"/>
      <c r="O42" s="428"/>
      <c r="P42" s="426"/>
      <c r="Q42" s="429"/>
      <c r="R42" s="423"/>
      <c r="S42" s="150"/>
      <c r="T42" s="98"/>
      <c r="U42" s="47" t="s">
        <v>627</v>
      </c>
      <c r="V42" s="172"/>
      <c r="W42" s="172"/>
      <c r="X42" s="172"/>
      <c r="Y42" s="95" t="str">
        <f t="shared" si="3"/>
        <v/>
      </c>
      <c r="Z42" s="172"/>
      <c r="AA42" s="95" t="str">
        <f t="shared" si="4"/>
        <v/>
      </c>
      <c r="AB42" s="150"/>
      <c r="AC42" s="95" t="str">
        <f t="shared" si="5"/>
        <v/>
      </c>
      <c r="AD42" s="150"/>
      <c r="AE42" s="95" t="str">
        <f t="shared" si="6"/>
        <v/>
      </c>
      <c r="AF42" s="150"/>
      <c r="AG42" s="95" t="str">
        <f t="shared" si="7"/>
        <v/>
      </c>
      <c r="AH42" s="150"/>
      <c r="AI42" s="95" t="str">
        <f t="shared" si="8"/>
        <v/>
      </c>
      <c r="AJ42" s="150"/>
      <c r="AK42" s="27" t="str">
        <f t="shared" si="0"/>
        <v/>
      </c>
      <c r="AL42" s="48" t="str">
        <f t="shared" si="11"/>
        <v/>
      </c>
      <c r="AM42" s="48" t="str">
        <f t="shared" si="9"/>
        <v/>
      </c>
      <c r="AN42" s="196"/>
      <c r="AO42" s="196"/>
      <c r="AP42" s="196"/>
      <c r="AQ42" s="196"/>
      <c r="AR42" s="196"/>
      <c r="AS42" s="196"/>
      <c r="AT42" s="196"/>
      <c r="AU42" s="197" t="str">
        <f>IFERROR(VLOOKUP(AT42,'Seguridad Información'!$I$61:$J$65,2,0),"")</f>
        <v/>
      </c>
      <c r="AV42" s="79"/>
      <c r="AW42" s="78" t="str">
        <f t="shared" si="1"/>
        <v/>
      </c>
      <c r="AX42" s="77" t="str">
        <f t="shared" si="2"/>
        <v/>
      </c>
      <c r="AY42" s="21" t="str">
        <f>IFERROR(VLOOKUP((CONCATENATE(AM42,AX42)),Listados!$U$3:$V$11,2,FALSE),"")</f>
        <v/>
      </c>
      <c r="AZ42" s="48">
        <f t="shared" si="10"/>
        <v>100</v>
      </c>
      <c r="BA42" s="432"/>
      <c r="BB42" s="433"/>
      <c r="BC42" s="169">
        <f>+IF(AND(W42="Preventivo",BB37="Fuerte"),2,IF(AND(W42="Preventivo",BB37="Moderado"),1,0))</f>
        <v>0</v>
      </c>
      <c r="BD42" s="64">
        <f>+IF(AND(W42="Detectivo/Correctivo",$BB37="Fuerte"),2,IF(AND(W42="Detectivo/Correctivo",$BB42="Moderado"),1,IF(AND(W42="Preventivo",$BB37="Fuerte"),1,0)))</f>
        <v>0</v>
      </c>
      <c r="BE42" s="169" t="e">
        <f>+N37-BC42</f>
        <v>#N/A</v>
      </c>
      <c r="BF42" s="169" t="e">
        <f>+P37-BD42</f>
        <v>#N/A</v>
      </c>
      <c r="BG42" s="423"/>
      <c r="BH42" s="423"/>
      <c r="BI42" s="423"/>
      <c r="BJ42" s="646"/>
      <c r="BK42" s="646"/>
      <c r="BL42" s="646"/>
      <c r="BM42" s="646"/>
    </row>
    <row r="43" spans="1:65" ht="65.099999999999994" customHeight="1" thickBot="1">
      <c r="A43" s="404">
        <v>7</v>
      </c>
      <c r="B43" s="628"/>
      <c r="C43" s="447" t="str">
        <f>IFERROR(VLOOKUP(B43,Listados!B$3:C$20,2,FALSE),"")</f>
        <v/>
      </c>
      <c r="D43" s="107"/>
      <c r="E43" s="107"/>
      <c r="F43" s="618"/>
      <c r="G43" s="448"/>
      <c r="H43" s="100"/>
      <c r="I43" s="128"/>
      <c r="J43" s="100"/>
      <c r="K43" s="103"/>
      <c r="L43" s="17"/>
      <c r="M43" s="445"/>
      <c r="N43" s="424" t="e">
        <f>+VLOOKUP(M43,Listados!$K$8:$L$12,2,0)</f>
        <v>#N/A</v>
      </c>
      <c r="O43" s="427"/>
      <c r="P43" s="424" t="e">
        <f>+VLOOKUP(O43,Listados!$K$13:$L$17,2,0)</f>
        <v>#N/A</v>
      </c>
      <c r="Q43" s="423" t="str">
        <f>IF(AND(M43&lt;&gt;"",O43&lt;&gt;""),VLOOKUP(M43&amp;O43,Listados!$M$3:$N$27,2,FALSE),"")</f>
        <v/>
      </c>
      <c r="R43" s="421" t="e">
        <f>+VLOOKUP(Q43,Listados!$P$3:$Q$6,2,FALSE)</f>
        <v>#N/A</v>
      </c>
      <c r="S43" s="150"/>
      <c r="T43" s="94"/>
      <c r="U43" s="47" t="s">
        <v>627</v>
      </c>
      <c r="V43" s="172"/>
      <c r="W43" s="172"/>
      <c r="X43" s="172"/>
      <c r="Y43" s="95" t="str">
        <f t="shared" si="3"/>
        <v/>
      </c>
      <c r="Z43" s="172"/>
      <c r="AA43" s="95" t="str">
        <f t="shared" si="4"/>
        <v/>
      </c>
      <c r="AB43" s="150"/>
      <c r="AC43" s="95" t="str">
        <f t="shared" si="5"/>
        <v/>
      </c>
      <c r="AD43" s="150"/>
      <c r="AE43" s="95" t="str">
        <f t="shared" si="6"/>
        <v/>
      </c>
      <c r="AF43" s="150"/>
      <c r="AG43" s="95" t="str">
        <f t="shared" si="7"/>
        <v/>
      </c>
      <c r="AH43" s="150"/>
      <c r="AI43" s="95" t="str">
        <f t="shared" si="8"/>
        <v/>
      </c>
      <c r="AJ43" s="150"/>
      <c r="AK43" s="27" t="str">
        <f t="shared" si="0"/>
        <v/>
      </c>
      <c r="AL43" s="48" t="str">
        <f t="shared" si="11"/>
        <v/>
      </c>
      <c r="AM43" s="48" t="str">
        <f t="shared" si="9"/>
        <v/>
      </c>
      <c r="AN43" s="196"/>
      <c r="AO43" s="196"/>
      <c r="AP43" s="196"/>
      <c r="AQ43" s="196"/>
      <c r="AR43" s="196"/>
      <c r="AS43" s="196"/>
      <c r="AT43" s="196"/>
      <c r="AU43" s="197" t="str">
        <f>IFERROR(VLOOKUP(AT43,'Seguridad Información'!$I$61:$J$65,2,0),"")</f>
        <v/>
      </c>
      <c r="AV43" s="79"/>
      <c r="AW43" s="78" t="str">
        <f t="shared" si="1"/>
        <v/>
      </c>
      <c r="AX43" s="77" t="str">
        <f t="shared" si="2"/>
        <v/>
      </c>
      <c r="AY43" s="21" t="str">
        <f>IFERROR(VLOOKUP((CONCATENATE(AM43,AX43)),Listados!$U$3:$V$11,2,FALSE),"")</f>
        <v/>
      </c>
      <c r="AZ43" s="48">
        <f t="shared" si="10"/>
        <v>100</v>
      </c>
      <c r="BA43" s="430">
        <f>AVERAGE(AZ43:AZ48)</f>
        <v>100</v>
      </c>
      <c r="BB43" s="432" t="str">
        <f>IF(BA43&lt;=50, "Débil", IF(BA43&lt;=99,"Moderado","Fuerte"))</f>
        <v>Fuerte</v>
      </c>
      <c r="BC43" s="169">
        <f>+IF(AND(W43="Preventivo",BB43="Fuerte"),2,IF(AND(W43="Preventivo",BB43="Moderado"),1,0))</f>
        <v>0</v>
      </c>
      <c r="BD43" s="64">
        <f>+IF(AND(W43="Detectivo/Correctivo",$BB43="Fuerte"),2,IF(AND(W43="Detectivo/Correctivo",$BB43="Moderado"),1,IF(AND(W43="Preventivo",$BB43="Fuerte"),1,0)))</f>
        <v>0</v>
      </c>
      <c r="BE43" s="169" t="e">
        <f>+N43-BC43</f>
        <v>#N/A</v>
      </c>
      <c r="BF43" s="169" t="e">
        <f>+P43-BD43</f>
        <v>#N/A</v>
      </c>
      <c r="BG43" s="421" t="e">
        <f>+VLOOKUP(MIN(BE43,BE44,BE45,BE46,BE47,BE48),Listados!$J$18:$K$24,2,TRUE)</f>
        <v>#N/A</v>
      </c>
      <c r="BH43" s="421" t="e">
        <f>+VLOOKUP(MIN(BF43,BF44,BF45,BF46,BF47,BF48),Listados!$J$26:$K$32,2,TRUE)</f>
        <v>#N/A</v>
      </c>
      <c r="BI43" s="421" t="e">
        <f>IF(AND(BG43&lt;&gt;"",BH43&lt;&gt;""),VLOOKUP(BG43&amp;BH43,Listados!$M$3:$N$27,2,FALSE),"")</f>
        <v>#N/A</v>
      </c>
      <c r="BJ43" s="644" t="e">
        <f>+IF($R43="Asumir el riesgo","NA","")</f>
        <v>#N/A</v>
      </c>
      <c r="BK43" s="644" t="e">
        <f>+IF($R43="Asumir el riesgo","NA","")</f>
        <v>#N/A</v>
      </c>
      <c r="BL43" s="644" t="e">
        <f>+IF($R43="Asumir el riesgo","NA","")</f>
        <v>#N/A</v>
      </c>
      <c r="BM43" s="644" t="e">
        <f>+IF($R43="Asumir el riesgo","NA","")</f>
        <v>#N/A</v>
      </c>
    </row>
    <row r="44" spans="1:65" ht="65.099999999999994" customHeight="1" thickBot="1">
      <c r="A44" s="405"/>
      <c r="B44" s="625"/>
      <c r="C44" s="440"/>
      <c r="D44" s="152"/>
      <c r="E44" s="152"/>
      <c r="F44" s="475"/>
      <c r="G44" s="443"/>
      <c r="H44" s="100"/>
      <c r="I44" s="128"/>
      <c r="J44" s="100"/>
      <c r="K44" s="147"/>
      <c r="L44" s="129"/>
      <c r="M44" s="446"/>
      <c r="N44" s="425"/>
      <c r="O44" s="428"/>
      <c r="P44" s="425"/>
      <c r="Q44" s="429"/>
      <c r="R44" s="422"/>
      <c r="S44" s="150"/>
      <c r="T44" s="198"/>
      <c r="U44" s="47" t="s">
        <v>627</v>
      </c>
      <c r="V44" s="172"/>
      <c r="W44" s="172"/>
      <c r="X44" s="172"/>
      <c r="Y44" s="95" t="str">
        <f t="shared" si="3"/>
        <v/>
      </c>
      <c r="Z44" s="172"/>
      <c r="AA44" s="95" t="str">
        <f t="shared" si="4"/>
        <v/>
      </c>
      <c r="AB44" s="150"/>
      <c r="AC44" s="95" t="str">
        <f t="shared" si="5"/>
        <v/>
      </c>
      <c r="AD44" s="150"/>
      <c r="AE44" s="95" t="str">
        <f t="shared" si="6"/>
        <v/>
      </c>
      <c r="AF44" s="150"/>
      <c r="AG44" s="95" t="str">
        <f t="shared" si="7"/>
        <v/>
      </c>
      <c r="AH44" s="150"/>
      <c r="AI44" s="95" t="str">
        <f t="shared" si="8"/>
        <v/>
      </c>
      <c r="AJ44" s="150"/>
      <c r="AK44" s="27" t="str">
        <f t="shared" si="0"/>
        <v/>
      </c>
      <c r="AL44" s="48" t="str">
        <f t="shared" si="11"/>
        <v/>
      </c>
      <c r="AM44" s="48" t="str">
        <f t="shared" si="9"/>
        <v/>
      </c>
      <c r="AN44" s="196"/>
      <c r="AO44" s="196"/>
      <c r="AP44" s="196"/>
      <c r="AQ44" s="196"/>
      <c r="AR44" s="196"/>
      <c r="AS44" s="196"/>
      <c r="AT44" s="196"/>
      <c r="AU44" s="197" t="str">
        <f>IFERROR(VLOOKUP(AT44,'Seguridad Información'!$I$61:$J$65,2,0),"")</f>
        <v/>
      </c>
      <c r="AV44" s="79"/>
      <c r="AW44" s="78" t="str">
        <f t="shared" si="1"/>
        <v/>
      </c>
      <c r="AX44" s="77" t="str">
        <f t="shared" si="2"/>
        <v/>
      </c>
      <c r="AY44" s="21" t="str">
        <f>IFERROR(VLOOKUP((CONCATENATE(AM44,AX44)),Listados!$U$3:$V$11,2,FALSE),"")</f>
        <v/>
      </c>
      <c r="AZ44" s="48">
        <f t="shared" si="10"/>
        <v>100</v>
      </c>
      <c r="BA44" s="431"/>
      <c r="BB44" s="433"/>
      <c r="BC44" s="169">
        <f>+IF(AND(W44="Preventivo",BB43="Fuerte"),2,IF(AND(W44="Preventivo",BB43="Moderado"),1,0))</f>
        <v>0</v>
      </c>
      <c r="BD44" s="64">
        <f>+IF(AND(W44="Detectivo/Correctivo",$BB43="Fuerte"),2,IF(AND(W44="Detectivo/Correctivo",$BB44="Moderado"),1,IF(AND(W44="Preventivo",$BB43="Fuerte"),1,0)))</f>
        <v>0</v>
      </c>
      <c r="BE44" s="169" t="e">
        <f>+N43-BC44</f>
        <v>#N/A</v>
      </c>
      <c r="BF44" s="169" t="e">
        <f>+P43-BD44</f>
        <v>#N/A</v>
      </c>
      <c r="BG44" s="422"/>
      <c r="BH44" s="422"/>
      <c r="BI44" s="422"/>
      <c r="BJ44" s="645"/>
      <c r="BK44" s="645"/>
      <c r="BL44" s="645"/>
      <c r="BM44" s="645"/>
    </row>
    <row r="45" spans="1:65" ht="65.099999999999994" customHeight="1" thickBot="1">
      <c r="A45" s="405"/>
      <c r="B45" s="625"/>
      <c r="C45" s="440"/>
      <c r="D45" s="152"/>
      <c r="E45" s="152"/>
      <c r="F45" s="475"/>
      <c r="G45" s="443"/>
      <c r="H45" s="100"/>
      <c r="I45" s="128"/>
      <c r="J45" s="100"/>
      <c r="K45" s="147"/>
      <c r="L45" s="129"/>
      <c r="M45" s="446"/>
      <c r="N45" s="425"/>
      <c r="O45" s="428"/>
      <c r="P45" s="425"/>
      <c r="Q45" s="429"/>
      <c r="R45" s="422"/>
      <c r="S45" s="150"/>
      <c r="T45" s="96"/>
      <c r="U45" s="47" t="s">
        <v>627</v>
      </c>
      <c r="V45" s="172"/>
      <c r="W45" s="172"/>
      <c r="X45" s="172"/>
      <c r="Y45" s="95" t="str">
        <f t="shared" si="3"/>
        <v/>
      </c>
      <c r="Z45" s="172"/>
      <c r="AA45" s="95" t="str">
        <f t="shared" si="4"/>
        <v/>
      </c>
      <c r="AB45" s="150"/>
      <c r="AC45" s="95" t="str">
        <f t="shared" si="5"/>
        <v/>
      </c>
      <c r="AD45" s="150"/>
      <c r="AE45" s="95" t="str">
        <f t="shared" si="6"/>
        <v/>
      </c>
      <c r="AF45" s="150"/>
      <c r="AG45" s="95" t="str">
        <f t="shared" si="7"/>
        <v/>
      </c>
      <c r="AH45" s="150"/>
      <c r="AI45" s="95" t="str">
        <f t="shared" si="8"/>
        <v/>
      </c>
      <c r="AJ45" s="150"/>
      <c r="AK45" s="27" t="str">
        <f t="shared" si="0"/>
        <v/>
      </c>
      <c r="AL45" s="48" t="str">
        <f t="shared" si="11"/>
        <v/>
      </c>
      <c r="AM45" s="48" t="str">
        <f t="shared" si="9"/>
        <v/>
      </c>
      <c r="AN45" s="196"/>
      <c r="AO45" s="196"/>
      <c r="AP45" s="196"/>
      <c r="AQ45" s="196"/>
      <c r="AR45" s="196"/>
      <c r="AS45" s="196"/>
      <c r="AT45" s="196"/>
      <c r="AU45" s="197" t="str">
        <f>IFERROR(VLOOKUP(AT45,'Seguridad Información'!$I$61:$J$65,2,0),"")</f>
        <v/>
      </c>
      <c r="AV45" s="79"/>
      <c r="AW45" s="78" t="str">
        <f t="shared" si="1"/>
        <v/>
      </c>
      <c r="AX45" s="77" t="str">
        <f t="shared" si="2"/>
        <v/>
      </c>
      <c r="AY45" s="21" t="str">
        <f>IFERROR(VLOOKUP((CONCATENATE(AM45,AX45)),Listados!$U$3:$V$11,2,FALSE),"")</f>
        <v/>
      </c>
      <c r="AZ45" s="48">
        <f t="shared" si="10"/>
        <v>100</v>
      </c>
      <c r="BA45" s="431"/>
      <c r="BB45" s="433"/>
      <c r="BC45" s="169">
        <f>+IF(AND(W45="Preventivo",BB43="Fuerte"),2,IF(AND(W45="Preventivo",BB43="Moderado"),1,0))</f>
        <v>0</v>
      </c>
      <c r="BD45" s="64">
        <f>+IF(AND(W45="Detectivo/Correctivo",$BB43="Fuerte"),2,IF(AND(W45="Detectivo/Correctivo",$BB45="Moderado"),1,IF(AND(W45="Preventivo",$BB43="Fuerte"),1,0)))</f>
        <v>0</v>
      </c>
      <c r="BE45" s="169" t="e">
        <f>+N43-BC45</f>
        <v>#N/A</v>
      </c>
      <c r="BF45" s="169" t="e">
        <f>+P43-BD45</f>
        <v>#N/A</v>
      </c>
      <c r="BG45" s="422"/>
      <c r="BH45" s="422"/>
      <c r="BI45" s="422"/>
      <c r="BJ45" s="645"/>
      <c r="BK45" s="645"/>
      <c r="BL45" s="645"/>
      <c r="BM45" s="645"/>
    </row>
    <row r="46" spans="1:65" ht="65.099999999999994" customHeight="1" thickBot="1">
      <c r="A46" s="405"/>
      <c r="B46" s="625"/>
      <c r="C46" s="440"/>
      <c r="D46" s="152"/>
      <c r="E46" s="152"/>
      <c r="F46" s="475"/>
      <c r="G46" s="443"/>
      <c r="H46" s="100"/>
      <c r="I46" s="128"/>
      <c r="J46" s="100"/>
      <c r="K46" s="147"/>
      <c r="L46" s="129"/>
      <c r="M46" s="446"/>
      <c r="N46" s="425"/>
      <c r="O46" s="428"/>
      <c r="P46" s="425"/>
      <c r="Q46" s="429"/>
      <c r="R46" s="422"/>
      <c r="S46" s="150"/>
      <c r="T46" s="97"/>
      <c r="U46" s="47" t="s">
        <v>627</v>
      </c>
      <c r="V46" s="172"/>
      <c r="W46" s="172"/>
      <c r="X46" s="172"/>
      <c r="Y46" s="95" t="str">
        <f t="shared" si="3"/>
        <v/>
      </c>
      <c r="Z46" s="172"/>
      <c r="AA46" s="95" t="str">
        <f t="shared" si="4"/>
        <v/>
      </c>
      <c r="AB46" s="150"/>
      <c r="AC46" s="95" t="str">
        <f t="shared" si="5"/>
        <v/>
      </c>
      <c r="AD46" s="150"/>
      <c r="AE46" s="95" t="str">
        <f t="shared" si="6"/>
        <v/>
      </c>
      <c r="AF46" s="150"/>
      <c r="AG46" s="95" t="str">
        <f t="shared" si="7"/>
        <v/>
      </c>
      <c r="AH46" s="150"/>
      <c r="AI46" s="95" t="str">
        <f t="shared" si="8"/>
        <v/>
      </c>
      <c r="AJ46" s="150"/>
      <c r="AK46" s="27" t="str">
        <f t="shared" si="0"/>
        <v/>
      </c>
      <c r="AL46" s="48" t="str">
        <f t="shared" si="11"/>
        <v/>
      </c>
      <c r="AM46" s="48" t="str">
        <f t="shared" si="9"/>
        <v/>
      </c>
      <c r="AN46" s="196"/>
      <c r="AO46" s="196"/>
      <c r="AP46" s="196"/>
      <c r="AQ46" s="196"/>
      <c r="AR46" s="196"/>
      <c r="AS46" s="196"/>
      <c r="AT46" s="196"/>
      <c r="AU46" s="197" t="str">
        <f>IFERROR(VLOOKUP(AT46,'Seguridad Información'!$I$61:$J$65,2,0),"")</f>
        <v/>
      </c>
      <c r="AV46" s="79"/>
      <c r="AW46" s="78" t="str">
        <f t="shared" si="1"/>
        <v/>
      </c>
      <c r="AX46" s="77" t="str">
        <f t="shared" si="2"/>
        <v/>
      </c>
      <c r="AY46" s="21" t="str">
        <f>IFERROR(VLOOKUP((CONCATENATE(AM46,AX46)),Listados!$U$3:$V$11,2,FALSE),"")</f>
        <v/>
      </c>
      <c r="AZ46" s="48">
        <f t="shared" si="10"/>
        <v>100</v>
      </c>
      <c r="BA46" s="431"/>
      <c r="BB46" s="433"/>
      <c r="BC46" s="169">
        <f>+IF(AND(W46="Preventivo",BB43="Fuerte"),2,IF(AND(W46="Preventivo",BB43="Moderado"),1,0))</f>
        <v>0</v>
      </c>
      <c r="BD46" s="64">
        <f>+IF(AND(W46="Detectivo/Correctivo",$BB43="Fuerte"),2,IF(AND(W46="Detectivo/Correctivo",$BB46="Moderado"),1,IF(AND(W46="Preventivo",$BB43="Fuerte"),1,0)))</f>
        <v>0</v>
      </c>
      <c r="BE46" s="169" t="e">
        <f>+N43-BC46</f>
        <v>#N/A</v>
      </c>
      <c r="BF46" s="169" t="e">
        <f>+P43-BD46</f>
        <v>#N/A</v>
      </c>
      <c r="BG46" s="422"/>
      <c r="BH46" s="422"/>
      <c r="BI46" s="422"/>
      <c r="BJ46" s="645"/>
      <c r="BK46" s="645"/>
      <c r="BL46" s="645"/>
      <c r="BM46" s="645"/>
    </row>
    <row r="47" spans="1:65" ht="65.099999999999994" customHeight="1" thickBot="1">
      <c r="A47" s="405"/>
      <c r="B47" s="625"/>
      <c r="C47" s="440"/>
      <c r="D47" s="109"/>
      <c r="E47" s="109"/>
      <c r="F47" s="475"/>
      <c r="G47" s="443"/>
      <c r="H47" s="100"/>
      <c r="I47" s="128"/>
      <c r="J47" s="100"/>
      <c r="K47" s="29"/>
      <c r="L47" s="129"/>
      <c r="M47" s="446"/>
      <c r="N47" s="425"/>
      <c r="O47" s="428"/>
      <c r="P47" s="425"/>
      <c r="Q47" s="429"/>
      <c r="R47" s="422"/>
      <c r="S47" s="150"/>
      <c r="T47" s="198"/>
      <c r="U47" s="47" t="s">
        <v>627</v>
      </c>
      <c r="V47" s="172"/>
      <c r="W47" s="172"/>
      <c r="X47" s="172"/>
      <c r="Y47" s="95" t="str">
        <f t="shared" si="3"/>
        <v/>
      </c>
      <c r="Z47" s="172"/>
      <c r="AA47" s="95" t="str">
        <f t="shared" si="4"/>
        <v/>
      </c>
      <c r="AB47" s="150"/>
      <c r="AC47" s="95" t="str">
        <f t="shared" si="5"/>
        <v/>
      </c>
      <c r="AD47" s="150"/>
      <c r="AE47" s="95" t="str">
        <f t="shared" si="6"/>
        <v/>
      </c>
      <c r="AF47" s="150"/>
      <c r="AG47" s="95" t="str">
        <f t="shared" si="7"/>
        <v/>
      </c>
      <c r="AH47" s="150"/>
      <c r="AI47" s="95" t="str">
        <f t="shared" si="8"/>
        <v/>
      </c>
      <c r="AJ47" s="150"/>
      <c r="AK47" s="27" t="str">
        <f t="shared" si="0"/>
        <v/>
      </c>
      <c r="AL47" s="48" t="str">
        <f t="shared" si="11"/>
        <v/>
      </c>
      <c r="AM47" s="48" t="str">
        <f t="shared" si="9"/>
        <v/>
      </c>
      <c r="AN47" s="196"/>
      <c r="AO47" s="196"/>
      <c r="AP47" s="196"/>
      <c r="AQ47" s="196"/>
      <c r="AR47" s="196"/>
      <c r="AS47" s="196"/>
      <c r="AT47" s="196"/>
      <c r="AU47" s="197" t="str">
        <f>IFERROR(VLOOKUP(AT47,'Seguridad Información'!$I$61:$J$65,2,0),"")</f>
        <v/>
      </c>
      <c r="AV47" s="79"/>
      <c r="AW47" s="78" t="str">
        <f t="shared" si="1"/>
        <v/>
      </c>
      <c r="AX47" s="77" t="str">
        <f t="shared" si="2"/>
        <v/>
      </c>
      <c r="AY47" s="21" t="str">
        <f>IFERROR(VLOOKUP((CONCATENATE(AM47,AX47)),Listados!$U$3:$V$11,2,FALSE),"")</f>
        <v/>
      </c>
      <c r="AZ47" s="48">
        <f t="shared" si="10"/>
        <v>100</v>
      </c>
      <c r="BA47" s="431"/>
      <c r="BB47" s="433"/>
      <c r="BC47" s="169">
        <f>+IF(AND(W47="Preventivo",BB43="Fuerte"),2,IF(AND(W47="Preventivo",BB43="Moderado"),1,0))</f>
        <v>0</v>
      </c>
      <c r="BD47" s="64">
        <f>+IF(AND(W47="Detectivo/Correctivo",$BB43="Fuerte"),2,IF(AND(W47="Detectivo/Correctivo",$BB47="Moderado"),1,IF(AND(W47="Preventivo",$BB43="Fuerte"),1,0)))</f>
        <v>0</v>
      </c>
      <c r="BE47" s="169" t="e">
        <f>+N43-BC47</f>
        <v>#N/A</v>
      </c>
      <c r="BF47" s="169" t="e">
        <f>+P43-BD47</f>
        <v>#N/A</v>
      </c>
      <c r="BG47" s="422"/>
      <c r="BH47" s="422"/>
      <c r="BI47" s="422"/>
      <c r="BJ47" s="645"/>
      <c r="BK47" s="645"/>
      <c r="BL47" s="645"/>
      <c r="BM47" s="645"/>
    </row>
    <row r="48" spans="1:65" ht="65.099999999999994" customHeight="1" thickBot="1">
      <c r="A48" s="406"/>
      <c r="B48" s="625"/>
      <c r="C48" s="441"/>
      <c r="D48" s="106"/>
      <c r="E48" s="106"/>
      <c r="F48" s="619"/>
      <c r="G48" s="444"/>
      <c r="H48" s="100"/>
      <c r="I48" s="128"/>
      <c r="J48" s="100"/>
      <c r="K48" s="31"/>
      <c r="L48" s="129"/>
      <c r="M48" s="446"/>
      <c r="N48" s="426"/>
      <c r="O48" s="428"/>
      <c r="P48" s="426"/>
      <c r="Q48" s="429"/>
      <c r="R48" s="423"/>
      <c r="S48" s="150"/>
      <c r="T48" s="98"/>
      <c r="U48" s="47" t="s">
        <v>627</v>
      </c>
      <c r="V48" s="172"/>
      <c r="W48" s="172"/>
      <c r="X48" s="172"/>
      <c r="Y48" s="95" t="str">
        <f t="shared" si="3"/>
        <v/>
      </c>
      <c r="Z48" s="172"/>
      <c r="AA48" s="95" t="str">
        <f t="shared" si="4"/>
        <v/>
      </c>
      <c r="AB48" s="150"/>
      <c r="AC48" s="95" t="str">
        <f t="shared" si="5"/>
        <v/>
      </c>
      <c r="AD48" s="150"/>
      <c r="AE48" s="95" t="str">
        <f t="shared" si="6"/>
        <v/>
      </c>
      <c r="AF48" s="150"/>
      <c r="AG48" s="95" t="str">
        <f t="shared" si="7"/>
        <v/>
      </c>
      <c r="AH48" s="150"/>
      <c r="AI48" s="95" t="str">
        <f t="shared" si="8"/>
        <v/>
      </c>
      <c r="AJ48" s="150"/>
      <c r="AK48" s="27" t="str">
        <f t="shared" si="0"/>
        <v/>
      </c>
      <c r="AL48" s="48" t="str">
        <f t="shared" si="11"/>
        <v/>
      </c>
      <c r="AM48" s="48" t="str">
        <f t="shared" si="9"/>
        <v/>
      </c>
      <c r="AN48" s="196"/>
      <c r="AO48" s="196"/>
      <c r="AP48" s="196"/>
      <c r="AQ48" s="196"/>
      <c r="AR48" s="196"/>
      <c r="AS48" s="196"/>
      <c r="AT48" s="196"/>
      <c r="AU48" s="197" t="str">
        <f>IFERROR(VLOOKUP(AT48,'Seguridad Información'!$I$61:$J$65,2,0),"")</f>
        <v/>
      </c>
      <c r="AV48" s="79"/>
      <c r="AW48" s="78" t="str">
        <f t="shared" si="1"/>
        <v/>
      </c>
      <c r="AX48" s="77" t="str">
        <f t="shared" si="2"/>
        <v/>
      </c>
      <c r="AY48" s="21" t="str">
        <f>IFERROR(VLOOKUP((CONCATENATE(AM48,AX48)),Listados!$U$3:$V$11,2,FALSE),"")</f>
        <v/>
      </c>
      <c r="AZ48" s="48">
        <f t="shared" si="10"/>
        <v>100</v>
      </c>
      <c r="BA48" s="432"/>
      <c r="BB48" s="433"/>
      <c r="BC48" s="169">
        <f>+IF(AND(W48="Preventivo",BB43="Fuerte"),2,IF(AND(W48="Preventivo",BB43="Moderado"),1,0))</f>
        <v>0</v>
      </c>
      <c r="BD48" s="64">
        <f>+IF(AND(W48="Detectivo/Correctivo",$BB43="Fuerte"),2,IF(AND(W48="Detectivo/Correctivo",$BB48="Moderado"),1,IF(AND(W48="Preventivo",$BB43="Fuerte"),1,0)))</f>
        <v>0</v>
      </c>
      <c r="BE48" s="169" t="e">
        <f>+N43-BC48</f>
        <v>#N/A</v>
      </c>
      <c r="BF48" s="169" t="e">
        <f>+P43-BD48</f>
        <v>#N/A</v>
      </c>
      <c r="BG48" s="423"/>
      <c r="BH48" s="423"/>
      <c r="BI48" s="423"/>
      <c r="BJ48" s="646"/>
      <c r="BK48" s="646"/>
      <c r="BL48" s="646"/>
      <c r="BM48" s="646"/>
    </row>
    <row r="49" spans="1:65" ht="65.099999999999994" customHeight="1" thickBot="1">
      <c r="A49" s="404">
        <v>8</v>
      </c>
      <c r="B49" s="628"/>
      <c r="C49" s="447" t="str">
        <f>IFERROR(VLOOKUP(B49,Listados!B$3:C$20,2,FALSE),"")</f>
        <v/>
      </c>
      <c r="D49" s="107"/>
      <c r="E49" s="107"/>
      <c r="F49" s="618"/>
      <c r="G49" s="448"/>
      <c r="H49" s="100"/>
      <c r="I49" s="128"/>
      <c r="J49" s="100"/>
      <c r="K49" s="103"/>
      <c r="L49" s="17"/>
      <c r="M49" s="445"/>
      <c r="N49" s="424" t="e">
        <f>+VLOOKUP(M49,Listados!$K$8:$L$12,2,0)</f>
        <v>#N/A</v>
      </c>
      <c r="O49" s="427"/>
      <c r="P49" s="424" t="e">
        <f>+VLOOKUP(O49,Listados!$K$13:$L$17,2,0)</f>
        <v>#N/A</v>
      </c>
      <c r="Q49" s="423" t="str">
        <f>IF(AND(M49&lt;&gt;"",O49&lt;&gt;""),VLOOKUP(M49&amp;O49,Listados!$M$3:$N$27,2,FALSE),"")</f>
        <v/>
      </c>
      <c r="R49" s="421" t="e">
        <f>+VLOOKUP(Q49,Listados!$P$3:$Q$6,2,FALSE)</f>
        <v>#N/A</v>
      </c>
      <c r="S49" s="150"/>
      <c r="T49" s="94"/>
      <c r="U49" s="47" t="s">
        <v>627</v>
      </c>
      <c r="V49" s="172"/>
      <c r="W49" s="172"/>
      <c r="X49" s="172"/>
      <c r="Y49" s="95" t="str">
        <f t="shared" si="3"/>
        <v/>
      </c>
      <c r="Z49" s="172"/>
      <c r="AA49" s="95" t="str">
        <f t="shared" si="4"/>
        <v/>
      </c>
      <c r="AB49" s="150"/>
      <c r="AC49" s="95" t="str">
        <f t="shared" si="5"/>
        <v/>
      </c>
      <c r="AD49" s="150"/>
      <c r="AE49" s="95" t="str">
        <f t="shared" si="6"/>
        <v/>
      </c>
      <c r="AF49" s="150"/>
      <c r="AG49" s="95" t="str">
        <f t="shared" si="7"/>
        <v/>
      </c>
      <c r="AH49" s="150"/>
      <c r="AI49" s="95" t="str">
        <f t="shared" si="8"/>
        <v/>
      </c>
      <c r="AJ49" s="150"/>
      <c r="AK49" s="27" t="str">
        <f t="shared" si="0"/>
        <v/>
      </c>
      <c r="AL49" s="48" t="str">
        <f t="shared" si="11"/>
        <v/>
      </c>
      <c r="AM49" s="48" t="str">
        <f t="shared" si="9"/>
        <v/>
      </c>
      <c r="AN49" s="196"/>
      <c r="AO49" s="196"/>
      <c r="AP49" s="196"/>
      <c r="AQ49" s="196"/>
      <c r="AR49" s="196"/>
      <c r="AS49" s="196"/>
      <c r="AT49" s="196"/>
      <c r="AU49" s="197" t="str">
        <f>IFERROR(VLOOKUP(AT49,'Seguridad Información'!$I$61:$J$65,2,0),"")</f>
        <v/>
      </c>
      <c r="AV49" s="79"/>
      <c r="AW49" s="78" t="str">
        <f t="shared" si="1"/>
        <v/>
      </c>
      <c r="AX49" s="77" t="str">
        <f t="shared" si="2"/>
        <v/>
      </c>
      <c r="AY49" s="21" t="str">
        <f>IFERROR(VLOOKUP((CONCATENATE(AM49,AX49)),Listados!$U$3:$V$11,2,FALSE),"")</f>
        <v/>
      </c>
      <c r="AZ49" s="48">
        <f t="shared" si="10"/>
        <v>100</v>
      </c>
      <c r="BA49" s="430">
        <f>AVERAGE(AZ49:AZ54)</f>
        <v>100</v>
      </c>
      <c r="BB49" s="432" t="str">
        <f>IF(BA49&lt;=50, "Débil", IF(BA49&lt;=99,"Moderado","Fuerte"))</f>
        <v>Fuerte</v>
      </c>
      <c r="BC49" s="169">
        <f>+IF(AND(W49="Preventivo",BB49="Fuerte"),2,IF(AND(W49="Preventivo",BB49="Moderado"),1,0))</f>
        <v>0</v>
      </c>
      <c r="BD49" s="64">
        <f>+IF(AND(W49="Detectivo/Correctivo",$BB49="Fuerte"),2,IF(AND(W49="Detectivo/Correctivo",$BB49="Moderado"),1,IF(AND(W49="Preventivo",$BB49="Fuerte"),1,0)))</f>
        <v>0</v>
      </c>
      <c r="BE49" s="169" t="e">
        <f>+N49-BC49</f>
        <v>#N/A</v>
      </c>
      <c r="BF49" s="169" t="e">
        <f>+P49-BD49</f>
        <v>#N/A</v>
      </c>
      <c r="BG49" s="421" t="e">
        <f>+VLOOKUP(MIN(BE49,BE50,BE51,BE52,BE53,BE54),Listados!$J$18:$K$24,2,TRUE)</f>
        <v>#N/A</v>
      </c>
      <c r="BH49" s="421" t="e">
        <f>+VLOOKUP(MIN(BF49,BF50,BF51,BF52,BF53,BF54),Listados!$J$27:$K$32,2,TRUE)</f>
        <v>#N/A</v>
      </c>
      <c r="BI49" s="421" t="e">
        <f>IF(AND(BG49&lt;&gt;"",BH49&lt;&gt;""),VLOOKUP(BG49&amp;BH49,Listados!$M$3:$N$27,2,FALSE),"")</f>
        <v>#N/A</v>
      </c>
      <c r="BJ49" s="644" t="e">
        <f>+IF($R49="Asumir el riesgo","NA","")</f>
        <v>#N/A</v>
      </c>
      <c r="BK49" s="644" t="e">
        <f>+IF($R49="Asumir el riesgo","NA","")</f>
        <v>#N/A</v>
      </c>
      <c r="BL49" s="644" t="e">
        <f>+IF($R49="Asumir el riesgo","NA","")</f>
        <v>#N/A</v>
      </c>
      <c r="BM49" s="644" t="e">
        <f>+IF($R49="Asumir el riesgo","NA","")</f>
        <v>#N/A</v>
      </c>
    </row>
    <row r="50" spans="1:65" ht="65.099999999999994" customHeight="1" thickBot="1">
      <c r="A50" s="405"/>
      <c r="B50" s="625"/>
      <c r="C50" s="440"/>
      <c r="D50" s="152"/>
      <c r="E50" s="152"/>
      <c r="F50" s="475"/>
      <c r="G50" s="443"/>
      <c r="H50" s="100"/>
      <c r="I50" s="128"/>
      <c r="J50" s="100"/>
      <c r="K50" s="147"/>
      <c r="L50" s="129"/>
      <c r="M50" s="446"/>
      <c r="N50" s="425"/>
      <c r="O50" s="428"/>
      <c r="P50" s="425"/>
      <c r="Q50" s="429"/>
      <c r="R50" s="422"/>
      <c r="S50" s="150"/>
      <c r="T50" s="198"/>
      <c r="U50" s="47" t="s">
        <v>627</v>
      </c>
      <c r="V50" s="172"/>
      <c r="W50" s="172"/>
      <c r="X50" s="172"/>
      <c r="Y50" s="95" t="str">
        <f t="shared" si="3"/>
        <v/>
      </c>
      <c r="Z50" s="172"/>
      <c r="AA50" s="95" t="str">
        <f t="shared" si="4"/>
        <v/>
      </c>
      <c r="AB50" s="150"/>
      <c r="AC50" s="95" t="str">
        <f t="shared" si="5"/>
        <v/>
      </c>
      <c r="AD50" s="150"/>
      <c r="AE50" s="95" t="str">
        <f t="shared" si="6"/>
        <v/>
      </c>
      <c r="AF50" s="150"/>
      <c r="AG50" s="95" t="str">
        <f t="shared" si="7"/>
        <v/>
      </c>
      <c r="AH50" s="150"/>
      <c r="AI50" s="95" t="str">
        <f t="shared" si="8"/>
        <v/>
      </c>
      <c r="AJ50" s="150"/>
      <c r="AK50" s="27" t="str">
        <f t="shared" si="0"/>
        <v/>
      </c>
      <c r="AL50" s="48" t="str">
        <f t="shared" si="11"/>
        <v/>
      </c>
      <c r="AM50" s="48" t="str">
        <f t="shared" si="9"/>
        <v/>
      </c>
      <c r="AN50" s="196"/>
      <c r="AO50" s="196"/>
      <c r="AP50" s="196"/>
      <c r="AQ50" s="196"/>
      <c r="AR50" s="196"/>
      <c r="AS50" s="196"/>
      <c r="AT50" s="196"/>
      <c r="AU50" s="197" t="str">
        <f>IFERROR(VLOOKUP(AT50,'Seguridad Información'!$I$61:$J$65,2,0),"")</f>
        <v/>
      </c>
      <c r="AV50" s="79"/>
      <c r="AW50" s="78" t="str">
        <f t="shared" si="1"/>
        <v/>
      </c>
      <c r="AX50" s="77" t="str">
        <f t="shared" si="2"/>
        <v/>
      </c>
      <c r="AY50" s="21" t="str">
        <f>IFERROR(VLOOKUP((CONCATENATE(AM50,AX50)),Listados!$U$3:$V$11,2,FALSE),"")</f>
        <v/>
      </c>
      <c r="AZ50" s="48">
        <f t="shared" si="10"/>
        <v>100</v>
      </c>
      <c r="BA50" s="431"/>
      <c r="BB50" s="433"/>
      <c r="BC50" s="169">
        <f>+IF(AND(W50="Preventivo",BB49="Fuerte"),2,IF(AND(W50="Preventivo",BB49="Moderado"),1,0))</f>
        <v>0</v>
      </c>
      <c r="BD50" s="64">
        <f>+IF(AND(W50="Detectivo/Correctivo",$BB49="Fuerte"),2,IF(AND(W50="Detectivo/Correctivo",$BB50="Moderado"),1,IF(AND(W50="Preventivo",$BB49="Fuerte"),1,0)))</f>
        <v>0</v>
      </c>
      <c r="BE50" s="169" t="e">
        <f>+N49-BC50</f>
        <v>#N/A</v>
      </c>
      <c r="BF50" s="169" t="e">
        <f>+P49-BD50</f>
        <v>#N/A</v>
      </c>
      <c r="BG50" s="422"/>
      <c r="BH50" s="422"/>
      <c r="BI50" s="422"/>
      <c r="BJ50" s="645"/>
      <c r="BK50" s="645"/>
      <c r="BL50" s="645"/>
      <c r="BM50" s="645"/>
    </row>
    <row r="51" spans="1:65" ht="65.099999999999994" customHeight="1" thickBot="1">
      <c r="A51" s="405"/>
      <c r="B51" s="625"/>
      <c r="C51" s="440"/>
      <c r="D51" s="152"/>
      <c r="E51" s="152"/>
      <c r="F51" s="475"/>
      <c r="G51" s="443"/>
      <c r="H51" s="100"/>
      <c r="I51" s="128"/>
      <c r="J51" s="100"/>
      <c r="K51" s="147"/>
      <c r="L51" s="129"/>
      <c r="M51" s="446"/>
      <c r="N51" s="425"/>
      <c r="O51" s="428"/>
      <c r="P51" s="425"/>
      <c r="Q51" s="429"/>
      <c r="R51" s="422"/>
      <c r="S51" s="150"/>
      <c r="T51" s="96"/>
      <c r="U51" s="47" t="s">
        <v>627</v>
      </c>
      <c r="V51" s="172"/>
      <c r="W51" s="172"/>
      <c r="X51" s="172"/>
      <c r="Y51" s="95" t="str">
        <f t="shared" si="3"/>
        <v/>
      </c>
      <c r="Z51" s="172"/>
      <c r="AA51" s="95" t="str">
        <f t="shared" si="4"/>
        <v/>
      </c>
      <c r="AB51" s="150"/>
      <c r="AC51" s="95" t="str">
        <f t="shared" si="5"/>
        <v/>
      </c>
      <c r="AD51" s="150"/>
      <c r="AE51" s="95" t="str">
        <f t="shared" si="6"/>
        <v/>
      </c>
      <c r="AF51" s="150"/>
      <c r="AG51" s="95" t="str">
        <f t="shared" si="7"/>
        <v/>
      </c>
      <c r="AH51" s="150"/>
      <c r="AI51" s="95" t="str">
        <f t="shared" si="8"/>
        <v/>
      </c>
      <c r="AJ51" s="150"/>
      <c r="AK51" s="27" t="str">
        <f t="shared" si="0"/>
        <v/>
      </c>
      <c r="AL51" s="48" t="str">
        <f t="shared" si="11"/>
        <v/>
      </c>
      <c r="AM51" s="48" t="str">
        <f t="shared" si="9"/>
        <v/>
      </c>
      <c r="AN51" s="196"/>
      <c r="AO51" s="196"/>
      <c r="AP51" s="196"/>
      <c r="AQ51" s="196"/>
      <c r="AR51" s="196"/>
      <c r="AS51" s="196"/>
      <c r="AT51" s="196"/>
      <c r="AU51" s="197" t="str">
        <f>IFERROR(VLOOKUP(AT51,'Seguridad Información'!$I$61:$J$65,2,0),"")</f>
        <v/>
      </c>
      <c r="AV51" s="79"/>
      <c r="AW51" s="78" t="str">
        <f t="shared" si="1"/>
        <v/>
      </c>
      <c r="AX51" s="77" t="str">
        <f t="shared" si="2"/>
        <v/>
      </c>
      <c r="AY51" s="21" t="str">
        <f>IFERROR(VLOOKUP((CONCATENATE(AM51,AX51)),Listados!$U$3:$V$11,2,FALSE),"")</f>
        <v/>
      </c>
      <c r="AZ51" s="48">
        <f t="shared" si="10"/>
        <v>100</v>
      </c>
      <c r="BA51" s="431"/>
      <c r="BB51" s="433"/>
      <c r="BC51" s="169">
        <f>+IF(AND(W51="Preventivo",BB49="Fuerte"),2,IF(AND(W51="Preventivo",BB49="Moderado"),1,0))</f>
        <v>0</v>
      </c>
      <c r="BD51" s="64">
        <f>+IF(AND(W51="Detectivo/Correctivo",$BB49="Fuerte"),2,IF(AND(W51="Detectivo/Correctivo",$BB51="Moderado"),1,IF(AND(W51="Preventivo",$BB49="Fuerte"),1,0)))</f>
        <v>0</v>
      </c>
      <c r="BE51" s="169" t="e">
        <f>+N49-BC51</f>
        <v>#N/A</v>
      </c>
      <c r="BF51" s="169" t="e">
        <f>+P49-BD51</f>
        <v>#N/A</v>
      </c>
      <c r="BG51" s="422"/>
      <c r="BH51" s="422"/>
      <c r="BI51" s="422"/>
      <c r="BJ51" s="645"/>
      <c r="BK51" s="645"/>
      <c r="BL51" s="645"/>
      <c r="BM51" s="645"/>
    </row>
    <row r="52" spans="1:65" ht="65.099999999999994" customHeight="1" thickBot="1">
      <c r="A52" s="405"/>
      <c r="B52" s="625"/>
      <c r="C52" s="440"/>
      <c r="D52" s="152"/>
      <c r="E52" s="152"/>
      <c r="F52" s="475"/>
      <c r="G52" s="443"/>
      <c r="H52" s="100"/>
      <c r="I52" s="128"/>
      <c r="J52" s="100"/>
      <c r="K52" s="147"/>
      <c r="L52" s="129"/>
      <c r="M52" s="446"/>
      <c r="N52" s="425"/>
      <c r="O52" s="428"/>
      <c r="P52" s="425"/>
      <c r="Q52" s="429"/>
      <c r="R52" s="422"/>
      <c r="S52" s="150"/>
      <c r="T52" s="97"/>
      <c r="U52" s="47" t="s">
        <v>627</v>
      </c>
      <c r="V52" s="172"/>
      <c r="W52" s="172"/>
      <c r="X52" s="172"/>
      <c r="Y52" s="95" t="str">
        <f t="shared" si="3"/>
        <v/>
      </c>
      <c r="Z52" s="172"/>
      <c r="AA52" s="95" t="str">
        <f t="shared" si="4"/>
        <v/>
      </c>
      <c r="AB52" s="150"/>
      <c r="AC52" s="95" t="str">
        <f t="shared" si="5"/>
        <v/>
      </c>
      <c r="AD52" s="150"/>
      <c r="AE52" s="95" t="str">
        <f t="shared" si="6"/>
        <v/>
      </c>
      <c r="AF52" s="150"/>
      <c r="AG52" s="95" t="str">
        <f t="shared" si="7"/>
        <v/>
      </c>
      <c r="AH52" s="150"/>
      <c r="AI52" s="95" t="str">
        <f t="shared" si="8"/>
        <v/>
      </c>
      <c r="AJ52" s="150"/>
      <c r="AK52" s="27" t="str">
        <f t="shared" si="0"/>
        <v/>
      </c>
      <c r="AL52" s="48" t="str">
        <f t="shared" si="11"/>
        <v/>
      </c>
      <c r="AM52" s="48" t="str">
        <f t="shared" si="9"/>
        <v/>
      </c>
      <c r="AN52" s="196"/>
      <c r="AO52" s="196"/>
      <c r="AP52" s="196"/>
      <c r="AQ52" s="196"/>
      <c r="AR52" s="196"/>
      <c r="AS52" s="196"/>
      <c r="AT52" s="196"/>
      <c r="AU52" s="197" t="str">
        <f>IFERROR(VLOOKUP(AT52,'Seguridad Información'!$I$61:$J$65,2,0),"")</f>
        <v/>
      </c>
      <c r="AV52" s="79"/>
      <c r="AW52" s="78" t="str">
        <f t="shared" si="1"/>
        <v/>
      </c>
      <c r="AX52" s="77" t="str">
        <f t="shared" si="2"/>
        <v/>
      </c>
      <c r="AY52" s="21" t="str">
        <f>IFERROR(VLOOKUP((CONCATENATE(AM52,AX52)),Listados!$U$3:$V$11,2,FALSE),"")</f>
        <v/>
      </c>
      <c r="AZ52" s="48">
        <f t="shared" si="10"/>
        <v>100</v>
      </c>
      <c r="BA52" s="431"/>
      <c r="BB52" s="433"/>
      <c r="BC52" s="169">
        <f>+IF(AND(W52="Preventivo",BB49="Fuerte"),2,IF(AND(W52="Preventivo",BB49="Moderado"),1,0))</f>
        <v>0</v>
      </c>
      <c r="BD52" s="64">
        <f>+IF(AND(W52="Detectivo/Correctivo",$BB49="Fuerte"),2,IF(AND(W52="Detectivo/Correctivo",$BB52="Moderado"),1,IF(AND(W52="Preventivo",$BB49="Fuerte"),1,0)))</f>
        <v>0</v>
      </c>
      <c r="BE52" s="169" t="e">
        <f>+N49-BC52</f>
        <v>#N/A</v>
      </c>
      <c r="BF52" s="169" t="e">
        <f>+P49-BD52</f>
        <v>#N/A</v>
      </c>
      <c r="BG52" s="422"/>
      <c r="BH52" s="422"/>
      <c r="BI52" s="422"/>
      <c r="BJ52" s="645"/>
      <c r="BK52" s="645"/>
      <c r="BL52" s="645"/>
      <c r="BM52" s="645"/>
    </row>
    <row r="53" spans="1:65" ht="65.099999999999994" customHeight="1" thickBot="1">
      <c r="A53" s="405"/>
      <c r="B53" s="625"/>
      <c r="C53" s="440"/>
      <c r="D53" s="109"/>
      <c r="E53" s="109"/>
      <c r="F53" s="475"/>
      <c r="G53" s="443"/>
      <c r="H53" s="100"/>
      <c r="I53" s="128"/>
      <c r="J53" s="100"/>
      <c r="K53" s="29"/>
      <c r="L53" s="129"/>
      <c r="M53" s="446"/>
      <c r="N53" s="425"/>
      <c r="O53" s="428"/>
      <c r="P53" s="425"/>
      <c r="Q53" s="429"/>
      <c r="R53" s="422"/>
      <c r="S53" s="150"/>
      <c r="T53" s="198"/>
      <c r="U53" s="47" t="s">
        <v>627</v>
      </c>
      <c r="V53" s="172"/>
      <c r="W53" s="172"/>
      <c r="X53" s="172"/>
      <c r="Y53" s="95" t="str">
        <f t="shared" si="3"/>
        <v/>
      </c>
      <c r="Z53" s="172"/>
      <c r="AA53" s="95" t="str">
        <f t="shared" si="4"/>
        <v/>
      </c>
      <c r="AB53" s="150"/>
      <c r="AC53" s="95" t="str">
        <f t="shared" si="5"/>
        <v/>
      </c>
      <c r="AD53" s="150"/>
      <c r="AE53" s="95" t="str">
        <f t="shared" si="6"/>
        <v/>
      </c>
      <c r="AF53" s="150"/>
      <c r="AG53" s="95" t="str">
        <f t="shared" si="7"/>
        <v/>
      </c>
      <c r="AH53" s="150"/>
      <c r="AI53" s="95" t="str">
        <f t="shared" si="8"/>
        <v/>
      </c>
      <c r="AJ53" s="150"/>
      <c r="AK53" s="27" t="str">
        <f t="shared" si="0"/>
        <v/>
      </c>
      <c r="AL53" s="48" t="str">
        <f t="shared" si="11"/>
        <v/>
      </c>
      <c r="AM53" s="48" t="str">
        <f t="shared" si="9"/>
        <v/>
      </c>
      <c r="AN53" s="196"/>
      <c r="AO53" s="196"/>
      <c r="AP53" s="196"/>
      <c r="AQ53" s="196"/>
      <c r="AR53" s="196"/>
      <c r="AS53" s="196"/>
      <c r="AT53" s="196"/>
      <c r="AU53" s="197" t="str">
        <f>IFERROR(VLOOKUP(AT53,'Seguridad Información'!$I$61:$J$65,2,0),"")</f>
        <v/>
      </c>
      <c r="AV53" s="79"/>
      <c r="AW53" s="78" t="str">
        <f t="shared" si="1"/>
        <v/>
      </c>
      <c r="AX53" s="77" t="str">
        <f t="shared" si="2"/>
        <v/>
      </c>
      <c r="AY53" s="21" t="str">
        <f>IFERROR(VLOOKUP((CONCATENATE(AM53,AX53)),Listados!$U$3:$V$11,2,FALSE),"")</f>
        <v/>
      </c>
      <c r="AZ53" s="48">
        <f t="shared" si="10"/>
        <v>100</v>
      </c>
      <c r="BA53" s="431"/>
      <c r="BB53" s="433"/>
      <c r="BC53" s="169">
        <f>+IF(AND(W53="Preventivo",BB49="Fuerte"),2,IF(AND(W53="Preventivo",BB49="Moderado"),1,0))</f>
        <v>0</v>
      </c>
      <c r="BD53" s="64">
        <f>+IF(AND(W53="Detectivo/Correctivo",$BB49="Fuerte"),2,IF(AND(W53="Detectivo/Correctivo",$BB53="Moderado"),1,IF(AND(W53="Preventivo",$BB49="Fuerte"),1,0)))</f>
        <v>0</v>
      </c>
      <c r="BE53" s="169" t="e">
        <f>+N49-BC53</f>
        <v>#N/A</v>
      </c>
      <c r="BF53" s="169" t="e">
        <f>+P49-BD53</f>
        <v>#N/A</v>
      </c>
      <c r="BG53" s="422"/>
      <c r="BH53" s="422"/>
      <c r="BI53" s="422"/>
      <c r="BJ53" s="645"/>
      <c r="BK53" s="645"/>
      <c r="BL53" s="645"/>
      <c r="BM53" s="645"/>
    </row>
    <row r="54" spans="1:65" ht="65.099999999999994" customHeight="1" thickBot="1">
      <c r="A54" s="406"/>
      <c r="B54" s="625"/>
      <c r="C54" s="441"/>
      <c r="D54" s="106"/>
      <c r="E54" s="106"/>
      <c r="F54" s="619"/>
      <c r="G54" s="444"/>
      <c r="H54" s="100"/>
      <c r="I54" s="128"/>
      <c r="J54" s="100"/>
      <c r="K54" s="31"/>
      <c r="L54" s="129"/>
      <c r="M54" s="446"/>
      <c r="N54" s="426"/>
      <c r="O54" s="428"/>
      <c r="P54" s="426"/>
      <c r="Q54" s="429"/>
      <c r="R54" s="423"/>
      <c r="S54" s="150"/>
      <c r="T54" s="98"/>
      <c r="U54" s="47" t="s">
        <v>627</v>
      </c>
      <c r="V54" s="172"/>
      <c r="W54" s="172"/>
      <c r="X54" s="172"/>
      <c r="Y54" s="95" t="str">
        <f t="shared" si="3"/>
        <v/>
      </c>
      <c r="Z54" s="172"/>
      <c r="AA54" s="95" t="str">
        <f t="shared" si="4"/>
        <v/>
      </c>
      <c r="AB54" s="150"/>
      <c r="AC54" s="95" t="str">
        <f t="shared" si="5"/>
        <v/>
      </c>
      <c r="AD54" s="150"/>
      <c r="AE54" s="95" t="str">
        <f t="shared" si="6"/>
        <v/>
      </c>
      <c r="AF54" s="150"/>
      <c r="AG54" s="95" t="str">
        <f t="shared" si="7"/>
        <v/>
      </c>
      <c r="AH54" s="150"/>
      <c r="AI54" s="95" t="str">
        <f t="shared" si="8"/>
        <v/>
      </c>
      <c r="AJ54" s="150"/>
      <c r="AK54" s="27" t="str">
        <f t="shared" si="0"/>
        <v/>
      </c>
      <c r="AL54" s="48" t="str">
        <f t="shared" si="11"/>
        <v/>
      </c>
      <c r="AM54" s="48" t="str">
        <f t="shared" si="9"/>
        <v/>
      </c>
      <c r="AN54" s="196"/>
      <c r="AO54" s="196"/>
      <c r="AP54" s="196"/>
      <c r="AQ54" s="196"/>
      <c r="AR54" s="196"/>
      <c r="AS54" s="196"/>
      <c r="AT54" s="196"/>
      <c r="AU54" s="197" t="str">
        <f>IFERROR(VLOOKUP(AT54,'Seguridad Información'!$I$61:$J$65,2,0),"")</f>
        <v/>
      </c>
      <c r="AV54" s="79"/>
      <c r="AW54" s="78" t="str">
        <f t="shared" si="1"/>
        <v/>
      </c>
      <c r="AX54" s="77" t="str">
        <f t="shared" si="2"/>
        <v/>
      </c>
      <c r="AY54" s="21" t="str">
        <f>IFERROR(VLOOKUP((CONCATENATE(AM54,AX54)),Listados!$U$3:$V$11,2,FALSE),"")</f>
        <v/>
      </c>
      <c r="AZ54" s="48">
        <f t="shared" si="10"/>
        <v>100</v>
      </c>
      <c r="BA54" s="432"/>
      <c r="BB54" s="433"/>
      <c r="BC54" s="169">
        <f>+IF(AND(W54="Preventivo",BB49="Fuerte"),2,IF(AND(W54="Preventivo",BB49="Moderado"),1,0))</f>
        <v>0</v>
      </c>
      <c r="BD54" s="64">
        <f>+IF(AND(W54="Detectivo/Correctivo",$BB49="Fuerte"),2,IF(AND(W54="Detectivo/Correctivo",$BB54="Moderado"),1,IF(AND(W54="Preventivo",$BB49="Fuerte"),1,0)))</f>
        <v>0</v>
      </c>
      <c r="BE54" s="169" t="e">
        <f>+N49-BC54</f>
        <v>#N/A</v>
      </c>
      <c r="BF54" s="169" t="e">
        <f>+P49-BD54</f>
        <v>#N/A</v>
      </c>
      <c r="BG54" s="423"/>
      <c r="BH54" s="423"/>
      <c r="BI54" s="423"/>
      <c r="BJ54" s="646"/>
      <c r="BK54" s="646"/>
      <c r="BL54" s="646"/>
      <c r="BM54" s="646"/>
    </row>
    <row r="55" spans="1:65" ht="65.099999999999994" customHeight="1" thickBot="1">
      <c r="A55" s="404">
        <v>9</v>
      </c>
      <c r="B55" s="628"/>
      <c r="C55" s="447" t="str">
        <f>IFERROR(VLOOKUP(B55,Listados!B$3:C$20,2,FALSE),"")</f>
        <v/>
      </c>
      <c r="D55" s="107"/>
      <c r="E55" s="107"/>
      <c r="F55" s="618"/>
      <c r="G55" s="448"/>
      <c r="H55" s="100"/>
      <c r="I55" s="128"/>
      <c r="J55" s="100"/>
      <c r="K55" s="103"/>
      <c r="L55" s="17"/>
      <c r="M55" s="445"/>
      <c r="N55" s="424" t="e">
        <f>+VLOOKUP(M55,Listados!$K$8:$L$12,2,0)</f>
        <v>#N/A</v>
      </c>
      <c r="O55" s="427"/>
      <c r="P55" s="424" t="e">
        <f>+VLOOKUP(O55,Listados!$K$13:$L$17,2,0)</f>
        <v>#N/A</v>
      </c>
      <c r="Q55" s="423" t="str">
        <f>IF(AND(M55&lt;&gt;"",O55&lt;&gt;""),VLOOKUP(M55&amp;O55,Listados!$M$3:$N$27,2,FALSE),"")</f>
        <v/>
      </c>
      <c r="R55" s="421" t="e">
        <f>+VLOOKUP(Q55,Listados!$P$3:$Q$6,2,FALSE)</f>
        <v>#N/A</v>
      </c>
      <c r="S55" s="150"/>
      <c r="T55" s="94"/>
      <c r="U55" s="47" t="s">
        <v>627</v>
      </c>
      <c r="V55" s="172"/>
      <c r="W55" s="172"/>
      <c r="X55" s="172"/>
      <c r="Y55" s="95" t="str">
        <f t="shared" si="3"/>
        <v/>
      </c>
      <c r="Z55" s="172"/>
      <c r="AA55" s="95" t="str">
        <f t="shared" si="4"/>
        <v/>
      </c>
      <c r="AB55" s="150"/>
      <c r="AC55" s="95" t="str">
        <f t="shared" si="5"/>
        <v/>
      </c>
      <c r="AD55" s="150"/>
      <c r="AE55" s="95" t="str">
        <f t="shared" si="6"/>
        <v/>
      </c>
      <c r="AF55" s="150"/>
      <c r="AG55" s="95" t="str">
        <f t="shared" si="7"/>
        <v/>
      </c>
      <c r="AH55" s="150"/>
      <c r="AI55" s="95" t="str">
        <f t="shared" si="8"/>
        <v/>
      </c>
      <c r="AJ55" s="150"/>
      <c r="AK55" s="27" t="str">
        <f t="shared" si="0"/>
        <v/>
      </c>
      <c r="AL55" s="48" t="str">
        <f t="shared" si="11"/>
        <v/>
      </c>
      <c r="AM55" s="48" t="str">
        <f t="shared" si="9"/>
        <v/>
      </c>
      <c r="AN55" s="196"/>
      <c r="AO55" s="196"/>
      <c r="AP55" s="196"/>
      <c r="AQ55" s="196"/>
      <c r="AR55" s="196"/>
      <c r="AS55" s="196"/>
      <c r="AT55" s="196"/>
      <c r="AU55" s="197" t="str">
        <f>IFERROR(VLOOKUP(AT55,'Seguridad Información'!$I$61:$J$65,2,0),"")</f>
        <v/>
      </c>
      <c r="AV55" s="79"/>
      <c r="AW55" s="78" t="str">
        <f t="shared" si="1"/>
        <v/>
      </c>
      <c r="AX55" s="77" t="str">
        <f t="shared" si="2"/>
        <v/>
      </c>
      <c r="AY55" s="21" t="str">
        <f>IFERROR(VLOOKUP((CONCATENATE(AM55,AX55)),Listados!$U$3:$V$11,2,FALSE),"")</f>
        <v/>
      </c>
      <c r="AZ55" s="48">
        <f t="shared" si="10"/>
        <v>100</v>
      </c>
      <c r="BA55" s="430">
        <f>AVERAGE(AZ55:AZ60)</f>
        <v>100</v>
      </c>
      <c r="BB55" s="432" t="str">
        <f>IF(BA55&lt;=50, "Débil", IF(BA55&lt;=99,"Moderado","Fuerte"))</f>
        <v>Fuerte</v>
      </c>
      <c r="BC55" s="169">
        <f>+IF(AND(W55="Preventivo",BB55="Fuerte"),2,IF(AND(W55="Preventivo",BB55="Moderado"),1,0))</f>
        <v>0</v>
      </c>
      <c r="BD55" s="64">
        <f>+IF(AND(W55="Detectivo/Correctivo",$BB55="Fuerte"),2,IF(AND(W55="Detectivo/Correctivo",$BB55="Moderado"),1,IF(AND(W55="Preventivo",$BB55="Fuerte"),1,0)))</f>
        <v>0</v>
      </c>
      <c r="BE55" s="169" t="e">
        <f>+N55-BC55</f>
        <v>#N/A</v>
      </c>
      <c r="BF55" s="169" t="e">
        <f>+P55-BD55</f>
        <v>#N/A</v>
      </c>
      <c r="BG55" s="421" t="e">
        <f>+VLOOKUP(MIN(BE55,BE56,BE57,BE58,BE59,BE60),Listados!$J$18:$K$24,2,TRUE)</f>
        <v>#N/A</v>
      </c>
      <c r="BH55" s="421" t="e">
        <f>+VLOOKUP(MIN(BF55,BF56,BF57,BF58,BF59,BF60),Listados!$J$27:$K$32,2,TRUE)</f>
        <v>#N/A</v>
      </c>
      <c r="BI55" s="421" t="e">
        <f>IF(AND(BG55&lt;&gt;"",BH55&lt;&gt;""),VLOOKUP(BG55&amp;BH55,Listados!$M$3:$N$27,2,FALSE),"")</f>
        <v>#N/A</v>
      </c>
      <c r="BJ55" s="644" t="e">
        <f>+IF($R55="Asumir el riesgo","NA","")</f>
        <v>#N/A</v>
      </c>
      <c r="BK55" s="644" t="e">
        <f>+IF($R55="Asumir el riesgo","NA","")</f>
        <v>#N/A</v>
      </c>
      <c r="BL55" s="644" t="e">
        <f>+IF($R55="Asumir el riesgo","NA","")</f>
        <v>#N/A</v>
      </c>
      <c r="BM55" s="644" t="e">
        <f>+IF($R55="Asumir el riesgo","NA","")</f>
        <v>#N/A</v>
      </c>
    </row>
    <row r="56" spans="1:65" ht="65.099999999999994" customHeight="1" thickBot="1">
      <c r="A56" s="405"/>
      <c r="B56" s="625"/>
      <c r="C56" s="440"/>
      <c r="D56" s="152"/>
      <c r="E56" s="152"/>
      <c r="F56" s="475"/>
      <c r="G56" s="443"/>
      <c r="H56" s="100"/>
      <c r="I56" s="128"/>
      <c r="J56" s="100"/>
      <c r="K56" s="147"/>
      <c r="L56" s="129"/>
      <c r="M56" s="446"/>
      <c r="N56" s="425"/>
      <c r="O56" s="428"/>
      <c r="P56" s="425"/>
      <c r="Q56" s="429"/>
      <c r="R56" s="422"/>
      <c r="S56" s="150"/>
      <c r="T56" s="198"/>
      <c r="U56" s="47" t="s">
        <v>627</v>
      </c>
      <c r="V56" s="172"/>
      <c r="W56" s="172"/>
      <c r="X56" s="172"/>
      <c r="Y56" s="95" t="str">
        <f t="shared" si="3"/>
        <v/>
      </c>
      <c r="Z56" s="172"/>
      <c r="AA56" s="95" t="str">
        <f t="shared" si="4"/>
        <v/>
      </c>
      <c r="AB56" s="150"/>
      <c r="AC56" s="95" t="str">
        <f t="shared" si="5"/>
        <v/>
      </c>
      <c r="AD56" s="150"/>
      <c r="AE56" s="95" t="str">
        <f t="shared" si="6"/>
        <v/>
      </c>
      <c r="AF56" s="150"/>
      <c r="AG56" s="95" t="str">
        <f t="shared" si="7"/>
        <v/>
      </c>
      <c r="AH56" s="150"/>
      <c r="AI56" s="95" t="str">
        <f t="shared" si="8"/>
        <v/>
      </c>
      <c r="AJ56" s="150"/>
      <c r="AK56" s="27" t="str">
        <f t="shared" si="0"/>
        <v/>
      </c>
      <c r="AL56" s="48" t="str">
        <f t="shared" si="11"/>
        <v/>
      </c>
      <c r="AM56" s="48" t="str">
        <f t="shared" si="9"/>
        <v/>
      </c>
      <c r="AN56" s="196"/>
      <c r="AO56" s="196"/>
      <c r="AP56" s="196"/>
      <c r="AQ56" s="196"/>
      <c r="AR56" s="196"/>
      <c r="AS56" s="196"/>
      <c r="AT56" s="196"/>
      <c r="AU56" s="197" t="str">
        <f>IFERROR(VLOOKUP(AT56,'Seguridad Información'!$I$61:$J$65,2,0),"")</f>
        <v/>
      </c>
      <c r="AV56" s="79"/>
      <c r="AW56" s="78" t="str">
        <f t="shared" si="1"/>
        <v/>
      </c>
      <c r="AX56" s="77" t="str">
        <f t="shared" si="2"/>
        <v/>
      </c>
      <c r="AY56" s="21" t="str">
        <f>IFERROR(VLOOKUP((CONCATENATE(AM56,AX56)),Listados!$U$3:$V$11,2,FALSE),"")</f>
        <v/>
      </c>
      <c r="AZ56" s="48">
        <f t="shared" si="10"/>
        <v>100</v>
      </c>
      <c r="BA56" s="431"/>
      <c r="BB56" s="433"/>
      <c r="BC56" s="169">
        <f>+IF(AND(W56="Preventivo",BB55="Fuerte"),2,IF(AND(W56="Preventivo",BB55="Moderado"),1,0))</f>
        <v>0</v>
      </c>
      <c r="BD56" s="64">
        <f>+IF(AND(W56="Detectivo/Correctivo",$BB55="Fuerte"),2,IF(AND(W56="Detectivo/Correctivo",$BB56="Moderado"),1,IF(AND(W56="Preventivo",$BB55="Fuerte"),1,0)))</f>
        <v>0</v>
      </c>
      <c r="BE56" s="169" t="e">
        <f>+N55-BC56</f>
        <v>#N/A</v>
      </c>
      <c r="BF56" s="169" t="e">
        <f>+P55-BD56</f>
        <v>#N/A</v>
      </c>
      <c r="BG56" s="422"/>
      <c r="BH56" s="422"/>
      <c r="BI56" s="422"/>
      <c r="BJ56" s="645"/>
      <c r="BK56" s="645"/>
      <c r="BL56" s="645"/>
      <c r="BM56" s="645"/>
    </row>
    <row r="57" spans="1:65" ht="65.099999999999994" customHeight="1" thickBot="1">
      <c r="A57" s="405"/>
      <c r="B57" s="625"/>
      <c r="C57" s="440"/>
      <c r="D57" s="152"/>
      <c r="E57" s="152"/>
      <c r="F57" s="475"/>
      <c r="G57" s="443"/>
      <c r="H57" s="100"/>
      <c r="I57" s="128"/>
      <c r="J57" s="100"/>
      <c r="K57" s="147"/>
      <c r="L57" s="129"/>
      <c r="M57" s="446"/>
      <c r="N57" s="425"/>
      <c r="O57" s="428"/>
      <c r="P57" s="425"/>
      <c r="Q57" s="429"/>
      <c r="R57" s="422"/>
      <c r="S57" s="150"/>
      <c r="T57" s="96"/>
      <c r="U57" s="47" t="s">
        <v>627</v>
      </c>
      <c r="V57" s="172"/>
      <c r="W57" s="172"/>
      <c r="X57" s="172"/>
      <c r="Y57" s="95" t="str">
        <f t="shared" si="3"/>
        <v/>
      </c>
      <c r="Z57" s="172"/>
      <c r="AA57" s="95" t="str">
        <f t="shared" si="4"/>
        <v/>
      </c>
      <c r="AB57" s="150"/>
      <c r="AC57" s="95" t="str">
        <f t="shared" si="5"/>
        <v/>
      </c>
      <c r="AD57" s="150"/>
      <c r="AE57" s="95" t="str">
        <f t="shared" si="6"/>
        <v/>
      </c>
      <c r="AF57" s="150"/>
      <c r="AG57" s="95" t="str">
        <f t="shared" si="7"/>
        <v/>
      </c>
      <c r="AH57" s="150"/>
      <c r="AI57" s="95" t="str">
        <f t="shared" si="8"/>
        <v/>
      </c>
      <c r="AJ57" s="150"/>
      <c r="AK57" s="27" t="str">
        <f t="shared" si="0"/>
        <v/>
      </c>
      <c r="AL57" s="48" t="str">
        <f t="shared" si="11"/>
        <v/>
      </c>
      <c r="AM57" s="48" t="str">
        <f t="shared" si="9"/>
        <v/>
      </c>
      <c r="AN57" s="196"/>
      <c r="AO57" s="196"/>
      <c r="AP57" s="196"/>
      <c r="AQ57" s="196"/>
      <c r="AR57" s="196"/>
      <c r="AS57" s="196"/>
      <c r="AT57" s="196"/>
      <c r="AU57" s="197" t="str">
        <f>IFERROR(VLOOKUP(AT57,'Seguridad Información'!$I$61:$J$65,2,0),"")</f>
        <v/>
      </c>
      <c r="AV57" s="79"/>
      <c r="AW57" s="78" t="str">
        <f t="shared" si="1"/>
        <v/>
      </c>
      <c r="AX57" s="77" t="str">
        <f t="shared" si="2"/>
        <v/>
      </c>
      <c r="AY57" s="21" t="str">
        <f>IFERROR(VLOOKUP((CONCATENATE(AM57,AX57)),Listados!$U$3:$V$11,2,FALSE),"")</f>
        <v/>
      </c>
      <c r="AZ57" s="48">
        <f t="shared" si="10"/>
        <v>100</v>
      </c>
      <c r="BA57" s="431"/>
      <c r="BB57" s="433"/>
      <c r="BC57" s="169">
        <f>+IF(AND(W57="Preventivo",BB55="Fuerte"),2,IF(AND(W57="Preventivo",BB55="Moderado"),1,0))</f>
        <v>0</v>
      </c>
      <c r="BD57" s="64">
        <f>+IF(AND(W57="Detectivo/Correctivo",$BB55="Fuerte"),2,IF(AND(W57="Detectivo/Correctivo",$BB57="Moderado"),1,IF(AND(W57="Preventivo",$BB55="Fuerte"),1,0)))</f>
        <v>0</v>
      </c>
      <c r="BE57" s="169" t="e">
        <f>+N55-BC57</f>
        <v>#N/A</v>
      </c>
      <c r="BF57" s="169" t="e">
        <f>+P55-BD57</f>
        <v>#N/A</v>
      </c>
      <c r="BG57" s="422"/>
      <c r="BH57" s="422"/>
      <c r="BI57" s="422"/>
      <c r="BJ57" s="645"/>
      <c r="BK57" s="645"/>
      <c r="BL57" s="645"/>
      <c r="BM57" s="645"/>
    </row>
    <row r="58" spans="1:65" ht="65.099999999999994" customHeight="1" thickBot="1">
      <c r="A58" s="405"/>
      <c r="B58" s="625"/>
      <c r="C58" s="440"/>
      <c r="D58" s="152"/>
      <c r="E58" s="152"/>
      <c r="F58" s="475"/>
      <c r="G58" s="443"/>
      <c r="H58" s="100"/>
      <c r="I58" s="128"/>
      <c r="J58" s="100"/>
      <c r="K58" s="147"/>
      <c r="L58" s="129"/>
      <c r="M58" s="446"/>
      <c r="N58" s="425"/>
      <c r="O58" s="428"/>
      <c r="P58" s="425"/>
      <c r="Q58" s="429"/>
      <c r="R58" s="422"/>
      <c r="S58" s="150"/>
      <c r="T58" s="97"/>
      <c r="U58" s="47" t="s">
        <v>627</v>
      </c>
      <c r="V58" s="172"/>
      <c r="W58" s="172"/>
      <c r="X58" s="172"/>
      <c r="Y58" s="95" t="str">
        <f t="shared" si="3"/>
        <v/>
      </c>
      <c r="Z58" s="172"/>
      <c r="AA58" s="95" t="str">
        <f t="shared" si="4"/>
        <v/>
      </c>
      <c r="AB58" s="150"/>
      <c r="AC58" s="95" t="str">
        <f t="shared" si="5"/>
        <v/>
      </c>
      <c r="AD58" s="150"/>
      <c r="AE58" s="95" t="str">
        <f t="shared" si="6"/>
        <v/>
      </c>
      <c r="AF58" s="150"/>
      <c r="AG58" s="95" t="str">
        <f t="shared" si="7"/>
        <v/>
      </c>
      <c r="AH58" s="150"/>
      <c r="AI58" s="95" t="str">
        <f t="shared" si="8"/>
        <v/>
      </c>
      <c r="AJ58" s="150"/>
      <c r="AK58" s="27" t="str">
        <f t="shared" si="0"/>
        <v/>
      </c>
      <c r="AL58" s="48" t="str">
        <f t="shared" si="11"/>
        <v/>
      </c>
      <c r="AM58" s="48" t="str">
        <f t="shared" si="9"/>
        <v/>
      </c>
      <c r="AN58" s="196"/>
      <c r="AO58" s="196"/>
      <c r="AP58" s="196"/>
      <c r="AQ58" s="196"/>
      <c r="AR58" s="196"/>
      <c r="AS58" s="196"/>
      <c r="AT58" s="196"/>
      <c r="AU58" s="197" t="str">
        <f>IFERROR(VLOOKUP(AT58,'Seguridad Información'!$I$61:$J$65,2,0),"")</f>
        <v/>
      </c>
      <c r="AV58" s="79"/>
      <c r="AW58" s="78" t="str">
        <f t="shared" si="1"/>
        <v/>
      </c>
      <c r="AX58" s="77" t="str">
        <f t="shared" si="2"/>
        <v/>
      </c>
      <c r="AY58" s="21" t="str">
        <f>IFERROR(VLOOKUP((CONCATENATE(AM58,AX58)),Listados!$U$3:$V$11,2,FALSE),"")</f>
        <v/>
      </c>
      <c r="AZ58" s="48">
        <f t="shared" si="10"/>
        <v>100</v>
      </c>
      <c r="BA58" s="431"/>
      <c r="BB58" s="433"/>
      <c r="BC58" s="169">
        <f>+IF(AND(W58="Preventivo",BB55="Fuerte"),2,IF(AND(W58="Preventivo",BB55="Moderado"),1,0))</f>
        <v>0</v>
      </c>
      <c r="BD58" s="64">
        <f>+IF(AND(W58="Detectivo/Correctivo",$BB55="Fuerte"),2,IF(AND(W58="Detectivo/Correctivo",$BB58="Moderado"),1,IF(AND(W58="Preventivo",$BB55="Fuerte"),1,0)))</f>
        <v>0</v>
      </c>
      <c r="BE58" s="169" t="e">
        <f>+N55-BC58</f>
        <v>#N/A</v>
      </c>
      <c r="BF58" s="169" t="e">
        <f>+P55-BD58</f>
        <v>#N/A</v>
      </c>
      <c r="BG58" s="422"/>
      <c r="BH58" s="422"/>
      <c r="BI58" s="422"/>
      <c r="BJ58" s="645"/>
      <c r="BK58" s="645"/>
      <c r="BL58" s="645"/>
      <c r="BM58" s="645"/>
    </row>
    <row r="59" spans="1:65" ht="65.099999999999994" customHeight="1" thickBot="1">
      <c r="A59" s="405"/>
      <c r="B59" s="625"/>
      <c r="C59" s="440"/>
      <c r="D59" s="109"/>
      <c r="E59" s="109"/>
      <c r="F59" s="475"/>
      <c r="G59" s="443"/>
      <c r="H59" s="100"/>
      <c r="I59" s="128"/>
      <c r="J59" s="100"/>
      <c r="K59" s="29"/>
      <c r="L59" s="129"/>
      <c r="M59" s="446"/>
      <c r="N59" s="425"/>
      <c r="O59" s="428"/>
      <c r="P59" s="425"/>
      <c r="Q59" s="429"/>
      <c r="R59" s="422"/>
      <c r="S59" s="150"/>
      <c r="T59" s="198"/>
      <c r="U59" s="47" t="s">
        <v>627</v>
      </c>
      <c r="V59" s="172"/>
      <c r="W59" s="172"/>
      <c r="X59" s="172"/>
      <c r="Y59" s="95" t="str">
        <f t="shared" si="3"/>
        <v/>
      </c>
      <c r="Z59" s="172"/>
      <c r="AA59" s="95" t="str">
        <f t="shared" si="4"/>
        <v/>
      </c>
      <c r="AB59" s="150"/>
      <c r="AC59" s="95" t="str">
        <f t="shared" si="5"/>
        <v/>
      </c>
      <c r="AD59" s="150"/>
      <c r="AE59" s="95" t="str">
        <f t="shared" si="6"/>
        <v/>
      </c>
      <c r="AF59" s="150"/>
      <c r="AG59" s="95" t="str">
        <f t="shared" si="7"/>
        <v/>
      </c>
      <c r="AH59" s="150"/>
      <c r="AI59" s="95" t="str">
        <f t="shared" si="8"/>
        <v/>
      </c>
      <c r="AJ59" s="150"/>
      <c r="AK59" s="27" t="str">
        <f t="shared" si="0"/>
        <v/>
      </c>
      <c r="AL59" s="48" t="str">
        <f t="shared" si="11"/>
        <v/>
      </c>
      <c r="AM59" s="48" t="str">
        <f t="shared" si="9"/>
        <v/>
      </c>
      <c r="AN59" s="196"/>
      <c r="AO59" s="196"/>
      <c r="AP59" s="196"/>
      <c r="AQ59" s="196"/>
      <c r="AR59" s="196"/>
      <c r="AS59" s="196"/>
      <c r="AT59" s="196"/>
      <c r="AU59" s="197" t="str">
        <f>IFERROR(VLOOKUP(AT59,'Seguridad Información'!$I$61:$J$65,2,0),"")</f>
        <v/>
      </c>
      <c r="AV59" s="79"/>
      <c r="AW59" s="78" t="str">
        <f t="shared" si="1"/>
        <v/>
      </c>
      <c r="AX59" s="77" t="str">
        <f t="shared" si="2"/>
        <v/>
      </c>
      <c r="AY59" s="21" t="str">
        <f>IFERROR(VLOOKUP((CONCATENATE(AM59,AX59)),Listados!$U$3:$V$11,2,FALSE),"")</f>
        <v/>
      </c>
      <c r="AZ59" s="48">
        <f t="shared" si="10"/>
        <v>100</v>
      </c>
      <c r="BA59" s="431"/>
      <c r="BB59" s="433"/>
      <c r="BC59" s="169">
        <f>+IF(AND(W59="Preventivo",BB55="Fuerte"),2,IF(AND(W59="Preventivo",BB55="Moderado"),1,0))</f>
        <v>0</v>
      </c>
      <c r="BD59" s="64">
        <f>+IF(AND(W59="Detectivo/Correctivo",$BB55="Fuerte"),2,IF(AND(W59="Detectivo/Correctivo",$BB59="Moderado"),1,IF(AND(W59="Preventivo",$BB55="Fuerte"),1,0)))</f>
        <v>0</v>
      </c>
      <c r="BE59" s="169" t="e">
        <f>+N55-BC59</f>
        <v>#N/A</v>
      </c>
      <c r="BF59" s="169" t="e">
        <f>+P55-BD59</f>
        <v>#N/A</v>
      </c>
      <c r="BG59" s="422"/>
      <c r="BH59" s="422"/>
      <c r="BI59" s="422"/>
      <c r="BJ59" s="645"/>
      <c r="BK59" s="645"/>
      <c r="BL59" s="645"/>
      <c r="BM59" s="645"/>
    </row>
    <row r="60" spans="1:65" ht="65.099999999999994" customHeight="1" thickBot="1">
      <c r="A60" s="406"/>
      <c r="B60" s="625"/>
      <c r="C60" s="441"/>
      <c r="D60" s="106"/>
      <c r="E60" s="106"/>
      <c r="F60" s="619"/>
      <c r="G60" s="444"/>
      <c r="H60" s="100"/>
      <c r="I60" s="128"/>
      <c r="J60" s="100"/>
      <c r="K60" s="31"/>
      <c r="L60" s="129"/>
      <c r="M60" s="446"/>
      <c r="N60" s="426"/>
      <c r="O60" s="428"/>
      <c r="P60" s="426"/>
      <c r="Q60" s="429"/>
      <c r="R60" s="423"/>
      <c r="S60" s="150"/>
      <c r="T60" s="98"/>
      <c r="U60" s="47" t="s">
        <v>627</v>
      </c>
      <c r="V60" s="172"/>
      <c r="W60" s="172"/>
      <c r="X60" s="172"/>
      <c r="Y60" s="95" t="str">
        <f t="shared" si="3"/>
        <v/>
      </c>
      <c r="Z60" s="172"/>
      <c r="AA60" s="95" t="str">
        <f t="shared" si="4"/>
        <v/>
      </c>
      <c r="AB60" s="150"/>
      <c r="AC60" s="95" t="str">
        <f t="shared" si="5"/>
        <v/>
      </c>
      <c r="AD60" s="150"/>
      <c r="AE60" s="95" t="str">
        <f t="shared" si="6"/>
        <v/>
      </c>
      <c r="AF60" s="150"/>
      <c r="AG60" s="95" t="str">
        <f t="shared" si="7"/>
        <v/>
      </c>
      <c r="AH60" s="150"/>
      <c r="AI60" s="95" t="str">
        <f t="shared" si="8"/>
        <v/>
      </c>
      <c r="AJ60" s="150"/>
      <c r="AK60" s="27" t="str">
        <f t="shared" si="0"/>
        <v/>
      </c>
      <c r="AL60" s="48" t="str">
        <f t="shared" si="11"/>
        <v/>
      </c>
      <c r="AM60" s="48" t="str">
        <f t="shared" si="9"/>
        <v/>
      </c>
      <c r="AN60" s="196"/>
      <c r="AO60" s="196"/>
      <c r="AP60" s="196"/>
      <c r="AQ60" s="196"/>
      <c r="AR60" s="196"/>
      <c r="AS60" s="196"/>
      <c r="AT60" s="196"/>
      <c r="AU60" s="197" t="str">
        <f>IFERROR(VLOOKUP(AT60,'Seguridad Información'!$I$61:$J$65,2,0),"")</f>
        <v/>
      </c>
      <c r="AV60" s="79"/>
      <c r="AW60" s="78" t="str">
        <f t="shared" si="1"/>
        <v/>
      </c>
      <c r="AX60" s="77" t="str">
        <f t="shared" si="2"/>
        <v/>
      </c>
      <c r="AY60" s="21" t="str">
        <f>IFERROR(VLOOKUP((CONCATENATE(AM60,AX60)),Listados!$U$3:$V$11,2,FALSE),"")</f>
        <v/>
      </c>
      <c r="AZ60" s="48">
        <f t="shared" si="10"/>
        <v>100</v>
      </c>
      <c r="BA60" s="432"/>
      <c r="BB60" s="433"/>
      <c r="BC60" s="169">
        <f>+IF(AND(W60="Preventivo",BB55="Fuerte"),2,IF(AND(W60="Preventivo",BB55="Moderado"),1,0))</f>
        <v>0</v>
      </c>
      <c r="BD60" s="64">
        <f>+IF(AND(W60="Detectivo/Correctivo",$BB55="Fuerte"),2,IF(AND(W60="Detectivo/Correctivo",$BB60="Moderado"),1,IF(AND(W60="Preventivo",$BB55="Fuerte"),1,0)))</f>
        <v>0</v>
      </c>
      <c r="BE60" s="169" t="e">
        <f>+N55-BC60</f>
        <v>#N/A</v>
      </c>
      <c r="BF60" s="169" t="e">
        <f>+P55-BD60</f>
        <v>#N/A</v>
      </c>
      <c r="BG60" s="423"/>
      <c r="BH60" s="423"/>
      <c r="BI60" s="423"/>
      <c r="BJ60" s="646"/>
      <c r="BK60" s="646"/>
      <c r="BL60" s="646"/>
      <c r="BM60" s="646"/>
    </row>
    <row r="61" spans="1:65" ht="65.099999999999994" customHeight="1" thickBot="1">
      <c r="A61" s="404">
        <v>10</v>
      </c>
      <c r="B61" s="628"/>
      <c r="C61" s="447" t="str">
        <f>IFERROR(VLOOKUP(B61,Listados!B$3:C$20,2,FALSE),"")</f>
        <v/>
      </c>
      <c r="D61" s="107"/>
      <c r="E61" s="107"/>
      <c r="F61" s="618"/>
      <c r="G61" s="448"/>
      <c r="H61" s="100"/>
      <c r="I61" s="128"/>
      <c r="J61" s="100"/>
      <c r="K61" s="103"/>
      <c r="L61" s="17"/>
      <c r="M61" s="445"/>
      <c r="N61" s="424" t="e">
        <f>+VLOOKUP(M61,Listados!$K$8:$L$12,2,0)</f>
        <v>#N/A</v>
      </c>
      <c r="O61" s="427"/>
      <c r="P61" s="424" t="e">
        <f>+VLOOKUP(O61,Listados!$K$13:$L$17,2,0)</f>
        <v>#N/A</v>
      </c>
      <c r="Q61" s="423" t="str">
        <f>IF(AND(M61&lt;&gt;"",O61&lt;&gt;""),VLOOKUP(M61&amp;O61,Listados!$M$3:$N$27,2,FALSE),"")</f>
        <v/>
      </c>
      <c r="R61" s="421" t="e">
        <f>+VLOOKUP(Q61,Listados!$P$3:$Q$6,2,FALSE)</f>
        <v>#N/A</v>
      </c>
      <c r="S61" s="150"/>
      <c r="T61" s="94"/>
      <c r="U61" s="47" t="s">
        <v>627</v>
      </c>
      <c r="V61" s="172"/>
      <c r="W61" s="172"/>
      <c r="X61" s="172"/>
      <c r="Y61" s="95" t="str">
        <f t="shared" si="3"/>
        <v/>
      </c>
      <c r="Z61" s="172"/>
      <c r="AA61" s="95" t="str">
        <f t="shared" si="4"/>
        <v/>
      </c>
      <c r="AB61" s="150"/>
      <c r="AC61" s="95" t="str">
        <f t="shared" si="5"/>
        <v/>
      </c>
      <c r="AD61" s="150"/>
      <c r="AE61" s="95" t="str">
        <f t="shared" si="6"/>
        <v/>
      </c>
      <c r="AF61" s="150"/>
      <c r="AG61" s="95" t="str">
        <f t="shared" si="7"/>
        <v/>
      </c>
      <c r="AH61" s="150"/>
      <c r="AI61" s="95" t="str">
        <f t="shared" si="8"/>
        <v/>
      </c>
      <c r="AJ61" s="150"/>
      <c r="AK61" s="27" t="str">
        <f t="shared" si="0"/>
        <v/>
      </c>
      <c r="AL61" s="48" t="str">
        <f t="shared" si="11"/>
        <v/>
      </c>
      <c r="AM61" s="48" t="str">
        <f t="shared" si="9"/>
        <v/>
      </c>
      <c r="AN61" s="196"/>
      <c r="AO61" s="196"/>
      <c r="AP61" s="196"/>
      <c r="AQ61" s="196"/>
      <c r="AR61" s="196"/>
      <c r="AS61" s="196"/>
      <c r="AT61" s="196"/>
      <c r="AU61" s="197" t="str">
        <f>IFERROR(VLOOKUP(AT61,'Seguridad Información'!$I$61:$J$65,2,0),"")</f>
        <v/>
      </c>
      <c r="AV61" s="79"/>
      <c r="AW61" s="78" t="str">
        <f t="shared" si="1"/>
        <v/>
      </c>
      <c r="AX61" s="77" t="str">
        <f t="shared" si="2"/>
        <v/>
      </c>
      <c r="AY61" s="21" t="str">
        <f>IFERROR(VLOOKUP((CONCATENATE(AM61,AX61)),Listados!$U$3:$V$11,2,FALSE),"")</f>
        <v/>
      </c>
      <c r="AZ61" s="48">
        <f t="shared" si="10"/>
        <v>100</v>
      </c>
      <c r="BA61" s="430">
        <f>AVERAGE(AZ61:AZ66)</f>
        <v>100</v>
      </c>
      <c r="BB61" s="432" t="str">
        <f>IF(BA61&lt;=50, "Débil", IF(BA61&lt;=99,"Moderado","Fuerte"))</f>
        <v>Fuerte</v>
      </c>
      <c r="BC61" s="169">
        <f>+IF(AND(W61="Preventivo",BB61="Fuerte"),2,IF(AND(W61="Preventivo",BB61="Moderado"),1,0))</f>
        <v>0</v>
      </c>
      <c r="BD61" s="64">
        <f>+IF(AND(W61="Detectivo/Correctivo",$BB61="Fuerte"),2,IF(AND(W61="Detectivo/Correctivo",$BB61="Moderado"),1,IF(AND(W61="Preventivo",$BB61="Fuerte"),1,0)))</f>
        <v>0</v>
      </c>
      <c r="BE61" s="169" t="e">
        <f>+N61-BC61</f>
        <v>#N/A</v>
      </c>
      <c r="BF61" s="169" t="e">
        <f>+P61-BD61</f>
        <v>#N/A</v>
      </c>
      <c r="BG61" s="421" t="e">
        <f>+VLOOKUP(MIN(BE61,BE62,BE63,BE64,BE65,BE66),Listados!$J$18:$K$24,2,TRUE)</f>
        <v>#N/A</v>
      </c>
      <c r="BH61" s="421" t="e">
        <f>+VLOOKUP(MIN(BF61,BF62,BF63,BF64,BF65,BF66),Listados!$J$27:$K$32,2,TRUE)</f>
        <v>#N/A</v>
      </c>
      <c r="BI61" s="421" t="e">
        <f>IF(AND(BG61&lt;&gt;"",BH61&lt;&gt;""),VLOOKUP(BG61&amp;BH61,Listados!$M$3:$N$27,2,FALSE),"")</f>
        <v>#N/A</v>
      </c>
      <c r="BJ61" s="644" t="e">
        <f>+IF($R61="Asumir el riesgo","NA","")</f>
        <v>#N/A</v>
      </c>
      <c r="BK61" s="644" t="e">
        <f>+IF($R61="Asumir el riesgo","NA","")</f>
        <v>#N/A</v>
      </c>
      <c r="BL61" s="644" t="e">
        <f>+IF($R61="Asumir el riesgo","NA","")</f>
        <v>#N/A</v>
      </c>
      <c r="BM61" s="644" t="e">
        <f>+IF($R61="Asumir el riesgo","NA","")</f>
        <v>#N/A</v>
      </c>
    </row>
    <row r="62" spans="1:65" ht="65.099999999999994" customHeight="1" thickBot="1">
      <c r="A62" s="405"/>
      <c r="B62" s="625"/>
      <c r="C62" s="440"/>
      <c r="D62" s="152"/>
      <c r="E62" s="152"/>
      <c r="F62" s="475"/>
      <c r="G62" s="443"/>
      <c r="H62" s="100"/>
      <c r="I62" s="128"/>
      <c r="J62" s="100"/>
      <c r="K62" s="147"/>
      <c r="L62" s="129"/>
      <c r="M62" s="446"/>
      <c r="N62" s="425"/>
      <c r="O62" s="428"/>
      <c r="P62" s="425"/>
      <c r="Q62" s="429"/>
      <c r="R62" s="422"/>
      <c r="S62" s="150"/>
      <c r="T62" s="198"/>
      <c r="U62" s="47" t="s">
        <v>627</v>
      </c>
      <c r="V62" s="172"/>
      <c r="W62" s="172"/>
      <c r="X62" s="172"/>
      <c r="Y62" s="95" t="str">
        <f t="shared" si="3"/>
        <v/>
      </c>
      <c r="Z62" s="172"/>
      <c r="AA62" s="95" t="str">
        <f t="shared" si="4"/>
        <v/>
      </c>
      <c r="AB62" s="150"/>
      <c r="AC62" s="95" t="str">
        <f t="shared" si="5"/>
        <v/>
      </c>
      <c r="AD62" s="150"/>
      <c r="AE62" s="95" t="str">
        <f t="shared" si="6"/>
        <v/>
      </c>
      <c r="AF62" s="150"/>
      <c r="AG62" s="95" t="str">
        <f t="shared" si="7"/>
        <v/>
      </c>
      <c r="AH62" s="150"/>
      <c r="AI62" s="95" t="str">
        <f t="shared" si="8"/>
        <v/>
      </c>
      <c r="AJ62" s="150"/>
      <c r="AK62" s="27" t="str">
        <f t="shared" si="0"/>
        <v/>
      </c>
      <c r="AL62" s="48" t="str">
        <f t="shared" si="11"/>
        <v/>
      </c>
      <c r="AM62" s="48" t="str">
        <f t="shared" si="9"/>
        <v/>
      </c>
      <c r="AN62" s="196"/>
      <c r="AO62" s="196"/>
      <c r="AP62" s="196"/>
      <c r="AQ62" s="196"/>
      <c r="AR62" s="196"/>
      <c r="AS62" s="196"/>
      <c r="AT62" s="196"/>
      <c r="AU62" s="197" t="str">
        <f>IFERROR(VLOOKUP(AT62,'Seguridad Información'!$I$61:$J$65,2,0),"")</f>
        <v/>
      </c>
      <c r="AV62" s="79"/>
      <c r="AW62" s="78" t="str">
        <f t="shared" si="1"/>
        <v/>
      </c>
      <c r="AX62" s="77" t="str">
        <f t="shared" si="2"/>
        <v/>
      </c>
      <c r="AY62" s="21" t="str">
        <f>IFERROR(VLOOKUP((CONCATENATE(AM62,AX62)),Listados!$U$3:$V$11,2,FALSE),"")</f>
        <v/>
      </c>
      <c r="AZ62" s="48">
        <f t="shared" si="10"/>
        <v>100</v>
      </c>
      <c r="BA62" s="431"/>
      <c r="BB62" s="433"/>
      <c r="BC62" s="169">
        <f>+IF(AND(W62="Preventivo",BB61="Fuerte"),2,IF(AND(W62="Preventivo",BB61="Moderado"),1,0))</f>
        <v>0</v>
      </c>
      <c r="BD62" s="64">
        <f>+IF(AND(W62="Detectivo/Correctivo",$BB61="Fuerte"),2,IF(AND(W62="Detectivo/Correctivo",$BB62="Moderado"),1,IF(AND(W62="Preventivo",$BB61="Fuerte"),1,0)))</f>
        <v>0</v>
      </c>
      <c r="BE62" s="169" t="e">
        <f>+N61-BC62</f>
        <v>#N/A</v>
      </c>
      <c r="BF62" s="169" t="e">
        <f>+P61-BD62</f>
        <v>#N/A</v>
      </c>
      <c r="BG62" s="422"/>
      <c r="BH62" s="422"/>
      <c r="BI62" s="422"/>
      <c r="BJ62" s="645"/>
      <c r="BK62" s="645"/>
      <c r="BL62" s="645"/>
      <c r="BM62" s="645"/>
    </row>
    <row r="63" spans="1:65" ht="65.099999999999994" customHeight="1" thickBot="1">
      <c r="A63" s="405"/>
      <c r="B63" s="625"/>
      <c r="C63" s="440"/>
      <c r="D63" s="152"/>
      <c r="E63" s="152"/>
      <c r="F63" s="475"/>
      <c r="G63" s="443"/>
      <c r="H63" s="100"/>
      <c r="I63" s="128"/>
      <c r="J63" s="100"/>
      <c r="K63" s="147"/>
      <c r="L63" s="129"/>
      <c r="M63" s="446"/>
      <c r="N63" s="425"/>
      <c r="O63" s="428"/>
      <c r="P63" s="425"/>
      <c r="Q63" s="429"/>
      <c r="R63" s="422"/>
      <c r="S63" s="150"/>
      <c r="T63" s="96"/>
      <c r="U63" s="47" t="s">
        <v>627</v>
      </c>
      <c r="V63" s="172"/>
      <c r="W63" s="172"/>
      <c r="X63" s="172"/>
      <c r="Y63" s="95" t="str">
        <f t="shared" si="3"/>
        <v/>
      </c>
      <c r="Z63" s="172"/>
      <c r="AA63" s="95" t="str">
        <f t="shared" si="4"/>
        <v/>
      </c>
      <c r="AB63" s="150"/>
      <c r="AC63" s="95" t="str">
        <f t="shared" si="5"/>
        <v/>
      </c>
      <c r="AD63" s="150"/>
      <c r="AE63" s="95" t="str">
        <f t="shared" si="6"/>
        <v/>
      </c>
      <c r="AF63" s="150"/>
      <c r="AG63" s="95" t="str">
        <f t="shared" si="7"/>
        <v/>
      </c>
      <c r="AH63" s="150"/>
      <c r="AI63" s="95" t="str">
        <f t="shared" si="8"/>
        <v/>
      </c>
      <c r="AJ63" s="150"/>
      <c r="AK63" s="27" t="str">
        <f t="shared" si="0"/>
        <v/>
      </c>
      <c r="AL63" s="48" t="str">
        <f t="shared" si="11"/>
        <v/>
      </c>
      <c r="AM63" s="48" t="str">
        <f t="shared" si="9"/>
        <v/>
      </c>
      <c r="AN63" s="196"/>
      <c r="AO63" s="196"/>
      <c r="AP63" s="196"/>
      <c r="AQ63" s="196"/>
      <c r="AR63" s="196"/>
      <c r="AS63" s="196"/>
      <c r="AT63" s="196"/>
      <c r="AU63" s="197" t="str">
        <f>IFERROR(VLOOKUP(AT63,'Seguridad Información'!$I$61:$J$65,2,0),"")</f>
        <v/>
      </c>
      <c r="AV63" s="79"/>
      <c r="AW63" s="78" t="str">
        <f t="shared" si="1"/>
        <v/>
      </c>
      <c r="AX63" s="77" t="str">
        <f t="shared" si="2"/>
        <v/>
      </c>
      <c r="AY63" s="21" t="str">
        <f>IFERROR(VLOOKUP((CONCATENATE(AM63,AX63)),Listados!$U$3:$V$11,2,FALSE),"")</f>
        <v/>
      </c>
      <c r="AZ63" s="48">
        <f t="shared" si="10"/>
        <v>100</v>
      </c>
      <c r="BA63" s="431"/>
      <c r="BB63" s="433"/>
      <c r="BC63" s="169">
        <f>+IF(AND(W63="Preventivo",BB61="Fuerte"),2,IF(AND(W63="Preventivo",BB61="Moderado"),1,0))</f>
        <v>0</v>
      </c>
      <c r="BD63" s="64">
        <f>+IF(AND(W63="Detectivo/Correctivo",$BB61="Fuerte"),2,IF(AND(W63="Detectivo/Correctivo",$BB63="Moderado"),1,IF(AND(W63="Preventivo",$BB61="Fuerte"),1,0)))</f>
        <v>0</v>
      </c>
      <c r="BE63" s="169" t="e">
        <f>+N61-BC63</f>
        <v>#N/A</v>
      </c>
      <c r="BF63" s="169" t="e">
        <f>+P61-BD63</f>
        <v>#N/A</v>
      </c>
      <c r="BG63" s="422"/>
      <c r="BH63" s="422"/>
      <c r="BI63" s="422"/>
      <c r="BJ63" s="645"/>
      <c r="BK63" s="645"/>
      <c r="BL63" s="645"/>
      <c r="BM63" s="645"/>
    </row>
    <row r="64" spans="1:65" ht="65.099999999999994" customHeight="1" thickBot="1">
      <c r="A64" s="405"/>
      <c r="B64" s="625"/>
      <c r="C64" s="440"/>
      <c r="D64" s="152"/>
      <c r="E64" s="152"/>
      <c r="F64" s="475"/>
      <c r="G64" s="443"/>
      <c r="H64" s="100"/>
      <c r="I64" s="128"/>
      <c r="J64" s="100"/>
      <c r="K64" s="147"/>
      <c r="L64" s="129"/>
      <c r="M64" s="446"/>
      <c r="N64" s="425"/>
      <c r="O64" s="428"/>
      <c r="P64" s="425"/>
      <c r="Q64" s="429"/>
      <c r="R64" s="422"/>
      <c r="S64" s="150"/>
      <c r="T64" s="97"/>
      <c r="U64" s="47" t="s">
        <v>627</v>
      </c>
      <c r="V64" s="172"/>
      <c r="W64" s="172"/>
      <c r="X64" s="172"/>
      <c r="Y64" s="95" t="str">
        <f t="shared" si="3"/>
        <v/>
      </c>
      <c r="Z64" s="172"/>
      <c r="AA64" s="95" t="str">
        <f t="shared" si="4"/>
        <v/>
      </c>
      <c r="AB64" s="150"/>
      <c r="AC64" s="95" t="str">
        <f t="shared" si="5"/>
        <v/>
      </c>
      <c r="AD64" s="150"/>
      <c r="AE64" s="95" t="str">
        <f t="shared" si="6"/>
        <v/>
      </c>
      <c r="AF64" s="150"/>
      <c r="AG64" s="95" t="str">
        <f t="shared" si="7"/>
        <v/>
      </c>
      <c r="AH64" s="150"/>
      <c r="AI64" s="95" t="str">
        <f t="shared" si="8"/>
        <v/>
      </c>
      <c r="AJ64" s="150"/>
      <c r="AK64" s="27" t="str">
        <f t="shared" si="0"/>
        <v/>
      </c>
      <c r="AL64" s="48" t="str">
        <f t="shared" si="11"/>
        <v/>
      </c>
      <c r="AM64" s="48" t="str">
        <f t="shared" si="9"/>
        <v/>
      </c>
      <c r="AN64" s="196"/>
      <c r="AO64" s="196"/>
      <c r="AP64" s="196"/>
      <c r="AQ64" s="196"/>
      <c r="AR64" s="196"/>
      <c r="AS64" s="196"/>
      <c r="AT64" s="196"/>
      <c r="AU64" s="197" t="str">
        <f>IFERROR(VLOOKUP(AT64,'Seguridad Información'!$I$61:$J$65,2,0),"")</f>
        <v/>
      </c>
      <c r="AV64" s="79"/>
      <c r="AW64" s="78" t="str">
        <f t="shared" si="1"/>
        <v/>
      </c>
      <c r="AX64" s="77" t="str">
        <f t="shared" si="2"/>
        <v/>
      </c>
      <c r="AY64" s="21" t="str">
        <f>IFERROR(VLOOKUP((CONCATENATE(AM64,AX64)),Listados!$U$3:$V$11,2,FALSE),"")</f>
        <v/>
      </c>
      <c r="AZ64" s="48">
        <f t="shared" si="10"/>
        <v>100</v>
      </c>
      <c r="BA64" s="431"/>
      <c r="BB64" s="433"/>
      <c r="BC64" s="169">
        <f>+IF(AND(W64="Preventivo",BB61="Fuerte"),2,IF(AND(W64="Preventivo",BB61="Moderado"),1,0))</f>
        <v>0</v>
      </c>
      <c r="BD64" s="64">
        <f>+IF(AND(W64="Detectivo/Correctivo",$BB61="Fuerte"),2,IF(AND(W64="Detectivo/Correctivo",$BB64="Moderado"),1,IF(AND(W64="Preventivo",$BB61="Fuerte"),1,0)))</f>
        <v>0</v>
      </c>
      <c r="BE64" s="169" t="e">
        <f>+N61-BC64</f>
        <v>#N/A</v>
      </c>
      <c r="BF64" s="169" t="e">
        <f>+P61-BD64</f>
        <v>#N/A</v>
      </c>
      <c r="BG64" s="422"/>
      <c r="BH64" s="422"/>
      <c r="BI64" s="422"/>
      <c r="BJ64" s="645"/>
      <c r="BK64" s="645"/>
      <c r="BL64" s="645"/>
      <c r="BM64" s="645"/>
    </row>
    <row r="65" spans="1:65" ht="65.099999999999994" customHeight="1" thickBot="1">
      <c r="A65" s="405"/>
      <c r="B65" s="625"/>
      <c r="C65" s="440"/>
      <c r="D65" s="109"/>
      <c r="E65" s="109"/>
      <c r="F65" s="475"/>
      <c r="G65" s="443"/>
      <c r="H65" s="100"/>
      <c r="I65" s="128"/>
      <c r="J65" s="100"/>
      <c r="K65" s="29"/>
      <c r="L65" s="129"/>
      <c r="M65" s="446"/>
      <c r="N65" s="425"/>
      <c r="O65" s="428"/>
      <c r="P65" s="425"/>
      <c r="Q65" s="429"/>
      <c r="R65" s="422"/>
      <c r="S65" s="150"/>
      <c r="T65" s="198"/>
      <c r="U65" s="47" t="s">
        <v>627</v>
      </c>
      <c r="V65" s="172"/>
      <c r="W65" s="172"/>
      <c r="X65" s="172"/>
      <c r="Y65" s="95" t="str">
        <f t="shared" si="3"/>
        <v/>
      </c>
      <c r="Z65" s="172"/>
      <c r="AA65" s="95" t="str">
        <f t="shared" si="4"/>
        <v/>
      </c>
      <c r="AB65" s="150"/>
      <c r="AC65" s="95" t="str">
        <f t="shared" si="5"/>
        <v/>
      </c>
      <c r="AD65" s="150"/>
      <c r="AE65" s="95" t="str">
        <f t="shared" si="6"/>
        <v/>
      </c>
      <c r="AF65" s="150"/>
      <c r="AG65" s="95" t="str">
        <f t="shared" si="7"/>
        <v/>
      </c>
      <c r="AH65" s="150"/>
      <c r="AI65" s="95" t="str">
        <f t="shared" si="8"/>
        <v/>
      </c>
      <c r="AJ65" s="150"/>
      <c r="AK65" s="27" t="str">
        <f t="shared" si="0"/>
        <v/>
      </c>
      <c r="AL65" s="48" t="str">
        <f t="shared" si="11"/>
        <v/>
      </c>
      <c r="AM65" s="48" t="str">
        <f t="shared" si="9"/>
        <v/>
      </c>
      <c r="AN65" s="196"/>
      <c r="AO65" s="196"/>
      <c r="AP65" s="196"/>
      <c r="AQ65" s="196"/>
      <c r="AR65" s="196"/>
      <c r="AS65" s="196"/>
      <c r="AT65" s="196"/>
      <c r="AU65" s="197" t="str">
        <f>IFERROR(VLOOKUP(AT65,'Seguridad Información'!$I$61:$J$65,2,0),"")</f>
        <v/>
      </c>
      <c r="AV65" s="79"/>
      <c r="AW65" s="78" t="str">
        <f t="shared" si="1"/>
        <v/>
      </c>
      <c r="AX65" s="77" t="str">
        <f t="shared" si="2"/>
        <v/>
      </c>
      <c r="AY65" s="21" t="str">
        <f>IFERROR(VLOOKUP((CONCATENATE(AM65,AX65)),Listados!$U$3:$V$11,2,FALSE),"")</f>
        <v/>
      </c>
      <c r="AZ65" s="48">
        <f t="shared" si="10"/>
        <v>100</v>
      </c>
      <c r="BA65" s="431"/>
      <c r="BB65" s="433"/>
      <c r="BC65" s="169">
        <f>+IF(AND(W65="Preventivo",BB61="Fuerte"),2,IF(AND(W65="Preventivo",BB61="Moderado"),1,0))</f>
        <v>0</v>
      </c>
      <c r="BD65" s="64">
        <f>+IF(AND(W65="Detectivo/Correctivo",$BB61="Fuerte"),2,IF(AND(W65="Detectivo/Correctivo",$BB65="Moderado"),1,IF(AND(W65="Preventivo",$BB61="Fuerte"),1,0)))</f>
        <v>0</v>
      </c>
      <c r="BE65" s="169" t="e">
        <f>+N61-BC65</f>
        <v>#N/A</v>
      </c>
      <c r="BF65" s="169" t="e">
        <f>+P61-BD65</f>
        <v>#N/A</v>
      </c>
      <c r="BG65" s="422"/>
      <c r="BH65" s="422"/>
      <c r="BI65" s="422"/>
      <c r="BJ65" s="645"/>
      <c r="BK65" s="645"/>
      <c r="BL65" s="645"/>
      <c r="BM65" s="645"/>
    </row>
    <row r="66" spans="1:65" ht="65.099999999999994" customHeight="1" thickBot="1">
      <c r="A66" s="406"/>
      <c r="B66" s="625"/>
      <c r="C66" s="441"/>
      <c r="D66" s="106"/>
      <c r="E66" s="106"/>
      <c r="F66" s="619"/>
      <c r="G66" s="444"/>
      <c r="H66" s="100"/>
      <c r="I66" s="128"/>
      <c r="J66" s="100"/>
      <c r="K66" s="31"/>
      <c r="L66" s="129"/>
      <c r="M66" s="446"/>
      <c r="N66" s="426"/>
      <c r="O66" s="428"/>
      <c r="P66" s="426"/>
      <c r="Q66" s="429"/>
      <c r="R66" s="423"/>
      <c r="S66" s="150"/>
      <c r="T66" s="98"/>
      <c r="U66" s="47" t="s">
        <v>627</v>
      </c>
      <c r="V66" s="172"/>
      <c r="W66" s="172"/>
      <c r="X66" s="172"/>
      <c r="Y66" s="95" t="str">
        <f t="shared" si="3"/>
        <v/>
      </c>
      <c r="Z66" s="172"/>
      <c r="AA66" s="95" t="str">
        <f t="shared" si="4"/>
        <v/>
      </c>
      <c r="AB66" s="150"/>
      <c r="AC66" s="95" t="str">
        <f t="shared" si="5"/>
        <v/>
      </c>
      <c r="AD66" s="150"/>
      <c r="AE66" s="95" t="str">
        <f t="shared" si="6"/>
        <v/>
      </c>
      <c r="AF66" s="150"/>
      <c r="AG66" s="95" t="str">
        <f t="shared" si="7"/>
        <v/>
      </c>
      <c r="AH66" s="150"/>
      <c r="AI66" s="95" t="str">
        <f t="shared" si="8"/>
        <v/>
      </c>
      <c r="AJ66" s="150"/>
      <c r="AK66" s="27" t="str">
        <f t="shared" si="0"/>
        <v/>
      </c>
      <c r="AL66" s="48" t="str">
        <f t="shared" si="11"/>
        <v/>
      </c>
      <c r="AM66" s="48" t="str">
        <f t="shared" si="9"/>
        <v/>
      </c>
      <c r="AN66" s="196"/>
      <c r="AO66" s="196"/>
      <c r="AP66" s="196"/>
      <c r="AQ66" s="196"/>
      <c r="AR66" s="196"/>
      <c r="AS66" s="196"/>
      <c r="AT66" s="196"/>
      <c r="AU66" s="197" t="str">
        <f>IFERROR(VLOOKUP(AT66,'Seguridad Información'!$I$61:$J$65,2,0),"")</f>
        <v/>
      </c>
      <c r="AV66" s="79"/>
      <c r="AW66" s="78" t="str">
        <f t="shared" si="1"/>
        <v/>
      </c>
      <c r="AX66" s="77" t="str">
        <f t="shared" si="2"/>
        <v/>
      </c>
      <c r="AY66" s="21" t="str">
        <f>IFERROR(VLOOKUP((CONCATENATE(AM66,AX66)),Listados!$U$3:$V$11,2,FALSE),"")</f>
        <v/>
      </c>
      <c r="AZ66" s="48">
        <f t="shared" si="10"/>
        <v>100</v>
      </c>
      <c r="BA66" s="432"/>
      <c r="BB66" s="433"/>
      <c r="BC66" s="169">
        <f>+IF(AND(W66="Preventivo",BB61="Fuerte"),2,IF(AND(W66="Preventivo",BB61="Moderado"),1,0))</f>
        <v>0</v>
      </c>
      <c r="BD66" s="64">
        <f>+IF(AND(W66="Detectivo/Correctivo",$BB61="Fuerte"),2,IF(AND(W66="Detectivo/Correctivo",$BB66="Moderado"),1,IF(AND(W66="Preventivo",$BB61="Fuerte"),1,0)))</f>
        <v>0</v>
      </c>
      <c r="BE66" s="169" t="e">
        <f>+N61-BC66</f>
        <v>#N/A</v>
      </c>
      <c r="BF66" s="169" t="e">
        <f>+P61-BD66</f>
        <v>#N/A</v>
      </c>
      <c r="BG66" s="423"/>
      <c r="BH66" s="423"/>
      <c r="BI66" s="423"/>
      <c r="BJ66" s="646"/>
      <c r="BK66" s="646"/>
      <c r="BL66" s="646"/>
      <c r="BM66" s="646"/>
    </row>
    <row r="67" spans="1:65" ht="65.099999999999994" customHeight="1" thickBot="1">
      <c r="A67" s="404">
        <v>11</v>
      </c>
      <c r="B67" s="628"/>
      <c r="C67" s="447" t="str">
        <f>IFERROR(VLOOKUP(B67,Listados!B$3:C$20,2,FALSE),"")</f>
        <v/>
      </c>
      <c r="D67" s="107"/>
      <c r="E67" s="107"/>
      <c r="F67" s="618"/>
      <c r="G67" s="448"/>
      <c r="H67" s="100"/>
      <c r="I67" s="128"/>
      <c r="J67" s="100"/>
      <c r="K67" s="103"/>
      <c r="L67" s="17"/>
      <c r="M67" s="445"/>
      <c r="N67" s="424" t="e">
        <f>+VLOOKUP(M67,Listados!$K$8:$L$12,2,0)</f>
        <v>#N/A</v>
      </c>
      <c r="O67" s="427"/>
      <c r="P67" s="424" t="e">
        <f>+VLOOKUP(O67,Listados!$K$13:$L$17,2,0)</f>
        <v>#N/A</v>
      </c>
      <c r="Q67" s="423" t="str">
        <f>IF(AND(M67&lt;&gt;"",O67&lt;&gt;""),VLOOKUP(M67&amp;O67,Listados!$M$3:$N$27,2,FALSE),"")</f>
        <v/>
      </c>
      <c r="R67" s="421" t="e">
        <f>+VLOOKUP(Q67,Listados!$P$3:$Q$6,2,FALSE)</f>
        <v>#N/A</v>
      </c>
      <c r="S67" s="150"/>
      <c r="T67" s="94"/>
      <c r="U67" s="47" t="s">
        <v>627</v>
      </c>
      <c r="V67" s="172"/>
      <c r="W67" s="172"/>
      <c r="X67" s="172"/>
      <c r="Y67" s="95" t="str">
        <f t="shared" si="3"/>
        <v/>
      </c>
      <c r="Z67" s="172"/>
      <c r="AA67" s="95" t="str">
        <f t="shared" si="4"/>
        <v/>
      </c>
      <c r="AB67" s="150"/>
      <c r="AC67" s="95" t="str">
        <f t="shared" si="5"/>
        <v/>
      </c>
      <c r="AD67" s="150"/>
      <c r="AE67" s="95" t="str">
        <f t="shared" si="6"/>
        <v/>
      </c>
      <c r="AF67" s="150"/>
      <c r="AG67" s="95" t="str">
        <f t="shared" si="7"/>
        <v/>
      </c>
      <c r="AH67" s="150"/>
      <c r="AI67" s="95" t="str">
        <f t="shared" si="8"/>
        <v/>
      </c>
      <c r="AJ67" s="150"/>
      <c r="AK67" s="27" t="str">
        <f t="shared" si="0"/>
        <v/>
      </c>
      <c r="AL67" s="48" t="str">
        <f t="shared" si="11"/>
        <v/>
      </c>
      <c r="AM67" s="48" t="str">
        <f t="shared" si="9"/>
        <v/>
      </c>
      <c r="AN67" s="196"/>
      <c r="AO67" s="196"/>
      <c r="AP67" s="196"/>
      <c r="AQ67" s="196"/>
      <c r="AR67" s="196"/>
      <c r="AS67" s="196"/>
      <c r="AT67" s="196"/>
      <c r="AU67" s="197" t="str">
        <f>IFERROR(VLOOKUP(AT67,'Seguridad Información'!$I$61:$J$65,2,0),"")</f>
        <v/>
      </c>
      <c r="AV67" s="79"/>
      <c r="AW67" s="78" t="str">
        <f t="shared" si="1"/>
        <v/>
      </c>
      <c r="AX67" s="77" t="str">
        <f t="shared" si="2"/>
        <v/>
      </c>
      <c r="AY67" s="21" t="str">
        <f>IFERROR(VLOOKUP((CONCATENATE(AM67,AX67)),Listados!$U$3:$V$11,2,FALSE),"")</f>
        <v/>
      </c>
      <c r="AZ67" s="48">
        <f t="shared" si="10"/>
        <v>100</v>
      </c>
      <c r="BA67" s="430">
        <f>AVERAGE(AZ67:AZ72)</f>
        <v>100</v>
      </c>
      <c r="BB67" s="432" t="str">
        <f>IF(BA67&lt;=50, "Débil", IF(BA67&lt;=99,"Moderado","Fuerte"))</f>
        <v>Fuerte</v>
      </c>
      <c r="BC67" s="169">
        <f>+IF(AND(W67="Preventivo",BB67="Fuerte"),2,IF(AND(W67="Preventivo",BB67="Moderado"),1,0))</f>
        <v>0</v>
      </c>
      <c r="BD67" s="64">
        <f>+IF(AND(W67="Detectivo/Correctivo",$BB67="Fuerte"),2,IF(AND(W67="Detectivo/Correctivo",$BB67="Moderado"),1,IF(AND(W67="Preventivo",$BB67="Fuerte"),1,0)))</f>
        <v>0</v>
      </c>
      <c r="BE67" s="169" t="e">
        <f>+N67-BC67</f>
        <v>#N/A</v>
      </c>
      <c r="BF67" s="169" t="e">
        <f>+P67-BD67</f>
        <v>#N/A</v>
      </c>
      <c r="BG67" s="421" t="e">
        <f>+VLOOKUP(MIN(BE67,BE68,BE69,BE70,BE71,BE72),Listados!$J$18:$K$24,2,TRUE)</f>
        <v>#N/A</v>
      </c>
      <c r="BH67" s="421" t="e">
        <f>+VLOOKUP(MIN(BF67,BF68,BF69,BF70,BF71,BF72),Listados!$J$27:$K$32,2,TRUE)</f>
        <v>#N/A</v>
      </c>
      <c r="BI67" s="421" t="e">
        <f>IF(AND(BG67&lt;&gt;"",BH67&lt;&gt;""),VLOOKUP(BG67&amp;BH67,Listados!$M$3:$N$27,2,FALSE),"")</f>
        <v>#N/A</v>
      </c>
      <c r="BJ67" s="644" t="e">
        <f>+IF($R67="Asumir el riesgo","NA","")</f>
        <v>#N/A</v>
      </c>
      <c r="BK67" s="644" t="e">
        <f>+IF($R67="Asumir el riesgo","NA","")</f>
        <v>#N/A</v>
      </c>
      <c r="BL67" s="644" t="e">
        <f>+IF($R67="Asumir el riesgo","NA","")</f>
        <v>#N/A</v>
      </c>
      <c r="BM67" s="644" t="e">
        <f>+IF($R67="Asumir el riesgo","NA","")</f>
        <v>#N/A</v>
      </c>
    </row>
    <row r="68" spans="1:65" ht="65.099999999999994" customHeight="1" thickBot="1">
      <c r="A68" s="405"/>
      <c r="B68" s="625"/>
      <c r="C68" s="440"/>
      <c r="D68" s="152"/>
      <c r="E68" s="152"/>
      <c r="F68" s="475"/>
      <c r="G68" s="443"/>
      <c r="H68" s="100"/>
      <c r="I68" s="128"/>
      <c r="J68" s="100"/>
      <c r="K68" s="147"/>
      <c r="L68" s="129"/>
      <c r="M68" s="446"/>
      <c r="N68" s="425"/>
      <c r="O68" s="428"/>
      <c r="P68" s="425"/>
      <c r="Q68" s="429"/>
      <c r="R68" s="422"/>
      <c r="S68" s="150"/>
      <c r="T68" s="198"/>
      <c r="U68" s="47" t="s">
        <v>627</v>
      </c>
      <c r="V68" s="172"/>
      <c r="W68" s="172"/>
      <c r="X68" s="172"/>
      <c r="Y68" s="95" t="str">
        <f t="shared" si="3"/>
        <v/>
      </c>
      <c r="Z68" s="172"/>
      <c r="AA68" s="95" t="str">
        <f t="shared" si="4"/>
        <v/>
      </c>
      <c r="AB68" s="150"/>
      <c r="AC68" s="95" t="str">
        <f t="shared" si="5"/>
        <v/>
      </c>
      <c r="AD68" s="150"/>
      <c r="AE68" s="95" t="str">
        <f t="shared" si="6"/>
        <v/>
      </c>
      <c r="AF68" s="150"/>
      <c r="AG68" s="95" t="str">
        <f t="shared" si="7"/>
        <v/>
      </c>
      <c r="AH68" s="150"/>
      <c r="AI68" s="95" t="str">
        <f t="shared" si="8"/>
        <v/>
      </c>
      <c r="AJ68" s="150"/>
      <c r="AK68" s="27" t="str">
        <f t="shared" si="0"/>
        <v/>
      </c>
      <c r="AL68" s="48" t="str">
        <f t="shared" si="11"/>
        <v/>
      </c>
      <c r="AM68" s="48" t="str">
        <f t="shared" si="9"/>
        <v/>
      </c>
      <c r="AN68" s="196"/>
      <c r="AO68" s="196"/>
      <c r="AP68" s="196"/>
      <c r="AQ68" s="196"/>
      <c r="AR68" s="196"/>
      <c r="AS68" s="196"/>
      <c r="AT68" s="196"/>
      <c r="AU68" s="197" t="str">
        <f>IFERROR(VLOOKUP(AT68,'Seguridad Información'!$I$61:$J$65,2,0),"")</f>
        <v/>
      </c>
      <c r="AV68" s="79"/>
      <c r="AW68" s="78" t="str">
        <f t="shared" si="1"/>
        <v/>
      </c>
      <c r="AX68" s="77" t="str">
        <f t="shared" si="2"/>
        <v/>
      </c>
      <c r="AY68" s="21" t="str">
        <f>IFERROR(VLOOKUP((CONCATENATE(AM68,AX68)),Listados!$U$3:$V$11,2,FALSE),"")</f>
        <v/>
      </c>
      <c r="AZ68" s="48">
        <f t="shared" si="10"/>
        <v>100</v>
      </c>
      <c r="BA68" s="431"/>
      <c r="BB68" s="433"/>
      <c r="BC68" s="169">
        <f>+IF(AND(W68="Preventivo",BB67="Fuerte"),2,IF(AND(W68="Preventivo",BB67="Moderado"),1,0))</f>
        <v>0</v>
      </c>
      <c r="BD68" s="64">
        <f>+IF(AND(W68="Detectivo/Correctivo",$BB67="Fuerte"),2,IF(AND(W68="Detectivo/Correctivo",$BB68="Moderado"),1,IF(AND(W68="Preventivo",$BB67="Fuerte"),1,0)))</f>
        <v>0</v>
      </c>
      <c r="BE68" s="169" t="e">
        <f>+N67-BC68</f>
        <v>#N/A</v>
      </c>
      <c r="BF68" s="169" t="e">
        <f>+P67-BD68</f>
        <v>#N/A</v>
      </c>
      <c r="BG68" s="422"/>
      <c r="BH68" s="422"/>
      <c r="BI68" s="422"/>
      <c r="BJ68" s="645"/>
      <c r="BK68" s="645"/>
      <c r="BL68" s="645"/>
      <c r="BM68" s="645"/>
    </row>
    <row r="69" spans="1:65" ht="65.099999999999994" customHeight="1" thickBot="1">
      <c r="A69" s="405"/>
      <c r="B69" s="625"/>
      <c r="C69" s="440"/>
      <c r="D69" s="152"/>
      <c r="E69" s="152"/>
      <c r="F69" s="475"/>
      <c r="G69" s="443"/>
      <c r="H69" s="100"/>
      <c r="I69" s="128"/>
      <c r="J69" s="100"/>
      <c r="K69" s="147"/>
      <c r="L69" s="129"/>
      <c r="M69" s="446"/>
      <c r="N69" s="425"/>
      <c r="O69" s="428"/>
      <c r="P69" s="425"/>
      <c r="Q69" s="429"/>
      <c r="R69" s="422"/>
      <c r="S69" s="150"/>
      <c r="T69" s="96"/>
      <c r="U69" s="47" t="s">
        <v>627</v>
      </c>
      <c r="V69" s="172"/>
      <c r="W69" s="172"/>
      <c r="X69" s="172"/>
      <c r="Y69" s="95" t="str">
        <f t="shared" si="3"/>
        <v/>
      </c>
      <c r="Z69" s="172"/>
      <c r="AA69" s="95" t="str">
        <f t="shared" si="4"/>
        <v/>
      </c>
      <c r="AB69" s="150"/>
      <c r="AC69" s="95" t="str">
        <f t="shared" si="5"/>
        <v/>
      </c>
      <c r="AD69" s="150"/>
      <c r="AE69" s="95" t="str">
        <f t="shared" si="6"/>
        <v/>
      </c>
      <c r="AF69" s="150"/>
      <c r="AG69" s="95" t="str">
        <f t="shared" si="7"/>
        <v/>
      </c>
      <c r="AH69" s="150"/>
      <c r="AI69" s="95" t="str">
        <f t="shared" si="8"/>
        <v/>
      </c>
      <c r="AJ69" s="150"/>
      <c r="AK69" s="27" t="str">
        <f t="shared" si="0"/>
        <v/>
      </c>
      <c r="AL69" s="48" t="str">
        <f t="shared" si="11"/>
        <v/>
      </c>
      <c r="AM69" s="48" t="str">
        <f t="shared" si="9"/>
        <v/>
      </c>
      <c r="AN69" s="196"/>
      <c r="AO69" s="196"/>
      <c r="AP69" s="196"/>
      <c r="AQ69" s="196"/>
      <c r="AR69" s="196"/>
      <c r="AS69" s="196"/>
      <c r="AT69" s="196"/>
      <c r="AU69" s="197" t="str">
        <f>IFERROR(VLOOKUP(AT69,'Seguridad Información'!$I$61:$J$65,2,0),"")</f>
        <v/>
      </c>
      <c r="AV69" s="79"/>
      <c r="AW69" s="78" t="str">
        <f t="shared" si="1"/>
        <v/>
      </c>
      <c r="AX69" s="77" t="str">
        <f t="shared" si="2"/>
        <v/>
      </c>
      <c r="AY69" s="21" t="str">
        <f>IFERROR(VLOOKUP((CONCATENATE(AM69,AX69)),Listados!$U$3:$V$11,2,FALSE),"")</f>
        <v/>
      </c>
      <c r="AZ69" s="48">
        <f t="shared" si="10"/>
        <v>100</v>
      </c>
      <c r="BA69" s="431"/>
      <c r="BB69" s="433"/>
      <c r="BC69" s="169">
        <f>+IF(AND(W69="Preventivo",BB67="Fuerte"),2,IF(AND(W69="Preventivo",BB67="Moderado"),1,0))</f>
        <v>0</v>
      </c>
      <c r="BD69" s="64">
        <f>+IF(AND(W69="Detectivo/Correctivo",$BB67="Fuerte"),2,IF(AND(W69="Detectivo/Correctivo",$BB69="Moderado"),1,IF(AND(W69="Preventivo",$BB67="Fuerte"),1,0)))</f>
        <v>0</v>
      </c>
      <c r="BE69" s="169" t="e">
        <f>+N67-BC69</f>
        <v>#N/A</v>
      </c>
      <c r="BF69" s="169" t="e">
        <f>+P67-BD69</f>
        <v>#N/A</v>
      </c>
      <c r="BG69" s="422"/>
      <c r="BH69" s="422"/>
      <c r="BI69" s="422"/>
      <c r="BJ69" s="645"/>
      <c r="BK69" s="645"/>
      <c r="BL69" s="645"/>
      <c r="BM69" s="645"/>
    </row>
    <row r="70" spans="1:65" ht="65.099999999999994" customHeight="1" thickBot="1">
      <c r="A70" s="405"/>
      <c r="B70" s="625"/>
      <c r="C70" s="440"/>
      <c r="D70" s="152"/>
      <c r="E70" s="152"/>
      <c r="F70" s="475"/>
      <c r="G70" s="443"/>
      <c r="H70" s="100"/>
      <c r="I70" s="128"/>
      <c r="J70" s="100"/>
      <c r="K70" s="147"/>
      <c r="L70" s="129"/>
      <c r="M70" s="446"/>
      <c r="N70" s="425"/>
      <c r="O70" s="428"/>
      <c r="P70" s="425"/>
      <c r="Q70" s="429"/>
      <c r="R70" s="422"/>
      <c r="S70" s="150"/>
      <c r="T70" s="97"/>
      <c r="U70" s="47" t="s">
        <v>627</v>
      </c>
      <c r="V70" s="172"/>
      <c r="W70" s="172"/>
      <c r="X70" s="172"/>
      <c r="Y70" s="95" t="str">
        <f t="shared" si="3"/>
        <v/>
      </c>
      <c r="Z70" s="172"/>
      <c r="AA70" s="95" t="str">
        <f t="shared" si="4"/>
        <v/>
      </c>
      <c r="AB70" s="150"/>
      <c r="AC70" s="95" t="str">
        <f t="shared" si="5"/>
        <v/>
      </c>
      <c r="AD70" s="150"/>
      <c r="AE70" s="95" t="str">
        <f t="shared" si="6"/>
        <v/>
      </c>
      <c r="AF70" s="150"/>
      <c r="AG70" s="95" t="str">
        <f t="shared" si="7"/>
        <v/>
      </c>
      <c r="AH70" s="150"/>
      <c r="AI70" s="95" t="str">
        <f t="shared" si="8"/>
        <v/>
      </c>
      <c r="AJ70" s="150"/>
      <c r="AK70" s="27" t="str">
        <f t="shared" si="0"/>
        <v/>
      </c>
      <c r="AL70" s="48" t="str">
        <f t="shared" si="11"/>
        <v/>
      </c>
      <c r="AM70" s="48" t="str">
        <f t="shared" si="9"/>
        <v/>
      </c>
      <c r="AN70" s="196"/>
      <c r="AO70" s="196"/>
      <c r="AP70" s="196"/>
      <c r="AQ70" s="196"/>
      <c r="AR70" s="196"/>
      <c r="AS70" s="196"/>
      <c r="AT70" s="196"/>
      <c r="AU70" s="197" t="str">
        <f>IFERROR(VLOOKUP(AT70,'Seguridad Información'!$I$61:$J$65,2,0),"")</f>
        <v/>
      </c>
      <c r="AV70" s="79"/>
      <c r="AW70" s="78" t="str">
        <f t="shared" si="1"/>
        <v/>
      </c>
      <c r="AX70" s="77" t="str">
        <f t="shared" si="2"/>
        <v/>
      </c>
      <c r="AY70" s="21" t="str">
        <f>IFERROR(VLOOKUP((CONCATENATE(AM70,AX70)),Listados!$U$3:$V$11,2,FALSE),"")</f>
        <v/>
      </c>
      <c r="AZ70" s="48">
        <f t="shared" si="10"/>
        <v>100</v>
      </c>
      <c r="BA70" s="431"/>
      <c r="BB70" s="433"/>
      <c r="BC70" s="169">
        <f>+IF(AND(W70="Preventivo",BB67="Fuerte"),2,IF(AND(W70="Preventivo",BB67="Moderado"),1,0))</f>
        <v>0</v>
      </c>
      <c r="BD70" s="64">
        <f>+IF(AND(W70="Detectivo/Correctivo",$BB67="Fuerte"),2,IF(AND(W70="Detectivo/Correctivo",$BB70="Moderado"),1,IF(AND(W70="Preventivo",$BB67="Fuerte"),1,0)))</f>
        <v>0</v>
      </c>
      <c r="BE70" s="169" t="e">
        <f>+N67-BC70</f>
        <v>#N/A</v>
      </c>
      <c r="BF70" s="169" t="e">
        <f>+P67-BD70</f>
        <v>#N/A</v>
      </c>
      <c r="BG70" s="422"/>
      <c r="BH70" s="422"/>
      <c r="BI70" s="422"/>
      <c r="BJ70" s="645"/>
      <c r="BK70" s="645"/>
      <c r="BL70" s="645"/>
      <c r="BM70" s="645"/>
    </row>
    <row r="71" spans="1:65" ht="65.099999999999994" customHeight="1" thickBot="1">
      <c r="A71" s="405"/>
      <c r="B71" s="625"/>
      <c r="C71" s="440"/>
      <c r="D71" s="109"/>
      <c r="E71" s="109"/>
      <c r="F71" s="475"/>
      <c r="G71" s="443"/>
      <c r="H71" s="100"/>
      <c r="I71" s="128"/>
      <c r="J71" s="100"/>
      <c r="K71" s="29"/>
      <c r="L71" s="129"/>
      <c r="M71" s="446"/>
      <c r="N71" s="425"/>
      <c r="O71" s="428"/>
      <c r="P71" s="425"/>
      <c r="Q71" s="429"/>
      <c r="R71" s="422"/>
      <c r="S71" s="150"/>
      <c r="T71" s="198"/>
      <c r="U71" s="47" t="s">
        <v>627</v>
      </c>
      <c r="V71" s="172"/>
      <c r="W71" s="172"/>
      <c r="X71" s="172"/>
      <c r="Y71" s="95" t="str">
        <f t="shared" si="3"/>
        <v/>
      </c>
      <c r="Z71" s="172"/>
      <c r="AA71" s="95" t="str">
        <f t="shared" si="4"/>
        <v/>
      </c>
      <c r="AB71" s="150"/>
      <c r="AC71" s="95" t="str">
        <f t="shared" si="5"/>
        <v/>
      </c>
      <c r="AD71" s="150"/>
      <c r="AE71" s="95" t="str">
        <f t="shared" si="6"/>
        <v/>
      </c>
      <c r="AF71" s="150"/>
      <c r="AG71" s="95" t="str">
        <f t="shared" si="7"/>
        <v/>
      </c>
      <c r="AH71" s="150"/>
      <c r="AI71" s="95" t="str">
        <f t="shared" si="8"/>
        <v/>
      </c>
      <c r="AJ71" s="150"/>
      <c r="AK71" s="27" t="str">
        <f t="shared" si="0"/>
        <v/>
      </c>
      <c r="AL71" s="48" t="str">
        <f t="shared" si="11"/>
        <v/>
      </c>
      <c r="AM71" s="48" t="str">
        <f t="shared" si="9"/>
        <v/>
      </c>
      <c r="AN71" s="196"/>
      <c r="AO71" s="196"/>
      <c r="AP71" s="196"/>
      <c r="AQ71" s="196"/>
      <c r="AR71" s="196"/>
      <c r="AS71" s="196"/>
      <c r="AT71" s="196"/>
      <c r="AU71" s="197" t="str">
        <f>IFERROR(VLOOKUP(AT71,'Seguridad Información'!$I$61:$J$65,2,0),"")</f>
        <v/>
      </c>
      <c r="AV71" s="79"/>
      <c r="AW71" s="78" t="str">
        <f t="shared" ref="AW71:AW134" si="12">IFERROR(AVERAGE(AO71,AQ71,AS71,AU71),"")</f>
        <v/>
      </c>
      <c r="AX71" s="77" t="str">
        <f t="shared" si="2"/>
        <v/>
      </c>
      <c r="AY71" s="21" t="str">
        <f>IFERROR(VLOOKUP((CONCATENATE(AM71,AX71)),Listados!$U$3:$V$11,2,FALSE),"")</f>
        <v/>
      </c>
      <c r="AZ71" s="48">
        <f t="shared" si="10"/>
        <v>100</v>
      </c>
      <c r="BA71" s="431"/>
      <c r="BB71" s="433"/>
      <c r="BC71" s="169">
        <f>+IF(AND(W71="Preventivo",BB67="Fuerte"),2,IF(AND(W71="Preventivo",BB67="Moderado"),1,0))</f>
        <v>0</v>
      </c>
      <c r="BD71" s="64">
        <f>+IF(AND(W71="Detectivo/Correctivo",$BB67="Fuerte"),2,IF(AND(W71="Detectivo/Correctivo",$BB71="Moderado"),1,IF(AND(W71="Preventivo",$BB67="Fuerte"),1,0)))</f>
        <v>0</v>
      </c>
      <c r="BE71" s="169" t="e">
        <f>+N67-BC71</f>
        <v>#N/A</v>
      </c>
      <c r="BF71" s="169" t="e">
        <f>+P67-BD71</f>
        <v>#N/A</v>
      </c>
      <c r="BG71" s="422"/>
      <c r="BH71" s="422"/>
      <c r="BI71" s="422"/>
      <c r="BJ71" s="645"/>
      <c r="BK71" s="645"/>
      <c r="BL71" s="645"/>
      <c r="BM71" s="645"/>
    </row>
    <row r="72" spans="1:65" ht="65.099999999999994" customHeight="1" thickBot="1">
      <c r="A72" s="406"/>
      <c r="B72" s="625"/>
      <c r="C72" s="441"/>
      <c r="D72" s="106"/>
      <c r="E72" s="106"/>
      <c r="F72" s="619"/>
      <c r="G72" s="444"/>
      <c r="H72" s="100"/>
      <c r="I72" s="128"/>
      <c r="J72" s="100"/>
      <c r="K72" s="31"/>
      <c r="L72" s="129"/>
      <c r="M72" s="446"/>
      <c r="N72" s="426"/>
      <c r="O72" s="428"/>
      <c r="P72" s="426"/>
      <c r="Q72" s="429"/>
      <c r="R72" s="423"/>
      <c r="S72" s="150"/>
      <c r="T72" s="98"/>
      <c r="U72" s="47" t="s">
        <v>627</v>
      </c>
      <c r="V72" s="172"/>
      <c r="W72" s="172"/>
      <c r="X72" s="172"/>
      <c r="Y72" s="95" t="str">
        <f t="shared" ref="Y72:Y135" si="13">+IF(X72="si",15,"")</f>
        <v/>
      </c>
      <c r="Z72" s="172"/>
      <c r="AA72" s="95" t="str">
        <f t="shared" ref="AA72:AA135" si="14">+IF(Z72="si",15,"")</f>
        <v/>
      </c>
      <c r="AB72" s="150"/>
      <c r="AC72" s="95" t="str">
        <f t="shared" ref="AC72:AC135" si="15">+IF(AB72="si",15,"")</f>
        <v/>
      </c>
      <c r="AD72" s="150"/>
      <c r="AE72" s="95" t="str">
        <f t="shared" ref="AE72:AE135" si="16">+IF(AD72="si",15,"")</f>
        <v/>
      </c>
      <c r="AF72" s="150"/>
      <c r="AG72" s="95" t="str">
        <f t="shared" ref="AG72:AG135" si="17">+IF(AF72="si",15,"")</f>
        <v/>
      </c>
      <c r="AH72" s="150"/>
      <c r="AI72" s="95" t="str">
        <f t="shared" ref="AI72:AI135" si="18">+IF(AH72="si",15,"")</f>
        <v/>
      </c>
      <c r="AJ72" s="150"/>
      <c r="AK72" s="27" t="str">
        <f t="shared" ref="AK72:AK135" si="19">+IF(AJ72="Completa",10,IF(AJ72="Incompleta",5,""))</f>
        <v/>
      </c>
      <c r="AL72" s="48" t="str">
        <f t="shared" ref="AL72:AL135" si="20">IF((SUM(Y72,AA72,AC72,AE72,AG72,AI72,AK72)=0),"",(SUM(Y72,AA72,AC72,AE72,AG72,AI72,AK72)))</f>
        <v/>
      </c>
      <c r="AM72" s="48" t="str">
        <f t="shared" ref="AM72:AM135" si="21">IF(AL72&lt;=85,"Débil",IF(AL72&lt;=95,"Moderado",IF(AL72=100,"Fuerte","")))</f>
        <v/>
      </c>
      <c r="AN72" s="196"/>
      <c r="AO72" s="196"/>
      <c r="AP72" s="196"/>
      <c r="AQ72" s="196"/>
      <c r="AR72" s="196"/>
      <c r="AS72" s="196"/>
      <c r="AT72" s="196"/>
      <c r="AU72" s="197" t="str">
        <f>IFERROR(VLOOKUP(AT72,'Seguridad Información'!$I$61:$J$65,2,0),"")</f>
        <v/>
      </c>
      <c r="AV72" s="79"/>
      <c r="AW72" s="78" t="str">
        <f t="shared" si="12"/>
        <v/>
      </c>
      <c r="AX72" s="77" t="str">
        <f t="shared" ref="AX72:AX135" si="22">IF(AW72&lt;=80,"Débil",IF(AW72&lt;=90,"Moderado",IF(AW72=100,"Fuerte","")))</f>
        <v/>
      </c>
      <c r="AY72" s="21" t="str">
        <f>IFERROR(VLOOKUP((CONCATENATE(AM72,AX72)),Listados!$U$3:$V$11,2,FALSE),"")</f>
        <v/>
      </c>
      <c r="AZ72" s="48">
        <f t="shared" si="10"/>
        <v>100</v>
      </c>
      <c r="BA72" s="432"/>
      <c r="BB72" s="433"/>
      <c r="BC72" s="169">
        <f>+IF(AND(W72="Preventivo",BB67="Fuerte"),2,IF(AND(W72="Preventivo",BB67="Moderado"),1,0))</f>
        <v>0</v>
      </c>
      <c r="BD72" s="64">
        <f>+IF(AND(W72="Detectivo/Correctivo",$BB67="Fuerte"),2,IF(AND(W72="Detectivo/Correctivo",$BB72="Moderado"),1,IF(AND(W72="Preventivo",$BB67="Fuerte"),1,0)))</f>
        <v>0</v>
      </c>
      <c r="BE72" s="169" t="e">
        <f>+N67-BC72</f>
        <v>#N/A</v>
      </c>
      <c r="BF72" s="169" t="e">
        <f>+P67-BD72</f>
        <v>#N/A</v>
      </c>
      <c r="BG72" s="423"/>
      <c r="BH72" s="423"/>
      <c r="BI72" s="423"/>
      <c r="BJ72" s="646"/>
      <c r="BK72" s="646"/>
      <c r="BL72" s="646"/>
      <c r="BM72" s="646"/>
    </row>
    <row r="73" spans="1:65" ht="65.099999999999994" customHeight="1" thickBot="1">
      <c r="A73" s="404">
        <v>12</v>
      </c>
      <c r="B73" s="628"/>
      <c r="C73" s="447" t="str">
        <f>IFERROR(VLOOKUP(B73,Listados!B$3:C$20,2,FALSE),"")</f>
        <v/>
      </c>
      <c r="D73" s="107"/>
      <c r="E73" s="107"/>
      <c r="F73" s="618"/>
      <c r="G73" s="448"/>
      <c r="H73" s="100"/>
      <c r="I73" s="128"/>
      <c r="J73" s="100"/>
      <c r="K73" s="103"/>
      <c r="L73" s="17"/>
      <c r="M73" s="445"/>
      <c r="N73" s="424" t="e">
        <f>+VLOOKUP(M73,Listados!$K$8:$L$12,2,0)</f>
        <v>#N/A</v>
      </c>
      <c r="O73" s="427"/>
      <c r="P73" s="424" t="e">
        <f>+VLOOKUP(O73,Listados!$K$13:$L$17,2,0)</f>
        <v>#N/A</v>
      </c>
      <c r="Q73" s="423" t="str">
        <f>IF(AND(M73&lt;&gt;"",O73&lt;&gt;""),VLOOKUP(M73&amp;O73,Listados!$M$3:$N$27,2,FALSE),"")</f>
        <v/>
      </c>
      <c r="R73" s="421" t="e">
        <f>+VLOOKUP(Q73,Listados!$P$3:$Q$6,2,FALSE)</f>
        <v>#N/A</v>
      </c>
      <c r="S73" s="150"/>
      <c r="T73" s="94"/>
      <c r="U73" s="47" t="s">
        <v>627</v>
      </c>
      <c r="V73" s="172"/>
      <c r="W73" s="172"/>
      <c r="X73" s="172"/>
      <c r="Y73" s="95" t="str">
        <f t="shared" si="13"/>
        <v/>
      </c>
      <c r="Z73" s="172"/>
      <c r="AA73" s="95" t="str">
        <f t="shared" si="14"/>
        <v/>
      </c>
      <c r="AB73" s="150"/>
      <c r="AC73" s="95" t="str">
        <f t="shared" si="15"/>
        <v/>
      </c>
      <c r="AD73" s="150"/>
      <c r="AE73" s="95" t="str">
        <f t="shared" si="16"/>
        <v/>
      </c>
      <c r="AF73" s="150"/>
      <c r="AG73" s="95" t="str">
        <f t="shared" si="17"/>
        <v/>
      </c>
      <c r="AH73" s="150"/>
      <c r="AI73" s="95" t="str">
        <f t="shared" si="18"/>
        <v/>
      </c>
      <c r="AJ73" s="150"/>
      <c r="AK73" s="27" t="str">
        <f t="shared" si="19"/>
        <v/>
      </c>
      <c r="AL73" s="48" t="str">
        <f t="shared" si="20"/>
        <v/>
      </c>
      <c r="AM73" s="48" t="str">
        <f t="shared" si="21"/>
        <v/>
      </c>
      <c r="AN73" s="196"/>
      <c r="AO73" s="196"/>
      <c r="AP73" s="196"/>
      <c r="AQ73" s="196"/>
      <c r="AR73" s="196"/>
      <c r="AS73" s="196"/>
      <c r="AT73" s="196"/>
      <c r="AU73" s="197" t="str">
        <f>IFERROR(VLOOKUP(AT73,'Seguridad Información'!$I$61:$J$65,2,0),"")</f>
        <v/>
      </c>
      <c r="AV73" s="79"/>
      <c r="AW73" s="78" t="str">
        <f t="shared" si="12"/>
        <v/>
      </c>
      <c r="AX73" s="77" t="str">
        <f t="shared" si="22"/>
        <v/>
      </c>
      <c r="AY73" s="21" t="str">
        <f>IFERROR(VLOOKUP((CONCATENATE(AM73,AX73)),Listados!$U$3:$V$11,2,FALSE),"")</f>
        <v/>
      </c>
      <c r="AZ73" s="48">
        <f t="shared" ref="AZ73:AZ136" si="23">IF(ISBLANK(AY73),"",IF(AY73="Débil", 0, IF(AY73="Moderado",50,100)))</f>
        <v>100</v>
      </c>
      <c r="BA73" s="430">
        <f>AVERAGE(AZ73:AZ78)</f>
        <v>100</v>
      </c>
      <c r="BB73" s="432" t="str">
        <f>IF(BA73&lt;=50, "Débil", IF(BA73&lt;=99,"Moderado","Fuerte"))</f>
        <v>Fuerte</v>
      </c>
      <c r="BC73" s="169">
        <f>+IF(AND(W73="Preventivo",BB73="Fuerte"),2,IF(AND(W73="Preventivo",BB73="Moderado"),1,0))</f>
        <v>0</v>
      </c>
      <c r="BD73" s="64">
        <f>+IF(AND(W73="Detectivo/Correctivo",$BB73="Fuerte"),2,IF(AND(W73="Detectivo/Correctivo",$BB73="Moderado"),1,IF(AND(W73="Preventivo",$BB73="Fuerte"),1,0)))</f>
        <v>0</v>
      </c>
      <c r="BE73" s="169" t="e">
        <f>+N73-BC73</f>
        <v>#N/A</v>
      </c>
      <c r="BF73" s="169" t="e">
        <f>+P73-BD73</f>
        <v>#N/A</v>
      </c>
      <c r="BG73" s="421" t="e">
        <f>+VLOOKUP(MIN(BE73,BE74,BE75,BE76,BE77,BE78),Listados!$J$18:$K$24,2,TRUE)</f>
        <v>#N/A</v>
      </c>
      <c r="BH73" s="421" t="e">
        <f>+VLOOKUP(MIN(BF73,BF74,BF75,BF76,BF77,BF78),Listados!$J$27:$K$32,2,TRUE)</f>
        <v>#N/A</v>
      </c>
      <c r="BI73" s="421" t="e">
        <f>IF(AND(BG73&lt;&gt;"",BH73&lt;&gt;""),VLOOKUP(BG73&amp;BH73,Listados!$M$3:$N$27,2,FALSE),"")</f>
        <v>#N/A</v>
      </c>
      <c r="BJ73" s="644" t="e">
        <f>+IF($R73="Asumir el riesgo","NA","")</f>
        <v>#N/A</v>
      </c>
      <c r="BK73" s="644" t="e">
        <f>+IF($R73="Asumir el riesgo","NA","")</f>
        <v>#N/A</v>
      </c>
      <c r="BL73" s="644" t="e">
        <f>+IF($R73="Asumir el riesgo","NA","")</f>
        <v>#N/A</v>
      </c>
      <c r="BM73" s="644" t="e">
        <f>+IF($R73="Asumir el riesgo","NA","")</f>
        <v>#N/A</v>
      </c>
    </row>
    <row r="74" spans="1:65" ht="65.099999999999994" customHeight="1" thickBot="1">
      <c r="A74" s="405"/>
      <c r="B74" s="625"/>
      <c r="C74" s="440"/>
      <c r="D74" s="152"/>
      <c r="E74" s="152"/>
      <c r="F74" s="475"/>
      <c r="G74" s="443"/>
      <c r="H74" s="100"/>
      <c r="I74" s="128"/>
      <c r="J74" s="100"/>
      <c r="K74" s="147"/>
      <c r="L74" s="129"/>
      <c r="M74" s="446"/>
      <c r="N74" s="425"/>
      <c r="O74" s="428"/>
      <c r="P74" s="425"/>
      <c r="Q74" s="429"/>
      <c r="R74" s="422"/>
      <c r="S74" s="150"/>
      <c r="T74" s="198"/>
      <c r="U74" s="47" t="s">
        <v>627</v>
      </c>
      <c r="V74" s="172"/>
      <c r="W74" s="172"/>
      <c r="X74" s="172"/>
      <c r="Y74" s="95" t="str">
        <f t="shared" si="13"/>
        <v/>
      </c>
      <c r="Z74" s="172"/>
      <c r="AA74" s="95" t="str">
        <f t="shared" si="14"/>
        <v/>
      </c>
      <c r="AB74" s="150"/>
      <c r="AC74" s="95" t="str">
        <f t="shared" si="15"/>
        <v/>
      </c>
      <c r="AD74" s="150"/>
      <c r="AE74" s="95" t="str">
        <f t="shared" si="16"/>
        <v/>
      </c>
      <c r="AF74" s="150"/>
      <c r="AG74" s="95" t="str">
        <f t="shared" si="17"/>
        <v/>
      </c>
      <c r="AH74" s="150"/>
      <c r="AI74" s="95" t="str">
        <f t="shared" si="18"/>
        <v/>
      </c>
      <c r="AJ74" s="150"/>
      <c r="AK74" s="27" t="str">
        <f t="shared" si="19"/>
        <v/>
      </c>
      <c r="AL74" s="48" t="str">
        <f t="shared" si="20"/>
        <v/>
      </c>
      <c r="AM74" s="48" t="str">
        <f t="shared" si="21"/>
        <v/>
      </c>
      <c r="AN74" s="196"/>
      <c r="AO74" s="196"/>
      <c r="AP74" s="196"/>
      <c r="AQ74" s="196"/>
      <c r="AR74" s="196"/>
      <c r="AS74" s="196"/>
      <c r="AT74" s="196"/>
      <c r="AU74" s="197" t="str">
        <f>IFERROR(VLOOKUP(AT74,'Seguridad Información'!$I$61:$J$65,2,0),"")</f>
        <v/>
      </c>
      <c r="AV74" s="79"/>
      <c r="AW74" s="78" t="str">
        <f t="shared" si="12"/>
        <v/>
      </c>
      <c r="AX74" s="77" t="str">
        <f t="shared" si="22"/>
        <v/>
      </c>
      <c r="AY74" s="21" t="str">
        <f>IFERROR(VLOOKUP((CONCATENATE(AM74,AX74)),Listados!$U$3:$V$11,2,FALSE),"")</f>
        <v/>
      </c>
      <c r="AZ74" s="48">
        <f t="shared" si="23"/>
        <v>100</v>
      </c>
      <c r="BA74" s="431"/>
      <c r="BB74" s="433"/>
      <c r="BC74" s="169">
        <f>+IF(AND(W74="Preventivo",BB73="Fuerte"),2,IF(AND(W74="Preventivo",BB73="Moderado"),1,0))</f>
        <v>0</v>
      </c>
      <c r="BD74" s="64">
        <f>+IF(AND(W74="Detectivo/Correctivo",$BB73="Fuerte"),2,IF(AND(W74="Detectivo/Correctivo",$BB74="Moderado"),1,IF(AND(W74="Preventivo",$BB73="Fuerte"),1,0)))</f>
        <v>0</v>
      </c>
      <c r="BE74" s="169" t="e">
        <f>+N73-BC74</f>
        <v>#N/A</v>
      </c>
      <c r="BF74" s="169" t="e">
        <f>+P73-BD74</f>
        <v>#N/A</v>
      </c>
      <c r="BG74" s="422"/>
      <c r="BH74" s="422"/>
      <c r="BI74" s="422"/>
      <c r="BJ74" s="645"/>
      <c r="BK74" s="645"/>
      <c r="BL74" s="645"/>
      <c r="BM74" s="645"/>
    </row>
    <row r="75" spans="1:65" ht="65.099999999999994" customHeight="1" thickBot="1">
      <c r="A75" s="405"/>
      <c r="B75" s="625"/>
      <c r="C75" s="440"/>
      <c r="D75" s="152"/>
      <c r="E75" s="152"/>
      <c r="F75" s="475"/>
      <c r="G75" s="443"/>
      <c r="H75" s="100"/>
      <c r="I75" s="128"/>
      <c r="J75" s="100"/>
      <c r="K75" s="147"/>
      <c r="L75" s="129"/>
      <c r="M75" s="446"/>
      <c r="N75" s="425"/>
      <c r="O75" s="428"/>
      <c r="P75" s="425"/>
      <c r="Q75" s="429"/>
      <c r="R75" s="422"/>
      <c r="S75" s="150"/>
      <c r="T75" s="96"/>
      <c r="U75" s="47" t="s">
        <v>627</v>
      </c>
      <c r="V75" s="172"/>
      <c r="W75" s="172"/>
      <c r="X75" s="172"/>
      <c r="Y75" s="95" t="str">
        <f t="shared" si="13"/>
        <v/>
      </c>
      <c r="Z75" s="172"/>
      <c r="AA75" s="95" t="str">
        <f t="shared" si="14"/>
        <v/>
      </c>
      <c r="AB75" s="150"/>
      <c r="AC75" s="95" t="str">
        <f t="shared" si="15"/>
        <v/>
      </c>
      <c r="AD75" s="150"/>
      <c r="AE75" s="95" t="str">
        <f t="shared" si="16"/>
        <v/>
      </c>
      <c r="AF75" s="150"/>
      <c r="AG75" s="95" t="str">
        <f t="shared" si="17"/>
        <v/>
      </c>
      <c r="AH75" s="150"/>
      <c r="AI75" s="95" t="str">
        <f t="shared" si="18"/>
        <v/>
      </c>
      <c r="AJ75" s="150"/>
      <c r="AK75" s="27" t="str">
        <f t="shared" si="19"/>
        <v/>
      </c>
      <c r="AL75" s="48" t="str">
        <f t="shared" si="20"/>
        <v/>
      </c>
      <c r="AM75" s="48" t="str">
        <f t="shared" si="21"/>
        <v/>
      </c>
      <c r="AN75" s="196"/>
      <c r="AO75" s="196"/>
      <c r="AP75" s="196"/>
      <c r="AQ75" s="196"/>
      <c r="AR75" s="196"/>
      <c r="AS75" s="196"/>
      <c r="AT75" s="196"/>
      <c r="AU75" s="197" t="str">
        <f>IFERROR(VLOOKUP(AT75,'Seguridad Información'!$I$61:$J$65,2,0),"")</f>
        <v/>
      </c>
      <c r="AV75" s="79"/>
      <c r="AW75" s="78" t="str">
        <f t="shared" si="12"/>
        <v/>
      </c>
      <c r="AX75" s="77" t="str">
        <f t="shared" si="22"/>
        <v/>
      </c>
      <c r="AY75" s="21" t="str">
        <f>IFERROR(VLOOKUP((CONCATENATE(AM75,AX75)),Listados!$U$3:$V$11,2,FALSE),"")</f>
        <v/>
      </c>
      <c r="AZ75" s="48">
        <f t="shared" si="23"/>
        <v>100</v>
      </c>
      <c r="BA75" s="431"/>
      <c r="BB75" s="433"/>
      <c r="BC75" s="169">
        <f>+IF(AND(W75="Preventivo",BB73="Fuerte"),2,IF(AND(W75="Preventivo",BB73="Moderado"),1,0))</f>
        <v>0</v>
      </c>
      <c r="BD75" s="64">
        <f>+IF(AND(W75="Detectivo/Correctivo",$BB73="Fuerte"),2,IF(AND(W75="Detectivo/Correctivo",$BB75="Moderado"),1,IF(AND(W75="Preventivo",$BB73="Fuerte"),1,0)))</f>
        <v>0</v>
      </c>
      <c r="BE75" s="169" t="e">
        <f>+N73-BC75</f>
        <v>#N/A</v>
      </c>
      <c r="BF75" s="169" t="e">
        <f>+P73-BD75</f>
        <v>#N/A</v>
      </c>
      <c r="BG75" s="422"/>
      <c r="BH75" s="422"/>
      <c r="BI75" s="422"/>
      <c r="BJ75" s="645"/>
      <c r="BK75" s="645"/>
      <c r="BL75" s="645"/>
      <c r="BM75" s="645"/>
    </row>
    <row r="76" spans="1:65" ht="65.099999999999994" customHeight="1" thickBot="1">
      <c r="A76" s="405"/>
      <c r="B76" s="625"/>
      <c r="C76" s="440"/>
      <c r="D76" s="152"/>
      <c r="E76" s="152"/>
      <c r="F76" s="475"/>
      <c r="G76" s="443"/>
      <c r="H76" s="100"/>
      <c r="I76" s="128"/>
      <c r="J76" s="100"/>
      <c r="K76" s="147"/>
      <c r="L76" s="129"/>
      <c r="M76" s="446"/>
      <c r="N76" s="425"/>
      <c r="O76" s="428"/>
      <c r="P76" s="425"/>
      <c r="Q76" s="429"/>
      <c r="R76" s="422"/>
      <c r="S76" s="150"/>
      <c r="T76" s="97"/>
      <c r="U76" s="47" t="s">
        <v>627</v>
      </c>
      <c r="V76" s="172"/>
      <c r="W76" s="172"/>
      <c r="X76" s="172"/>
      <c r="Y76" s="95" t="str">
        <f t="shared" si="13"/>
        <v/>
      </c>
      <c r="Z76" s="172"/>
      <c r="AA76" s="95" t="str">
        <f t="shared" si="14"/>
        <v/>
      </c>
      <c r="AB76" s="150"/>
      <c r="AC76" s="95" t="str">
        <f t="shared" si="15"/>
        <v/>
      </c>
      <c r="AD76" s="150"/>
      <c r="AE76" s="95" t="str">
        <f t="shared" si="16"/>
        <v/>
      </c>
      <c r="AF76" s="150"/>
      <c r="AG76" s="95" t="str">
        <f t="shared" si="17"/>
        <v/>
      </c>
      <c r="AH76" s="150"/>
      <c r="AI76" s="95" t="str">
        <f t="shared" si="18"/>
        <v/>
      </c>
      <c r="AJ76" s="150"/>
      <c r="AK76" s="27" t="str">
        <f t="shared" si="19"/>
        <v/>
      </c>
      <c r="AL76" s="48" t="str">
        <f t="shared" si="20"/>
        <v/>
      </c>
      <c r="AM76" s="48" t="str">
        <f t="shared" si="21"/>
        <v/>
      </c>
      <c r="AN76" s="196"/>
      <c r="AO76" s="196"/>
      <c r="AP76" s="196"/>
      <c r="AQ76" s="196"/>
      <c r="AR76" s="196"/>
      <c r="AS76" s="196"/>
      <c r="AT76" s="196"/>
      <c r="AU76" s="197" t="str">
        <f>IFERROR(VLOOKUP(AT76,'Seguridad Información'!$I$61:$J$65,2,0),"")</f>
        <v/>
      </c>
      <c r="AV76" s="79"/>
      <c r="AW76" s="78" t="str">
        <f t="shared" si="12"/>
        <v/>
      </c>
      <c r="AX76" s="77" t="str">
        <f t="shared" si="22"/>
        <v/>
      </c>
      <c r="AY76" s="21" t="str">
        <f>IFERROR(VLOOKUP((CONCATENATE(AM76,AX76)),Listados!$U$3:$V$11,2,FALSE),"")</f>
        <v/>
      </c>
      <c r="AZ76" s="48">
        <f t="shared" si="23"/>
        <v>100</v>
      </c>
      <c r="BA76" s="431"/>
      <c r="BB76" s="433"/>
      <c r="BC76" s="169">
        <f>+IF(AND(W76="Preventivo",BB73="Fuerte"),2,IF(AND(W76="Preventivo",BB73="Moderado"),1,0))</f>
        <v>0</v>
      </c>
      <c r="BD76" s="64">
        <f>+IF(AND(W76="Detectivo/Correctivo",$BB73="Fuerte"),2,IF(AND(W76="Detectivo/Correctivo",$BB76="Moderado"),1,IF(AND(W76="Preventivo",$BB73="Fuerte"),1,0)))</f>
        <v>0</v>
      </c>
      <c r="BE76" s="169" t="e">
        <f>+N73-BC76</f>
        <v>#N/A</v>
      </c>
      <c r="BF76" s="169" t="e">
        <f>+P73-BD76</f>
        <v>#N/A</v>
      </c>
      <c r="BG76" s="422"/>
      <c r="BH76" s="422"/>
      <c r="BI76" s="422"/>
      <c r="BJ76" s="645"/>
      <c r="BK76" s="645"/>
      <c r="BL76" s="645"/>
      <c r="BM76" s="645"/>
    </row>
    <row r="77" spans="1:65" ht="65.099999999999994" customHeight="1" thickBot="1">
      <c r="A77" s="405"/>
      <c r="B77" s="625"/>
      <c r="C77" s="440"/>
      <c r="D77" s="109"/>
      <c r="E77" s="109"/>
      <c r="F77" s="475"/>
      <c r="G77" s="443"/>
      <c r="H77" s="100"/>
      <c r="I77" s="128"/>
      <c r="J77" s="100"/>
      <c r="K77" s="29"/>
      <c r="L77" s="129"/>
      <c r="M77" s="446"/>
      <c r="N77" s="425"/>
      <c r="O77" s="428"/>
      <c r="P77" s="425"/>
      <c r="Q77" s="429"/>
      <c r="R77" s="422"/>
      <c r="S77" s="150"/>
      <c r="T77" s="198"/>
      <c r="U77" s="47" t="s">
        <v>627</v>
      </c>
      <c r="V77" s="172"/>
      <c r="W77" s="172"/>
      <c r="X77" s="172"/>
      <c r="Y77" s="95" t="str">
        <f t="shared" si="13"/>
        <v/>
      </c>
      <c r="Z77" s="172"/>
      <c r="AA77" s="95" t="str">
        <f t="shared" si="14"/>
        <v/>
      </c>
      <c r="AB77" s="150"/>
      <c r="AC77" s="95" t="str">
        <f t="shared" si="15"/>
        <v/>
      </c>
      <c r="AD77" s="150"/>
      <c r="AE77" s="95" t="str">
        <f t="shared" si="16"/>
        <v/>
      </c>
      <c r="AF77" s="150"/>
      <c r="AG77" s="95" t="str">
        <f t="shared" si="17"/>
        <v/>
      </c>
      <c r="AH77" s="150"/>
      <c r="AI77" s="95" t="str">
        <f t="shared" si="18"/>
        <v/>
      </c>
      <c r="AJ77" s="150"/>
      <c r="AK77" s="27" t="str">
        <f t="shared" si="19"/>
        <v/>
      </c>
      <c r="AL77" s="48" t="str">
        <f t="shared" si="20"/>
        <v/>
      </c>
      <c r="AM77" s="48" t="str">
        <f t="shared" si="21"/>
        <v/>
      </c>
      <c r="AN77" s="196"/>
      <c r="AO77" s="196"/>
      <c r="AP77" s="196"/>
      <c r="AQ77" s="196"/>
      <c r="AR77" s="196"/>
      <c r="AS77" s="196"/>
      <c r="AT77" s="196"/>
      <c r="AU77" s="197" t="str">
        <f>IFERROR(VLOOKUP(AT77,'Seguridad Información'!$I$61:$J$65,2,0),"")</f>
        <v/>
      </c>
      <c r="AV77" s="79"/>
      <c r="AW77" s="78" t="str">
        <f t="shared" si="12"/>
        <v/>
      </c>
      <c r="AX77" s="77" t="str">
        <f t="shared" si="22"/>
        <v/>
      </c>
      <c r="AY77" s="21" t="str">
        <f>IFERROR(VLOOKUP((CONCATENATE(AM77,AX77)),Listados!$U$3:$V$11,2,FALSE),"")</f>
        <v/>
      </c>
      <c r="AZ77" s="48">
        <f t="shared" si="23"/>
        <v>100</v>
      </c>
      <c r="BA77" s="431"/>
      <c r="BB77" s="433"/>
      <c r="BC77" s="169">
        <f>+IF(AND(W77="Preventivo",BB73="Fuerte"),2,IF(AND(W77="Preventivo",BB73="Moderado"),1,0))</f>
        <v>0</v>
      </c>
      <c r="BD77" s="64">
        <f>+IF(AND(W77="Detectivo/Correctivo",$BB73="Fuerte"),2,IF(AND(W77="Detectivo/Correctivo",$BB77="Moderado"),1,IF(AND(W77="Preventivo",$BB73="Fuerte"),1,0)))</f>
        <v>0</v>
      </c>
      <c r="BE77" s="169" t="e">
        <f>+N73-BC77</f>
        <v>#N/A</v>
      </c>
      <c r="BF77" s="169" t="e">
        <f>+P73-BD77</f>
        <v>#N/A</v>
      </c>
      <c r="BG77" s="422"/>
      <c r="BH77" s="422"/>
      <c r="BI77" s="422"/>
      <c r="BJ77" s="645"/>
      <c r="BK77" s="645"/>
      <c r="BL77" s="645"/>
      <c r="BM77" s="645"/>
    </row>
    <row r="78" spans="1:65" ht="65.099999999999994" customHeight="1" thickBot="1">
      <c r="A78" s="406"/>
      <c r="B78" s="625"/>
      <c r="C78" s="441"/>
      <c r="D78" s="106"/>
      <c r="E78" s="106"/>
      <c r="F78" s="619"/>
      <c r="G78" s="444"/>
      <c r="H78" s="100"/>
      <c r="I78" s="128"/>
      <c r="J78" s="100"/>
      <c r="K78" s="31"/>
      <c r="L78" s="129"/>
      <c r="M78" s="446"/>
      <c r="N78" s="426"/>
      <c r="O78" s="428"/>
      <c r="P78" s="426"/>
      <c r="Q78" s="429"/>
      <c r="R78" s="423"/>
      <c r="S78" s="150"/>
      <c r="T78" s="98"/>
      <c r="U78" s="47" t="s">
        <v>627</v>
      </c>
      <c r="V78" s="172"/>
      <c r="W78" s="172"/>
      <c r="X78" s="172"/>
      <c r="Y78" s="95" t="str">
        <f t="shared" si="13"/>
        <v/>
      </c>
      <c r="Z78" s="172"/>
      <c r="AA78" s="95" t="str">
        <f t="shared" si="14"/>
        <v/>
      </c>
      <c r="AB78" s="150"/>
      <c r="AC78" s="95" t="str">
        <f t="shared" si="15"/>
        <v/>
      </c>
      <c r="AD78" s="150"/>
      <c r="AE78" s="95" t="str">
        <f t="shared" si="16"/>
        <v/>
      </c>
      <c r="AF78" s="150"/>
      <c r="AG78" s="95" t="str">
        <f t="shared" si="17"/>
        <v/>
      </c>
      <c r="AH78" s="150"/>
      <c r="AI78" s="95" t="str">
        <f t="shared" si="18"/>
        <v/>
      </c>
      <c r="AJ78" s="150"/>
      <c r="AK78" s="27" t="str">
        <f t="shared" si="19"/>
        <v/>
      </c>
      <c r="AL78" s="48" t="str">
        <f t="shared" si="20"/>
        <v/>
      </c>
      <c r="AM78" s="48" t="str">
        <f t="shared" si="21"/>
        <v/>
      </c>
      <c r="AN78" s="196"/>
      <c r="AO78" s="196"/>
      <c r="AP78" s="196"/>
      <c r="AQ78" s="196"/>
      <c r="AR78" s="196"/>
      <c r="AS78" s="196"/>
      <c r="AT78" s="196"/>
      <c r="AU78" s="197" t="str">
        <f>IFERROR(VLOOKUP(AT78,'Seguridad Información'!$I$61:$J$65,2,0),"")</f>
        <v/>
      </c>
      <c r="AV78" s="79"/>
      <c r="AW78" s="78" t="str">
        <f t="shared" si="12"/>
        <v/>
      </c>
      <c r="AX78" s="77" t="str">
        <f t="shared" si="22"/>
        <v/>
      </c>
      <c r="AY78" s="21" t="str">
        <f>IFERROR(VLOOKUP((CONCATENATE(AM78,AX78)),Listados!$U$3:$V$11,2,FALSE),"")</f>
        <v/>
      </c>
      <c r="AZ78" s="48">
        <f t="shared" si="23"/>
        <v>100</v>
      </c>
      <c r="BA78" s="432"/>
      <c r="BB78" s="433"/>
      <c r="BC78" s="169">
        <f>+IF(AND(W78="Preventivo",BB73="Fuerte"),2,IF(AND(W78="Preventivo",BB73="Moderado"),1,0))</f>
        <v>0</v>
      </c>
      <c r="BD78" s="64">
        <f>+IF(AND(W78="Detectivo/Correctivo",$BB73="Fuerte"),2,IF(AND(W78="Detectivo/Correctivo",$BB78="Moderado"),1,IF(AND(W78="Preventivo",$BB73="Fuerte"),1,0)))</f>
        <v>0</v>
      </c>
      <c r="BE78" s="169" t="e">
        <f>+N73-BC78</f>
        <v>#N/A</v>
      </c>
      <c r="BF78" s="169" t="e">
        <f>+P73-BD78</f>
        <v>#N/A</v>
      </c>
      <c r="BG78" s="423"/>
      <c r="BH78" s="423"/>
      <c r="BI78" s="423"/>
      <c r="BJ78" s="646"/>
      <c r="BK78" s="646"/>
      <c r="BL78" s="646"/>
      <c r="BM78" s="646"/>
    </row>
    <row r="79" spans="1:65" ht="65.099999999999994" customHeight="1" thickBot="1">
      <c r="A79" s="404">
        <v>13</v>
      </c>
      <c r="B79" s="628"/>
      <c r="C79" s="447" t="str">
        <f>IFERROR(VLOOKUP(B79,Listados!B$3:C$20,2,FALSE),"")</f>
        <v/>
      </c>
      <c r="D79" s="107"/>
      <c r="E79" s="107"/>
      <c r="F79" s="618"/>
      <c r="G79" s="448"/>
      <c r="H79" s="100"/>
      <c r="I79" s="128"/>
      <c r="J79" s="100"/>
      <c r="K79" s="103"/>
      <c r="L79" s="17"/>
      <c r="M79" s="445"/>
      <c r="N79" s="424" t="e">
        <f>+VLOOKUP(M79,Listados!$K$8:$L$12,2,0)</f>
        <v>#N/A</v>
      </c>
      <c r="O79" s="427"/>
      <c r="P79" s="424" t="e">
        <f>+VLOOKUP(O79,Listados!$K$13:$L$17,2,0)</f>
        <v>#N/A</v>
      </c>
      <c r="Q79" s="423" t="str">
        <f>IF(AND(M79&lt;&gt;"",O79&lt;&gt;""),VLOOKUP(M79&amp;O79,Listados!$M$3:$N$27,2,FALSE),"")</f>
        <v/>
      </c>
      <c r="R79" s="421" t="e">
        <f>+VLOOKUP(Q79,Listados!$P$3:$Q$6,2,FALSE)</f>
        <v>#N/A</v>
      </c>
      <c r="S79" s="150"/>
      <c r="T79" s="94"/>
      <c r="U79" s="47" t="s">
        <v>627</v>
      </c>
      <c r="V79" s="172"/>
      <c r="W79" s="172"/>
      <c r="X79" s="172"/>
      <c r="Y79" s="95" t="str">
        <f t="shared" si="13"/>
        <v/>
      </c>
      <c r="Z79" s="172"/>
      <c r="AA79" s="95" t="str">
        <f t="shared" si="14"/>
        <v/>
      </c>
      <c r="AB79" s="150"/>
      <c r="AC79" s="95" t="str">
        <f t="shared" si="15"/>
        <v/>
      </c>
      <c r="AD79" s="150"/>
      <c r="AE79" s="95" t="str">
        <f t="shared" si="16"/>
        <v/>
      </c>
      <c r="AF79" s="150"/>
      <c r="AG79" s="95" t="str">
        <f t="shared" si="17"/>
        <v/>
      </c>
      <c r="AH79" s="150"/>
      <c r="AI79" s="95" t="str">
        <f t="shared" si="18"/>
        <v/>
      </c>
      <c r="AJ79" s="150"/>
      <c r="AK79" s="27" t="str">
        <f t="shared" si="19"/>
        <v/>
      </c>
      <c r="AL79" s="48" t="str">
        <f t="shared" si="20"/>
        <v/>
      </c>
      <c r="AM79" s="48" t="str">
        <f t="shared" si="21"/>
        <v/>
      </c>
      <c r="AN79" s="196"/>
      <c r="AO79" s="196"/>
      <c r="AP79" s="196"/>
      <c r="AQ79" s="196"/>
      <c r="AR79" s="196"/>
      <c r="AS79" s="196"/>
      <c r="AT79" s="196"/>
      <c r="AU79" s="197" t="str">
        <f>IFERROR(VLOOKUP(AT79,'Seguridad Información'!$I$61:$J$65,2,0),"")</f>
        <v/>
      </c>
      <c r="AV79" s="79"/>
      <c r="AW79" s="78" t="str">
        <f t="shared" si="12"/>
        <v/>
      </c>
      <c r="AX79" s="77" t="str">
        <f t="shared" si="22"/>
        <v/>
      </c>
      <c r="AY79" s="21" t="str">
        <f>IFERROR(VLOOKUP((CONCATENATE(AM79,AX79)),Listados!$U$3:$V$11,2,FALSE),"")</f>
        <v/>
      </c>
      <c r="AZ79" s="48">
        <f t="shared" si="23"/>
        <v>100</v>
      </c>
      <c r="BA79" s="430">
        <f>AVERAGE(AZ79:AZ84)</f>
        <v>100</v>
      </c>
      <c r="BB79" s="432" t="str">
        <f>IF(BA79&lt;=50, "Débil", IF(BA79&lt;=99,"Moderado","Fuerte"))</f>
        <v>Fuerte</v>
      </c>
      <c r="BC79" s="169">
        <f>+IF(AND(W79="Preventivo",BB79="Fuerte"),2,IF(AND(W79="Preventivo",BB79="Moderado"),1,0))</f>
        <v>0</v>
      </c>
      <c r="BD79" s="64">
        <f>+IF(AND(W79="Detectivo/Correctivo",$BB79="Fuerte"),2,IF(AND(W79="Detectivo/Correctivo",$BB79="Moderado"),1,IF(AND(W79="Preventivo",$BB79="Fuerte"),1,0)))</f>
        <v>0</v>
      </c>
      <c r="BE79" s="169" t="e">
        <f>+N79-BC79</f>
        <v>#N/A</v>
      </c>
      <c r="BF79" s="169" t="e">
        <f>+P79-BD79</f>
        <v>#N/A</v>
      </c>
      <c r="BG79" s="421" t="e">
        <f>+VLOOKUP(MIN(BE79,BE80,BE81,BE82,BE83,BE84),Listados!$J$18:$K$24,2,TRUE)</f>
        <v>#N/A</v>
      </c>
      <c r="BH79" s="421" t="e">
        <f>+VLOOKUP(MIN(BF79,BF80,BF81,BF82,BF83,BF84),Listados!$J$27:$K$32,2,TRUE)</f>
        <v>#N/A</v>
      </c>
      <c r="BI79" s="421" t="e">
        <f>IF(AND(BG79&lt;&gt;"",BH79&lt;&gt;""),VLOOKUP(BG79&amp;BH79,Listados!$M$3:$N$27,2,FALSE),"")</f>
        <v>#N/A</v>
      </c>
      <c r="BJ79" s="644" t="e">
        <f>+IF($R79="Asumir el riesgo","NA","")</f>
        <v>#N/A</v>
      </c>
      <c r="BK79" s="644" t="e">
        <f>+IF($R79="Asumir el riesgo","NA","")</f>
        <v>#N/A</v>
      </c>
      <c r="BL79" s="644" t="e">
        <f>+IF($R79="Asumir el riesgo","NA","")</f>
        <v>#N/A</v>
      </c>
      <c r="BM79" s="644" t="e">
        <f>+IF($R79="Asumir el riesgo","NA","")</f>
        <v>#N/A</v>
      </c>
    </row>
    <row r="80" spans="1:65" ht="65.099999999999994" customHeight="1" thickBot="1">
      <c r="A80" s="405"/>
      <c r="B80" s="625"/>
      <c r="C80" s="440"/>
      <c r="D80" s="152"/>
      <c r="E80" s="152"/>
      <c r="F80" s="475"/>
      <c r="G80" s="443"/>
      <c r="H80" s="100"/>
      <c r="I80" s="128"/>
      <c r="J80" s="100"/>
      <c r="K80" s="147"/>
      <c r="L80" s="129"/>
      <c r="M80" s="446"/>
      <c r="N80" s="425"/>
      <c r="O80" s="428"/>
      <c r="P80" s="425"/>
      <c r="Q80" s="429"/>
      <c r="R80" s="422"/>
      <c r="S80" s="150"/>
      <c r="T80" s="198"/>
      <c r="U80" s="47" t="s">
        <v>627</v>
      </c>
      <c r="V80" s="172"/>
      <c r="W80" s="172"/>
      <c r="X80" s="172"/>
      <c r="Y80" s="95" t="str">
        <f t="shared" si="13"/>
        <v/>
      </c>
      <c r="Z80" s="172"/>
      <c r="AA80" s="95" t="str">
        <f t="shared" si="14"/>
        <v/>
      </c>
      <c r="AB80" s="150"/>
      <c r="AC80" s="95" t="str">
        <f t="shared" si="15"/>
        <v/>
      </c>
      <c r="AD80" s="150"/>
      <c r="AE80" s="95" t="str">
        <f t="shared" si="16"/>
        <v/>
      </c>
      <c r="AF80" s="150"/>
      <c r="AG80" s="95" t="str">
        <f t="shared" si="17"/>
        <v/>
      </c>
      <c r="AH80" s="150"/>
      <c r="AI80" s="95" t="str">
        <f t="shared" si="18"/>
        <v/>
      </c>
      <c r="AJ80" s="150"/>
      <c r="AK80" s="27" t="str">
        <f t="shared" si="19"/>
        <v/>
      </c>
      <c r="AL80" s="48" t="str">
        <f t="shared" si="20"/>
        <v/>
      </c>
      <c r="AM80" s="48" t="str">
        <f t="shared" si="21"/>
        <v/>
      </c>
      <c r="AN80" s="196"/>
      <c r="AO80" s="196"/>
      <c r="AP80" s="196"/>
      <c r="AQ80" s="196"/>
      <c r="AR80" s="196"/>
      <c r="AS80" s="196"/>
      <c r="AT80" s="196"/>
      <c r="AU80" s="197" t="str">
        <f>IFERROR(VLOOKUP(AT80,'Seguridad Información'!$I$61:$J$65,2,0),"")</f>
        <v/>
      </c>
      <c r="AV80" s="79"/>
      <c r="AW80" s="78" t="str">
        <f t="shared" si="12"/>
        <v/>
      </c>
      <c r="AX80" s="77" t="str">
        <f t="shared" si="22"/>
        <v/>
      </c>
      <c r="AY80" s="21" t="str">
        <f>IFERROR(VLOOKUP((CONCATENATE(AM80,AX80)),Listados!$U$3:$V$11,2,FALSE),"")</f>
        <v/>
      </c>
      <c r="AZ80" s="48">
        <f t="shared" si="23"/>
        <v>100</v>
      </c>
      <c r="BA80" s="431"/>
      <c r="BB80" s="433"/>
      <c r="BC80" s="169">
        <f>+IF(AND(W80="Preventivo",BB79="Fuerte"),2,IF(AND(W80="Preventivo",BB79="Moderado"),1,0))</f>
        <v>0</v>
      </c>
      <c r="BD80" s="64">
        <f>+IF(AND(W80="Detectivo/Correctivo",$BB79="Fuerte"),2,IF(AND(W80="Detectivo/Correctivo",$BB80="Moderado"),1,IF(AND(W80="Preventivo",$BB79="Fuerte"),1,0)))</f>
        <v>0</v>
      </c>
      <c r="BE80" s="169" t="e">
        <f>+N79-BC80</f>
        <v>#N/A</v>
      </c>
      <c r="BF80" s="169" t="e">
        <f>+P79-BD80</f>
        <v>#N/A</v>
      </c>
      <c r="BG80" s="422"/>
      <c r="BH80" s="422"/>
      <c r="BI80" s="422"/>
      <c r="BJ80" s="645"/>
      <c r="BK80" s="645"/>
      <c r="BL80" s="645"/>
      <c r="BM80" s="645"/>
    </row>
    <row r="81" spans="1:65" ht="65.099999999999994" customHeight="1" thickBot="1">
      <c r="A81" s="405"/>
      <c r="B81" s="625"/>
      <c r="C81" s="440"/>
      <c r="D81" s="152"/>
      <c r="E81" s="152"/>
      <c r="F81" s="475"/>
      <c r="G81" s="443"/>
      <c r="H81" s="100"/>
      <c r="I81" s="128"/>
      <c r="J81" s="100"/>
      <c r="K81" s="147"/>
      <c r="L81" s="129"/>
      <c r="M81" s="446"/>
      <c r="N81" s="425"/>
      <c r="O81" s="428"/>
      <c r="P81" s="425"/>
      <c r="Q81" s="429"/>
      <c r="R81" s="422"/>
      <c r="S81" s="150"/>
      <c r="T81" s="96"/>
      <c r="U81" s="47" t="s">
        <v>627</v>
      </c>
      <c r="V81" s="172"/>
      <c r="W81" s="172"/>
      <c r="X81" s="172"/>
      <c r="Y81" s="95" t="str">
        <f t="shared" si="13"/>
        <v/>
      </c>
      <c r="Z81" s="172"/>
      <c r="AA81" s="95" t="str">
        <f t="shared" si="14"/>
        <v/>
      </c>
      <c r="AB81" s="150"/>
      <c r="AC81" s="95" t="str">
        <f t="shared" si="15"/>
        <v/>
      </c>
      <c r="AD81" s="150"/>
      <c r="AE81" s="95" t="str">
        <f t="shared" si="16"/>
        <v/>
      </c>
      <c r="AF81" s="150"/>
      <c r="AG81" s="95" t="str">
        <f t="shared" si="17"/>
        <v/>
      </c>
      <c r="AH81" s="150"/>
      <c r="AI81" s="95" t="str">
        <f t="shared" si="18"/>
        <v/>
      </c>
      <c r="AJ81" s="150"/>
      <c r="AK81" s="27" t="str">
        <f t="shared" si="19"/>
        <v/>
      </c>
      <c r="AL81" s="48" t="str">
        <f t="shared" si="20"/>
        <v/>
      </c>
      <c r="AM81" s="48" t="str">
        <f t="shared" si="21"/>
        <v/>
      </c>
      <c r="AN81" s="196"/>
      <c r="AO81" s="196"/>
      <c r="AP81" s="196"/>
      <c r="AQ81" s="196"/>
      <c r="AR81" s="196"/>
      <c r="AS81" s="196"/>
      <c r="AT81" s="196"/>
      <c r="AU81" s="197" t="str">
        <f>IFERROR(VLOOKUP(AT81,'Seguridad Información'!$I$61:$J$65,2,0),"")</f>
        <v/>
      </c>
      <c r="AV81" s="79"/>
      <c r="AW81" s="78" t="str">
        <f t="shared" si="12"/>
        <v/>
      </c>
      <c r="AX81" s="77" t="str">
        <f t="shared" si="22"/>
        <v/>
      </c>
      <c r="AY81" s="21" t="str">
        <f>IFERROR(VLOOKUP((CONCATENATE(AM81,AX81)),Listados!$U$3:$V$11,2,FALSE),"")</f>
        <v/>
      </c>
      <c r="AZ81" s="48">
        <f t="shared" si="23"/>
        <v>100</v>
      </c>
      <c r="BA81" s="431"/>
      <c r="BB81" s="433"/>
      <c r="BC81" s="169">
        <f>+IF(AND(W81="Preventivo",BB79="Fuerte"),2,IF(AND(W81="Preventivo",BB79="Moderado"),1,0))</f>
        <v>0</v>
      </c>
      <c r="BD81" s="64">
        <f>+IF(AND(W81="Detectivo/Correctivo",$BB79="Fuerte"),2,IF(AND(W81="Detectivo/Correctivo",$BB81="Moderado"),1,IF(AND(W81="Preventivo",$BB79="Fuerte"),1,0)))</f>
        <v>0</v>
      </c>
      <c r="BE81" s="169" t="e">
        <f>+N79-BC81</f>
        <v>#N/A</v>
      </c>
      <c r="BF81" s="169" t="e">
        <f>+P79-BD81</f>
        <v>#N/A</v>
      </c>
      <c r="BG81" s="422"/>
      <c r="BH81" s="422"/>
      <c r="BI81" s="422"/>
      <c r="BJ81" s="645"/>
      <c r="BK81" s="645"/>
      <c r="BL81" s="645"/>
      <c r="BM81" s="645"/>
    </row>
    <row r="82" spans="1:65" ht="65.099999999999994" customHeight="1" thickBot="1">
      <c r="A82" s="405"/>
      <c r="B82" s="625"/>
      <c r="C82" s="440"/>
      <c r="D82" s="152"/>
      <c r="E82" s="152"/>
      <c r="F82" s="475"/>
      <c r="G82" s="443"/>
      <c r="H82" s="100"/>
      <c r="I82" s="128"/>
      <c r="J82" s="100"/>
      <c r="K82" s="147"/>
      <c r="L82" s="129"/>
      <c r="M82" s="446"/>
      <c r="N82" s="425"/>
      <c r="O82" s="428"/>
      <c r="P82" s="425"/>
      <c r="Q82" s="429"/>
      <c r="R82" s="422"/>
      <c r="S82" s="150"/>
      <c r="T82" s="97"/>
      <c r="U82" s="47" t="s">
        <v>627</v>
      </c>
      <c r="V82" s="172"/>
      <c r="W82" s="172"/>
      <c r="X82" s="172"/>
      <c r="Y82" s="95" t="str">
        <f t="shared" si="13"/>
        <v/>
      </c>
      <c r="Z82" s="172"/>
      <c r="AA82" s="95" t="str">
        <f t="shared" si="14"/>
        <v/>
      </c>
      <c r="AB82" s="150"/>
      <c r="AC82" s="95" t="str">
        <f t="shared" si="15"/>
        <v/>
      </c>
      <c r="AD82" s="150"/>
      <c r="AE82" s="95" t="str">
        <f t="shared" si="16"/>
        <v/>
      </c>
      <c r="AF82" s="150"/>
      <c r="AG82" s="95" t="str">
        <f t="shared" si="17"/>
        <v/>
      </c>
      <c r="AH82" s="150"/>
      <c r="AI82" s="95" t="str">
        <f t="shared" si="18"/>
        <v/>
      </c>
      <c r="AJ82" s="150"/>
      <c r="AK82" s="27" t="str">
        <f t="shared" si="19"/>
        <v/>
      </c>
      <c r="AL82" s="48" t="str">
        <f t="shared" si="20"/>
        <v/>
      </c>
      <c r="AM82" s="48" t="str">
        <f t="shared" si="21"/>
        <v/>
      </c>
      <c r="AN82" s="196"/>
      <c r="AO82" s="196"/>
      <c r="AP82" s="196"/>
      <c r="AQ82" s="196"/>
      <c r="AR82" s="196"/>
      <c r="AS82" s="196"/>
      <c r="AT82" s="196"/>
      <c r="AU82" s="197" t="str">
        <f>IFERROR(VLOOKUP(AT82,'Seguridad Información'!$I$61:$J$65,2,0),"")</f>
        <v/>
      </c>
      <c r="AV82" s="79"/>
      <c r="AW82" s="78" t="str">
        <f t="shared" si="12"/>
        <v/>
      </c>
      <c r="AX82" s="77" t="str">
        <f t="shared" si="22"/>
        <v/>
      </c>
      <c r="AY82" s="21" t="str">
        <f>IFERROR(VLOOKUP((CONCATENATE(AM82,AX82)),Listados!$U$3:$V$11,2,FALSE),"")</f>
        <v/>
      </c>
      <c r="AZ82" s="48">
        <f t="shared" si="23"/>
        <v>100</v>
      </c>
      <c r="BA82" s="431"/>
      <c r="BB82" s="433"/>
      <c r="BC82" s="169">
        <f>+IF(AND(W82="Preventivo",BB79="Fuerte"),2,IF(AND(W82="Preventivo",BB79="Moderado"),1,0))</f>
        <v>0</v>
      </c>
      <c r="BD82" s="64">
        <f>+IF(AND(W82="Detectivo/Correctivo",$BB79="Fuerte"),2,IF(AND(W82="Detectivo/Correctivo",$BB82="Moderado"),1,IF(AND(W82="Preventivo",$BB79="Fuerte"),1,0)))</f>
        <v>0</v>
      </c>
      <c r="BE82" s="169" t="e">
        <f>+N79-BC82</f>
        <v>#N/A</v>
      </c>
      <c r="BF82" s="169" t="e">
        <f>+P79-BD82</f>
        <v>#N/A</v>
      </c>
      <c r="BG82" s="422"/>
      <c r="BH82" s="422"/>
      <c r="BI82" s="422"/>
      <c r="BJ82" s="645"/>
      <c r="BK82" s="645"/>
      <c r="BL82" s="645"/>
      <c r="BM82" s="645"/>
    </row>
    <row r="83" spans="1:65" ht="65.099999999999994" customHeight="1" thickBot="1">
      <c r="A83" s="405"/>
      <c r="B83" s="625"/>
      <c r="C83" s="440"/>
      <c r="D83" s="109"/>
      <c r="E83" s="109"/>
      <c r="F83" s="475"/>
      <c r="G83" s="443"/>
      <c r="H83" s="100"/>
      <c r="I83" s="128"/>
      <c r="J83" s="100"/>
      <c r="K83" s="29"/>
      <c r="L83" s="129"/>
      <c r="M83" s="446"/>
      <c r="N83" s="425"/>
      <c r="O83" s="428"/>
      <c r="P83" s="425"/>
      <c r="Q83" s="429"/>
      <c r="R83" s="422"/>
      <c r="S83" s="150"/>
      <c r="T83" s="198"/>
      <c r="U83" s="47" t="s">
        <v>627</v>
      </c>
      <c r="V83" s="172"/>
      <c r="W83" s="172"/>
      <c r="X83" s="172"/>
      <c r="Y83" s="95" t="str">
        <f t="shared" si="13"/>
        <v/>
      </c>
      <c r="Z83" s="172"/>
      <c r="AA83" s="95" t="str">
        <f t="shared" si="14"/>
        <v/>
      </c>
      <c r="AB83" s="150"/>
      <c r="AC83" s="95" t="str">
        <f t="shared" si="15"/>
        <v/>
      </c>
      <c r="AD83" s="150"/>
      <c r="AE83" s="95" t="str">
        <f t="shared" si="16"/>
        <v/>
      </c>
      <c r="AF83" s="150"/>
      <c r="AG83" s="95" t="str">
        <f t="shared" si="17"/>
        <v/>
      </c>
      <c r="AH83" s="150"/>
      <c r="AI83" s="95" t="str">
        <f t="shared" si="18"/>
        <v/>
      </c>
      <c r="AJ83" s="150"/>
      <c r="AK83" s="27" t="str">
        <f t="shared" si="19"/>
        <v/>
      </c>
      <c r="AL83" s="48" t="str">
        <f t="shared" si="20"/>
        <v/>
      </c>
      <c r="AM83" s="48" t="str">
        <f t="shared" si="21"/>
        <v/>
      </c>
      <c r="AN83" s="196"/>
      <c r="AO83" s="196"/>
      <c r="AP83" s="196"/>
      <c r="AQ83" s="196"/>
      <c r="AR83" s="196"/>
      <c r="AS83" s="196"/>
      <c r="AT83" s="196"/>
      <c r="AU83" s="197" t="str">
        <f>IFERROR(VLOOKUP(AT83,'Seguridad Información'!$I$61:$J$65,2,0),"")</f>
        <v/>
      </c>
      <c r="AV83" s="79"/>
      <c r="AW83" s="78" t="str">
        <f t="shared" si="12"/>
        <v/>
      </c>
      <c r="AX83" s="77" t="str">
        <f t="shared" si="22"/>
        <v/>
      </c>
      <c r="AY83" s="21" t="str">
        <f>IFERROR(VLOOKUP((CONCATENATE(AM83,AX83)),Listados!$U$3:$V$11,2,FALSE),"")</f>
        <v/>
      </c>
      <c r="AZ83" s="48">
        <f t="shared" si="23"/>
        <v>100</v>
      </c>
      <c r="BA83" s="431"/>
      <c r="BB83" s="433"/>
      <c r="BC83" s="169">
        <f>+IF(AND(W83="Preventivo",BB79="Fuerte"),2,IF(AND(W83="Preventivo",BB79="Moderado"),1,0))</f>
        <v>0</v>
      </c>
      <c r="BD83" s="64">
        <f>+IF(AND(W83="Detectivo/Correctivo",$BB79="Fuerte"),2,IF(AND(W83="Detectivo/Correctivo",$BB83="Moderado"),1,IF(AND(W83="Preventivo",$BB79="Fuerte"),1,0)))</f>
        <v>0</v>
      </c>
      <c r="BE83" s="169" t="e">
        <f>+N79-BC83</f>
        <v>#N/A</v>
      </c>
      <c r="BF83" s="169" t="e">
        <f>+P79-BD83</f>
        <v>#N/A</v>
      </c>
      <c r="BG83" s="422"/>
      <c r="BH83" s="422"/>
      <c r="BI83" s="422"/>
      <c r="BJ83" s="645"/>
      <c r="BK83" s="645"/>
      <c r="BL83" s="645"/>
      <c r="BM83" s="645"/>
    </row>
    <row r="84" spans="1:65" ht="65.099999999999994" customHeight="1" thickBot="1">
      <c r="A84" s="406"/>
      <c r="B84" s="625"/>
      <c r="C84" s="441"/>
      <c r="D84" s="106"/>
      <c r="E84" s="106"/>
      <c r="F84" s="619"/>
      <c r="G84" s="444"/>
      <c r="H84" s="100"/>
      <c r="I84" s="128"/>
      <c r="J84" s="100"/>
      <c r="K84" s="31"/>
      <c r="L84" s="129"/>
      <c r="M84" s="446"/>
      <c r="N84" s="426"/>
      <c r="O84" s="428"/>
      <c r="P84" s="426"/>
      <c r="Q84" s="429"/>
      <c r="R84" s="423"/>
      <c r="S84" s="150"/>
      <c r="T84" s="98"/>
      <c r="U84" s="47" t="s">
        <v>627</v>
      </c>
      <c r="V84" s="172"/>
      <c r="W84" s="172"/>
      <c r="X84" s="172"/>
      <c r="Y84" s="95" t="str">
        <f t="shared" si="13"/>
        <v/>
      </c>
      <c r="Z84" s="172"/>
      <c r="AA84" s="95" t="str">
        <f t="shared" si="14"/>
        <v/>
      </c>
      <c r="AB84" s="150"/>
      <c r="AC84" s="95" t="str">
        <f t="shared" si="15"/>
        <v/>
      </c>
      <c r="AD84" s="150"/>
      <c r="AE84" s="95" t="str">
        <f t="shared" si="16"/>
        <v/>
      </c>
      <c r="AF84" s="150"/>
      <c r="AG84" s="95" t="str">
        <f t="shared" si="17"/>
        <v/>
      </c>
      <c r="AH84" s="150"/>
      <c r="AI84" s="95" t="str">
        <f t="shared" si="18"/>
        <v/>
      </c>
      <c r="AJ84" s="150"/>
      <c r="AK84" s="27" t="str">
        <f t="shared" si="19"/>
        <v/>
      </c>
      <c r="AL84" s="48" t="str">
        <f t="shared" si="20"/>
        <v/>
      </c>
      <c r="AM84" s="48" t="str">
        <f t="shared" si="21"/>
        <v/>
      </c>
      <c r="AN84" s="196"/>
      <c r="AO84" s="196"/>
      <c r="AP84" s="196"/>
      <c r="AQ84" s="196"/>
      <c r="AR84" s="196"/>
      <c r="AS84" s="196"/>
      <c r="AT84" s="196"/>
      <c r="AU84" s="197" t="str">
        <f>IFERROR(VLOOKUP(AT84,'Seguridad Información'!$I$61:$J$65,2,0),"")</f>
        <v/>
      </c>
      <c r="AV84" s="79"/>
      <c r="AW84" s="78" t="str">
        <f t="shared" si="12"/>
        <v/>
      </c>
      <c r="AX84" s="77" t="str">
        <f t="shared" si="22"/>
        <v/>
      </c>
      <c r="AY84" s="21" t="str">
        <f>IFERROR(VLOOKUP((CONCATENATE(AM84,AX84)),Listados!$U$3:$V$11,2,FALSE),"")</f>
        <v/>
      </c>
      <c r="AZ84" s="48">
        <f t="shared" si="23"/>
        <v>100</v>
      </c>
      <c r="BA84" s="432"/>
      <c r="BB84" s="433"/>
      <c r="BC84" s="169">
        <f>+IF(AND(W84="Preventivo",BB79="Fuerte"),2,IF(AND(W84="Preventivo",BB79="Moderado"),1,0))</f>
        <v>0</v>
      </c>
      <c r="BD84" s="64">
        <f>+IF(AND(W84="Detectivo/Correctivo",$BB79="Fuerte"),2,IF(AND(W84="Detectivo/Correctivo",$BB84="Moderado"),1,IF(AND(W84="Preventivo",$BB79="Fuerte"),1,0)))</f>
        <v>0</v>
      </c>
      <c r="BE84" s="169" t="e">
        <f>+N79-BC84</f>
        <v>#N/A</v>
      </c>
      <c r="BF84" s="169" t="e">
        <f>+P79-BD84</f>
        <v>#N/A</v>
      </c>
      <c r="BG84" s="423"/>
      <c r="BH84" s="423"/>
      <c r="BI84" s="423"/>
      <c r="BJ84" s="646"/>
      <c r="BK84" s="646"/>
      <c r="BL84" s="646"/>
      <c r="BM84" s="646"/>
    </row>
    <row r="85" spans="1:65" ht="65.099999999999994" customHeight="1" thickBot="1">
      <c r="A85" s="404">
        <v>14</v>
      </c>
      <c r="B85" s="628"/>
      <c r="C85" s="447" t="str">
        <f>IFERROR(VLOOKUP(B85,Listados!B$3:C$20,2,FALSE),"")</f>
        <v/>
      </c>
      <c r="D85" s="107"/>
      <c r="E85" s="107"/>
      <c r="F85" s="618"/>
      <c r="G85" s="448"/>
      <c r="H85" s="100"/>
      <c r="I85" s="128"/>
      <c r="J85" s="100"/>
      <c r="K85" s="103"/>
      <c r="L85" s="17"/>
      <c r="M85" s="445"/>
      <c r="N85" s="424" t="e">
        <f>+VLOOKUP(M85,Listados!$K$8:$L$12,2,0)</f>
        <v>#N/A</v>
      </c>
      <c r="O85" s="427"/>
      <c r="P85" s="424" t="e">
        <f>+VLOOKUP(O85,Listados!$K$13:$L$17,2,0)</f>
        <v>#N/A</v>
      </c>
      <c r="Q85" s="423" t="str">
        <f>IF(AND(M85&lt;&gt;"",O85&lt;&gt;""),VLOOKUP(M85&amp;O85,Listados!$M$3:$N$27,2,FALSE),"")</f>
        <v/>
      </c>
      <c r="R85" s="421" t="e">
        <f>+VLOOKUP(Q85,Listados!$P$3:$Q$6,2,FALSE)</f>
        <v>#N/A</v>
      </c>
      <c r="S85" s="150"/>
      <c r="T85" s="94"/>
      <c r="U85" s="47" t="s">
        <v>627</v>
      </c>
      <c r="V85" s="172"/>
      <c r="W85" s="172"/>
      <c r="X85" s="172"/>
      <c r="Y85" s="95" t="str">
        <f t="shared" si="13"/>
        <v/>
      </c>
      <c r="Z85" s="172"/>
      <c r="AA85" s="95" t="str">
        <f t="shared" si="14"/>
        <v/>
      </c>
      <c r="AB85" s="150"/>
      <c r="AC85" s="95" t="str">
        <f t="shared" si="15"/>
        <v/>
      </c>
      <c r="AD85" s="150"/>
      <c r="AE85" s="95" t="str">
        <f t="shared" si="16"/>
        <v/>
      </c>
      <c r="AF85" s="150"/>
      <c r="AG85" s="95" t="str">
        <f t="shared" si="17"/>
        <v/>
      </c>
      <c r="AH85" s="150"/>
      <c r="AI85" s="95" t="str">
        <f t="shared" si="18"/>
        <v/>
      </c>
      <c r="AJ85" s="150"/>
      <c r="AK85" s="27" t="str">
        <f t="shared" si="19"/>
        <v/>
      </c>
      <c r="AL85" s="48" t="str">
        <f t="shared" si="20"/>
        <v/>
      </c>
      <c r="AM85" s="48" t="str">
        <f t="shared" si="21"/>
        <v/>
      </c>
      <c r="AN85" s="196"/>
      <c r="AO85" s="196"/>
      <c r="AP85" s="196"/>
      <c r="AQ85" s="196"/>
      <c r="AR85" s="196"/>
      <c r="AS85" s="196"/>
      <c r="AT85" s="196"/>
      <c r="AU85" s="197" t="str">
        <f>IFERROR(VLOOKUP(AT85,'Seguridad Información'!$I$61:$J$65,2,0),"")</f>
        <v/>
      </c>
      <c r="AV85" s="79"/>
      <c r="AW85" s="78" t="str">
        <f t="shared" si="12"/>
        <v/>
      </c>
      <c r="AX85" s="77" t="str">
        <f t="shared" si="22"/>
        <v/>
      </c>
      <c r="AY85" s="21" t="str">
        <f>IFERROR(VLOOKUP((CONCATENATE(AM85,AX85)),Listados!$U$3:$V$11,2,FALSE),"")</f>
        <v/>
      </c>
      <c r="AZ85" s="48">
        <f t="shared" si="23"/>
        <v>100</v>
      </c>
      <c r="BA85" s="430">
        <f>AVERAGE(AZ85:AZ90)</f>
        <v>100</v>
      </c>
      <c r="BB85" s="432" t="str">
        <f>IF(BA85&lt;=50, "Débil", IF(BA85&lt;=99,"Moderado","Fuerte"))</f>
        <v>Fuerte</v>
      </c>
      <c r="BC85" s="169">
        <f>+IF(AND(W85="Preventivo",BB85="Fuerte"),2,IF(AND(W85="Preventivo",BB85="Moderado"),1,0))</f>
        <v>0</v>
      </c>
      <c r="BD85" s="64">
        <f>+IF(AND(W85="Detectivo/Correctivo",$BB85="Fuerte"),2,IF(AND(W85="Detectivo/Correctivo",$BB85="Moderado"),1,IF(AND(W85="Preventivo",$BB85="Fuerte"),1,0)))</f>
        <v>0</v>
      </c>
      <c r="BE85" s="169" t="e">
        <f>+N85-BC85</f>
        <v>#N/A</v>
      </c>
      <c r="BF85" s="169" t="e">
        <f>+P85-BD85</f>
        <v>#N/A</v>
      </c>
      <c r="BG85" s="421" t="e">
        <f>+VLOOKUP(MIN(BE85,BE86,BE87,BE88,BE89,BE90),Listados!$J$18:$K$24,2,TRUE)</f>
        <v>#N/A</v>
      </c>
      <c r="BH85" s="421" t="e">
        <f>+VLOOKUP(MIN(BF85,BF86,BF87,BF88,BF89,BF90),Listados!$J$27:$K$32,2,TRUE)</f>
        <v>#N/A</v>
      </c>
      <c r="BI85" s="421" t="e">
        <f>IF(AND(BG85&lt;&gt;"",BH85&lt;&gt;""),VLOOKUP(BG85&amp;BH85,Listados!$M$3:$N$27,2,FALSE),"")</f>
        <v>#N/A</v>
      </c>
      <c r="BJ85" s="644" t="e">
        <f>+IF($R85="Asumir el riesgo","NA","")</f>
        <v>#N/A</v>
      </c>
      <c r="BK85" s="644" t="e">
        <f>+IF($R85="Asumir el riesgo","NA","")</f>
        <v>#N/A</v>
      </c>
      <c r="BL85" s="644" t="e">
        <f>+IF($R85="Asumir el riesgo","NA","")</f>
        <v>#N/A</v>
      </c>
      <c r="BM85" s="644" t="e">
        <f>+IF($R85="Asumir el riesgo","NA","")</f>
        <v>#N/A</v>
      </c>
    </row>
    <row r="86" spans="1:65" ht="65.099999999999994" customHeight="1" thickBot="1">
      <c r="A86" s="405"/>
      <c r="B86" s="625"/>
      <c r="C86" s="440"/>
      <c r="D86" s="152"/>
      <c r="E86" s="152"/>
      <c r="F86" s="475"/>
      <c r="G86" s="443"/>
      <c r="H86" s="100"/>
      <c r="I86" s="128"/>
      <c r="J86" s="100"/>
      <c r="K86" s="147"/>
      <c r="L86" s="129"/>
      <c r="M86" s="446"/>
      <c r="N86" s="425"/>
      <c r="O86" s="428"/>
      <c r="P86" s="425"/>
      <c r="Q86" s="429"/>
      <c r="R86" s="422"/>
      <c r="S86" s="150"/>
      <c r="T86" s="198"/>
      <c r="U86" s="47" t="s">
        <v>627</v>
      </c>
      <c r="V86" s="172"/>
      <c r="W86" s="172"/>
      <c r="X86" s="172"/>
      <c r="Y86" s="95" t="str">
        <f t="shared" si="13"/>
        <v/>
      </c>
      <c r="Z86" s="172"/>
      <c r="AA86" s="95" t="str">
        <f t="shared" si="14"/>
        <v/>
      </c>
      <c r="AB86" s="150"/>
      <c r="AC86" s="95" t="str">
        <f t="shared" si="15"/>
        <v/>
      </c>
      <c r="AD86" s="150"/>
      <c r="AE86" s="95" t="str">
        <f t="shared" si="16"/>
        <v/>
      </c>
      <c r="AF86" s="150"/>
      <c r="AG86" s="95" t="str">
        <f t="shared" si="17"/>
        <v/>
      </c>
      <c r="AH86" s="150"/>
      <c r="AI86" s="95" t="str">
        <f t="shared" si="18"/>
        <v/>
      </c>
      <c r="AJ86" s="150"/>
      <c r="AK86" s="27" t="str">
        <f t="shared" si="19"/>
        <v/>
      </c>
      <c r="AL86" s="48" t="str">
        <f t="shared" si="20"/>
        <v/>
      </c>
      <c r="AM86" s="48" t="str">
        <f t="shared" si="21"/>
        <v/>
      </c>
      <c r="AN86" s="196"/>
      <c r="AO86" s="196"/>
      <c r="AP86" s="196"/>
      <c r="AQ86" s="196"/>
      <c r="AR86" s="196"/>
      <c r="AS86" s="196"/>
      <c r="AT86" s="196"/>
      <c r="AU86" s="197" t="str">
        <f>IFERROR(VLOOKUP(AT86,'Seguridad Información'!$I$61:$J$65,2,0),"")</f>
        <v/>
      </c>
      <c r="AV86" s="79"/>
      <c r="AW86" s="78" t="str">
        <f t="shared" si="12"/>
        <v/>
      </c>
      <c r="AX86" s="77" t="str">
        <f t="shared" si="22"/>
        <v/>
      </c>
      <c r="AY86" s="21" t="str">
        <f>IFERROR(VLOOKUP((CONCATENATE(AM86,AX86)),Listados!$U$3:$V$11,2,FALSE),"")</f>
        <v/>
      </c>
      <c r="AZ86" s="48">
        <f t="shared" si="23"/>
        <v>100</v>
      </c>
      <c r="BA86" s="431"/>
      <c r="BB86" s="433"/>
      <c r="BC86" s="169">
        <f>+IF(AND(W86="Preventivo",BB85="Fuerte"),2,IF(AND(W86="Preventivo",BB85="Moderado"),1,0))</f>
        <v>0</v>
      </c>
      <c r="BD86" s="64">
        <f>+IF(AND(W86="Detectivo/Correctivo",$BB85="Fuerte"),2,IF(AND(W86="Detectivo/Correctivo",$BB86="Moderado"),1,IF(AND(W86="Preventivo",$BB85="Fuerte"),1,0)))</f>
        <v>0</v>
      </c>
      <c r="BE86" s="169" t="e">
        <f>+N85-BC86</f>
        <v>#N/A</v>
      </c>
      <c r="BF86" s="169" t="e">
        <f>+P85-BD86</f>
        <v>#N/A</v>
      </c>
      <c r="BG86" s="422"/>
      <c r="BH86" s="422"/>
      <c r="BI86" s="422"/>
      <c r="BJ86" s="645"/>
      <c r="BK86" s="645"/>
      <c r="BL86" s="645"/>
      <c r="BM86" s="645"/>
    </row>
    <row r="87" spans="1:65" ht="65.099999999999994" customHeight="1" thickBot="1">
      <c r="A87" s="405"/>
      <c r="B87" s="625"/>
      <c r="C87" s="440"/>
      <c r="D87" s="152"/>
      <c r="E87" s="152"/>
      <c r="F87" s="475"/>
      <c r="G87" s="443"/>
      <c r="H87" s="100"/>
      <c r="I87" s="128"/>
      <c r="J87" s="100"/>
      <c r="K87" s="147"/>
      <c r="L87" s="129"/>
      <c r="M87" s="446"/>
      <c r="N87" s="425"/>
      <c r="O87" s="428"/>
      <c r="P87" s="425"/>
      <c r="Q87" s="429"/>
      <c r="R87" s="422"/>
      <c r="S87" s="150"/>
      <c r="T87" s="96"/>
      <c r="U87" s="47" t="s">
        <v>627</v>
      </c>
      <c r="V87" s="172"/>
      <c r="W87" s="172"/>
      <c r="X87" s="172"/>
      <c r="Y87" s="95" t="str">
        <f t="shared" si="13"/>
        <v/>
      </c>
      <c r="Z87" s="172"/>
      <c r="AA87" s="95" t="str">
        <f t="shared" si="14"/>
        <v/>
      </c>
      <c r="AB87" s="150"/>
      <c r="AC87" s="95" t="str">
        <f t="shared" si="15"/>
        <v/>
      </c>
      <c r="AD87" s="150"/>
      <c r="AE87" s="95" t="str">
        <f t="shared" si="16"/>
        <v/>
      </c>
      <c r="AF87" s="150"/>
      <c r="AG87" s="95" t="str">
        <f t="shared" si="17"/>
        <v/>
      </c>
      <c r="AH87" s="150"/>
      <c r="AI87" s="95" t="str">
        <f t="shared" si="18"/>
        <v/>
      </c>
      <c r="AJ87" s="150"/>
      <c r="AK87" s="27" t="str">
        <f t="shared" si="19"/>
        <v/>
      </c>
      <c r="AL87" s="48" t="str">
        <f t="shared" si="20"/>
        <v/>
      </c>
      <c r="AM87" s="48" t="str">
        <f t="shared" si="21"/>
        <v/>
      </c>
      <c r="AN87" s="196"/>
      <c r="AO87" s="196"/>
      <c r="AP87" s="196"/>
      <c r="AQ87" s="196"/>
      <c r="AR87" s="196"/>
      <c r="AS87" s="196"/>
      <c r="AT87" s="196"/>
      <c r="AU87" s="197" t="str">
        <f>IFERROR(VLOOKUP(AT87,'Seguridad Información'!$I$61:$J$65,2,0),"")</f>
        <v/>
      </c>
      <c r="AV87" s="79"/>
      <c r="AW87" s="78" t="str">
        <f t="shared" si="12"/>
        <v/>
      </c>
      <c r="AX87" s="77" t="str">
        <f t="shared" si="22"/>
        <v/>
      </c>
      <c r="AY87" s="21" t="str">
        <f>IFERROR(VLOOKUP((CONCATENATE(AM87,AX87)),Listados!$U$3:$V$11,2,FALSE),"")</f>
        <v/>
      </c>
      <c r="AZ87" s="48">
        <f t="shared" si="23"/>
        <v>100</v>
      </c>
      <c r="BA87" s="431"/>
      <c r="BB87" s="433"/>
      <c r="BC87" s="169">
        <f>+IF(AND(W87="Preventivo",BB85="Fuerte"),2,IF(AND(W87="Preventivo",BB85="Moderado"),1,0))</f>
        <v>0</v>
      </c>
      <c r="BD87" s="64">
        <f>+IF(AND(W87="Detectivo/Correctivo",$BB85="Fuerte"),2,IF(AND(W87="Detectivo/Correctivo",$BB87="Moderado"),1,IF(AND(W87="Preventivo",$BB85="Fuerte"),1,0)))</f>
        <v>0</v>
      </c>
      <c r="BE87" s="169" t="e">
        <f>+N85-BC87</f>
        <v>#N/A</v>
      </c>
      <c r="BF87" s="169" t="e">
        <f>+P85-BD87</f>
        <v>#N/A</v>
      </c>
      <c r="BG87" s="422"/>
      <c r="BH87" s="422"/>
      <c r="BI87" s="422"/>
      <c r="BJ87" s="645"/>
      <c r="BK87" s="645"/>
      <c r="BL87" s="645"/>
      <c r="BM87" s="645"/>
    </row>
    <row r="88" spans="1:65" ht="65.099999999999994" customHeight="1" thickBot="1">
      <c r="A88" s="405"/>
      <c r="B88" s="625"/>
      <c r="C88" s="440"/>
      <c r="D88" s="152"/>
      <c r="E88" s="152"/>
      <c r="F88" s="475"/>
      <c r="G88" s="443"/>
      <c r="H88" s="100"/>
      <c r="I88" s="128"/>
      <c r="J88" s="100"/>
      <c r="K88" s="147"/>
      <c r="L88" s="129"/>
      <c r="M88" s="446"/>
      <c r="N88" s="425"/>
      <c r="O88" s="428"/>
      <c r="P88" s="425"/>
      <c r="Q88" s="429"/>
      <c r="R88" s="422"/>
      <c r="S88" s="150"/>
      <c r="T88" s="97"/>
      <c r="U88" s="47" t="s">
        <v>627</v>
      </c>
      <c r="V88" s="172"/>
      <c r="W88" s="172"/>
      <c r="X88" s="172"/>
      <c r="Y88" s="95" t="str">
        <f t="shared" si="13"/>
        <v/>
      </c>
      <c r="Z88" s="172"/>
      <c r="AA88" s="95" t="str">
        <f t="shared" si="14"/>
        <v/>
      </c>
      <c r="AB88" s="150"/>
      <c r="AC88" s="95" t="str">
        <f t="shared" si="15"/>
        <v/>
      </c>
      <c r="AD88" s="150"/>
      <c r="AE88" s="95" t="str">
        <f t="shared" si="16"/>
        <v/>
      </c>
      <c r="AF88" s="150"/>
      <c r="AG88" s="95" t="str">
        <f t="shared" si="17"/>
        <v/>
      </c>
      <c r="AH88" s="150"/>
      <c r="AI88" s="95" t="str">
        <f t="shared" si="18"/>
        <v/>
      </c>
      <c r="AJ88" s="150"/>
      <c r="AK88" s="27" t="str">
        <f t="shared" si="19"/>
        <v/>
      </c>
      <c r="AL88" s="48" t="str">
        <f t="shared" si="20"/>
        <v/>
      </c>
      <c r="AM88" s="48" t="str">
        <f t="shared" si="21"/>
        <v/>
      </c>
      <c r="AN88" s="196"/>
      <c r="AO88" s="196"/>
      <c r="AP88" s="196"/>
      <c r="AQ88" s="196"/>
      <c r="AR88" s="196"/>
      <c r="AS88" s="196"/>
      <c r="AT88" s="196"/>
      <c r="AU88" s="197" t="str">
        <f>IFERROR(VLOOKUP(AT88,'Seguridad Información'!$I$61:$J$65,2,0),"")</f>
        <v/>
      </c>
      <c r="AV88" s="79"/>
      <c r="AW88" s="78" t="str">
        <f t="shared" si="12"/>
        <v/>
      </c>
      <c r="AX88" s="77" t="str">
        <f t="shared" si="22"/>
        <v/>
      </c>
      <c r="AY88" s="21" t="str">
        <f>IFERROR(VLOOKUP((CONCATENATE(AM88,AX88)),Listados!$U$3:$V$11,2,FALSE),"")</f>
        <v/>
      </c>
      <c r="AZ88" s="48">
        <f t="shared" si="23"/>
        <v>100</v>
      </c>
      <c r="BA88" s="431"/>
      <c r="BB88" s="433"/>
      <c r="BC88" s="169">
        <f>+IF(AND(W88="Preventivo",BB85="Fuerte"),2,IF(AND(W88="Preventivo",BB85="Moderado"),1,0))</f>
        <v>0</v>
      </c>
      <c r="BD88" s="64">
        <f>+IF(AND(W88="Detectivo/Correctivo",$BB85="Fuerte"),2,IF(AND(W88="Detectivo/Correctivo",$BB88="Moderado"),1,IF(AND(W88="Preventivo",$BB85="Fuerte"),1,0)))</f>
        <v>0</v>
      </c>
      <c r="BE88" s="169" t="e">
        <f>+N85-BC88</f>
        <v>#N/A</v>
      </c>
      <c r="BF88" s="169" t="e">
        <f>+P85-BD88</f>
        <v>#N/A</v>
      </c>
      <c r="BG88" s="422"/>
      <c r="BH88" s="422"/>
      <c r="BI88" s="422"/>
      <c r="BJ88" s="645"/>
      <c r="BK88" s="645"/>
      <c r="BL88" s="645"/>
      <c r="BM88" s="645"/>
    </row>
    <row r="89" spans="1:65" ht="65.099999999999994" customHeight="1" thickBot="1">
      <c r="A89" s="405"/>
      <c r="B89" s="625"/>
      <c r="C89" s="440"/>
      <c r="D89" s="109"/>
      <c r="E89" s="109"/>
      <c r="F89" s="475"/>
      <c r="G89" s="443"/>
      <c r="H89" s="100"/>
      <c r="I89" s="128"/>
      <c r="J89" s="100"/>
      <c r="K89" s="29"/>
      <c r="L89" s="129"/>
      <c r="M89" s="446"/>
      <c r="N89" s="425"/>
      <c r="O89" s="428"/>
      <c r="P89" s="425"/>
      <c r="Q89" s="429"/>
      <c r="R89" s="422"/>
      <c r="S89" s="150"/>
      <c r="T89" s="198"/>
      <c r="U89" s="47" t="s">
        <v>627</v>
      </c>
      <c r="V89" s="172"/>
      <c r="W89" s="172"/>
      <c r="X89" s="172"/>
      <c r="Y89" s="95" t="str">
        <f t="shared" si="13"/>
        <v/>
      </c>
      <c r="Z89" s="172"/>
      <c r="AA89" s="95" t="str">
        <f t="shared" si="14"/>
        <v/>
      </c>
      <c r="AB89" s="150"/>
      <c r="AC89" s="95" t="str">
        <f t="shared" si="15"/>
        <v/>
      </c>
      <c r="AD89" s="150"/>
      <c r="AE89" s="95" t="str">
        <f t="shared" si="16"/>
        <v/>
      </c>
      <c r="AF89" s="150"/>
      <c r="AG89" s="95" t="str">
        <f t="shared" si="17"/>
        <v/>
      </c>
      <c r="AH89" s="150"/>
      <c r="AI89" s="95" t="str">
        <f t="shared" si="18"/>
        <v/>
      </c>
      <c r="AJ89" s="150"/>
      <c r="AK89" s="27" t="str">
        <f t="shared" si="19"/>
        <v/>
      </c>
      <c r="AL89" s="48" t="str">
        <f t="shared" si="20"/>
        <v/>
      </c>
      <c r="AM89" s="48" t="str">
        <f t="shared" si="21"/>
        <v/>
      </c>
      <c r="AN89" s="196"/>
      <c r="AO89" s="196"/>
      <c r="AP89" s="196"/>
      <c r="AQ89" s="196"/>
      <c r="AR89" s="196"/>
      <c r="AS89" s="196"/>
      <c r="AT89" s="196"/>
      <c r="AU89" s="197" t="str">
        <f>IFERROR(VLOOKUP(AT89,'Seguridad Información'!$I$61:$J$65,2,0),"")</f>
        <v/>
      </c>
      <c r="AV89" s="79"/>
      <c r="AW89" s="78" t="str">
        <f t="shared" si="12"/>
        <v/>
      </c>
      <c r="AX89" s="77" t="str">
        <f t="shared" si="22"/>
        <v/>
      </c>
      <c r="AY89" s="21" t="str">
        <f>IFERROR(VLOOKUP((CONCATENATE(AM89,AX89)),Listados!$U$3:$V$11,2,FALSE),"")</f>
        <v/>
      </c>
      <c r="AZ89" s="48">
        <f t="shared" si="23"/>
        <v>100</v>
      </c>
      <c r="BA89" s="431"/>
      <c r="BB89" s="433"/>
      <c r="BC89" s="169">
        <f>+IF(AND(W89="Preventivo",BB85="Fuerte"),2,IF(AND(W89="Preventivo",BB85="Moderado"),1,0))</f>
        <v>0</v>
      </c>
      <c r="BD89" s="64">
        <f>+IF(AND(W89="Detectivo/Correctivo",$BB85="Fuerte"),2,IF(AND(W89="Detectivo/Correctivo",$BB89="Moderado"),1,IF(AND(W89="Preventivo",$BB85="Fuerte"),1,0)))</f>
        <v>0</v>
      </c>
      <c r="BE89" s="169" t="e">
        <f>+N85-BC89</f>
        <v>#N/A</v>
      </c>
      <c r="BF89" s="169" t="e">
        <f>+P85-BD89</f>
        <v>#N/A</v>
      </c>
      <c r="BG89" s="422"/>
      <c r="BH89" s="422"/>
      <c r="BI89" s="422"/>
      <c r="BJ89" s="645"/>
      <c r="BK89" s="645"/>
      <c r="BL89" s="645"/>
      <c r="BM89" s="645"/>
    </row>
    <row r="90" spans="1:65" ht="65.099999999999994" customHeight="1" thickBot="1">
      <c r="A90" s="406"/>
      <c r="B90" s="625"/>
      <c r="C90" s="441"/>
      <c r="D90" s="106"/>
      <c r="E90" s="106"/>
      <c r="F90" s="619"/>
      <c r="G90" s="444"/>
      <c r="H90" s="100"/>
      <c r="I90" s="128"/>
      <c r="J90" s="100"/>
      <c r="K90" s="31"/>
      <c r="L90" s="129"/>
      <c r="M90" s="446"/>
      <c r="N90" s="426"/>
      <c r="O90" s="428"/>
      <c r="P90" s="426"/>
      <c r="Q90" s="429"/>
      <c r="R90" s="423"/>
      <c r="S90" s="150"/>
      <c r="T90" s="98"/>
      <c r="U90" s="47" t="s">
        <v>627</v>
      </c>
      <c r="V90" s="172"/>
      <c r="W90" s="172"/>
      <c r="X90" s="172"/>
      <c r="Y90" s="95" t="str">
        <f t="shared" si="13"/>
        <v/>
      </c>
      <c r="Z90" s="172"/>
      <c r="AA90" s="95" t="str">
        <f t="shared" si="14"/>
        <v/>
      </c>
      <c r="AB90" s="150"/>
      <c r="AC90" s="95" t="str">
        <f t="shared" si="15"/>
        <v/>
      </c>
      <c r="AD90" s="150"/>
      <c r="AE90" s="95" t="str">
        <f t="shared" si="16"/>
        <v/>
      </c>
      <c r="AF90" s="150"/>
      <c r="AG90" s="95" t="str">
        <f t="shared" si="17"/>
        <v/>
      </c>
      <c r="AH90" s="150"/>
      <c r="AI90" s="95" t="str">
        <f t="shared" si="18"/>
        <v/>
      </c>
      <c r="AJ90" s="150"/>
      <c r="AK90" s="27" t="str">
        <f t="shared" si="19"/>
        <v/>
      </c>
      <c r="AL90" s="48" t="str">
        <f t="shared" si="20"/>
        <v/>
      </c>
      <c r="AM90" s="48" t="str">
        <f t="shared" si="21"/>
        <v/>
      </c>
      <c r="AN90" s="196"/>
      <c r="AO90" s="196"/>
      <c r="AP90" s="196"/>
      <c r="AQ90" s="196"/>
      <c r="AR90" s="196"/>
      <c r="AS90" s="196"/>
      <c r="AT90" s="196"/>
      <c r="AU90" s="197" t="str">
        <f>IFERROR(VLOOKUP(AT90,'Seguridad Información'!$I$61:$J$65,2,0),"")</f>
        <v/>
      </c>
      <c r="AV90" s="79"/>
      <c r="AW90" s="78" t="str">
        <f t="shared" si="12"/>
        <v/>
      </c>
      <c r="AX90" s="77" t="str">
        <f t="shared" si="22"/>
        <v/>
      </c>
      <c r="AY90" s="21" t="str">
        <f>IFERROR(VLOOKUP((CONCATENATE(AM90,AX90)),Listados!$U$3:$V$11,2,FALSE),"")</f>
        <v/>
      </c>
      <c r="AZ90" s="48">
        <f t="shared" si="23"/>
        <v>100</v>
      </c>
      <c r="BA90" s="432"/>
      <c r="BB90" s="433"/>
      <c r="BC90" s="169">
        <f>+IF(AND(W90="Preventivo",BB85="Fuerte"),2,IF(AND(W90="Preventivo",BB85="Moderado"),1,0))</f>
        <v>0</v>
      </c>
      <c r="BD90" s="64">
        <f>+IF(AND(W90="Detectivo/Correctivo",$BB85="Fuerte"),2,IF(AND(W90="Detectivo/Correctivo",$BB90="Moderado"),1,IF(AND(W90="Preventivo",$BB85="Fuerte"),1,0)))</f>
        <v>0</v>
      </c>
      <c r="BE90" s="169" t="e">
        <f>+N85-BC90</f>
        <v>#N/A</v>
      </c>
      <c r="BF90" s="169" t="e">
        <f>+P85-BD90</f>
        <v>#N/A</v>
      </c>
      <c r="BG90" s="423"/>
      <c r="BH90" s="423"/>
      <c r="BI90" s="423"/>
      <c r="BJ90" s="646"/>
      <c r="BK90" s="646"/>
      <c r="BL90" s="646"/>
      <c r="BM90" s="646"/>
    </row>
    <row r="91" spans="1:65" ht="65.099999999999994" customHeight="1" thickBot="1">
      <c r="A91" s="404">
        <v>15</v>
      </c>
      <c r="B91" s="628"/>
      <c r="C91" s="447" t="str">
        <f>IFERROR(VLOOKUP(B91,Listados!B$3:C$20,2,FALSE),"")</f>
        <v/>
      </c>
      <c r="D91" s="107"/>
      <c r="E91" s="107"/>
      <c r="F91" s="618"/>
      <c r="G91" s="448"/>
      <c r="H91" s="100"/>
      <c r="I91" s="128"/>
      <c r="J91" s="100"/>
      <c r="K91" s="103"/>
      <c r="L91" s="17"/>
      <c r="M91" s="445"/>
      <c r="N91" s="424" t="e">
        <f>+VLOOKUP(M91,Listados!$K$8:$L$12,2,0)</f>
        <v>#N/A</v>
      </c>
      <c r="O91" s="427"/>
      <c r="P91" s="424" t="e">
        <f>+VLOOKUP(O91,Listados!$K$13:$L$17,2,0)</f>
        <v>#N/A</v>
      </c>
      <c r="Q91" s="423" t="str">
        <f>IF(AND(M91&lt;&gt;"",O91&lt;&gt;""),VLOOKUP(M91&amp;O91,Listados!$M$3:$N$27,2,FALSE),"")</f>
        <v/>
      </c>
      <c r="R91" s="421" t="e">
        <f>+VLOOKUP(Q91,Listados!$P$3:$Q$6,2,FALSE)</f>
        <v>#N/A</v>
      </c>
      <c r="S91" s="150"/>
      <c r="T91" s="94"/>
      <c r="U91" s="47" t="s">
        <v>627</v>
      </c>
      <c r="V91" s="172"/>
      <c r="W91" s="172"/>
      <c r="X91" s="172"/>
      <c r="Y91" s="95" t="str">
        <f t="shared" si="13"/>
        <v/>
      </c>
      <c r="Z91" s="172"/>
      <c r="AA91" s="95" t="str">
        <f t="shared" si="14"/>
        <v/>
      </c>
      <c r="AB91" s="150"/>
      <c r="AC91" s="95" t="str">
        <f t="shared" si="15"/>
        <v/>
      </c>
      <c r="AD91" s="150"/>
      <c r="AE91" s="95" t="str">
        <f t="shared" si="16"/>
        <v/>
      </c>
      <c r="AF91" s="150"/>
      <c r="AG91" s="95" t="str">
        <f t="shared" si="17"/>
        <v/>
      </c>
      <c r="AH91" s="150"/>
      <c r="AI91" s="95" t="str">
        <f t="shared" si="18"/>
        <v/>
      </c>
      <c r="AJ91" s="150"/>
      <c r="AK91" s="27" t="str">
        <f t="shared" si="19"/>
        <v/>
      </c>
      <c r="AL91" s="48" t="str">
        <f t="shared" si="20"/>
        <v/>
      </c>
      <c r="AM91" s="48" t="str">
        <f t="shared" si="21"/>
        <v/>
      </c>
      <c r="AN91" s="196"/>
      <c r="AO91" s="196"/>
      <c r="AP91" s="196"/>
      <c r="AQ91" s="196"/>
      <c r="AR91" s="196"/>
      <c r="AS91" s="196"/>
      <c r="AT91" s="196"/>
      <c r="AU91" s="197" t="str">
        <f>IFERROR(VLOOKUP(AT91,'Seguridad Información'!$I$61:$J$65,2,0),"")</f>
        <v/>
      </c>
      <c r="AV91" s="79"/>
      <c r="AW91" s="78" t="str">
        <f t="shared" si="12"/>
        <v/>
      </c>
      <c r="AX91" s="77" t="str">
        <f t="shared" si="22"/>
        <v/>
      </c>
      <c r="AY91" s="21" t="str">
        <f>IFERROR(VLOOKUP((CONCATENATE(AM91,AX91)),Listados!$U$3:$V$11,2,FALSE),"")</f>
        <v/>
      </c>
      <c r="AZ91" s="48">
        <f t="shared" si="23"/>
        <v>100</v>
      </c>
      <c r="BA91" s="430">
        <f>AVERAGE(AZ91:AZ96)</f>
        <v>100</v>
      </c>
      <c r="BB91" s="432" t="str">
        <f>IF(BA91&lt;=50, "Débil", IF(BA91&lt;=99,"Moderado","Fuerte"))</f>
        <v>Fuerte</v>
      </c>
      <c r="BC91" s="169">
        <f>+IF(AND(W91="Preventivo",BB91="Fuerte"),2,IF(AND(W91="Preventivo",BB91="Moderado"),1,0))</f>
        <v>0</v>
      </c>
      <c r="BD91" s="64">
        <f>+IF(AND(W91="Detectivo/Correctivo",$BB91="Fuerte"),2,IF(AND(W91="Detectivo/Correctivo",$BB91="Moderado"),1,IF(AND(W91="Preventivo",$BB91="Fuerte"),1,0)))</f>
        <v>0</v>
      </c>
      <c r="BE91" s="169" t="e">
        <f>+N91-BC91</f>
        <v>#N/A</v>
      </c>
      <c r="BF91" s="169" t="e">
        <f>+P91-BD91</f>
        <v>#N/A</v>
      </c>
      <c r="BG91" s="421" t="e">
        <f>+VLOOKUP(MIN(BE91,BE92,BE93,BE94,BE95,BE96),Listados!$J$18:$K$24,2,TRUE)</f>
        <v>#N/A</v>
      </c>
      <c r="BH91" s="421" t="e">
        <f>+VLOOKUP(MIN(BF91,BF92,BF93,BF94,BF95,BF96),Listados!$J$27:$K$32,2,TRUE)</f>
        <v>#N/A</v>
      </c>
      <c r="BI91" s="421" t="e">
        <f>IF(AND(BG91&lt;&gt;"",BH91&lt;&gt;""),VLOOKUP(BG91&amp;BH91,Listados!$M$3:$N$27,2,FALSE),"")</f>
        <v>#N/A</v>
      </c>
      <c r="BJ91" s="644" t="e">
        <f>+IF($R91="Asumir el riesgo","NA","")</f>
        <v>#N/A</v>
      </c>
      <c r="BK91" s="644" t="e">
        <f>+IF($R91="Asumir el riesgo","NA","")</f>
        <v>#N/A</v>
      </c>
      <c r="BL91" s="644" t="e">
        <f>+IF($R91="Asumir el riesgo","NA","")</f>
        <v>#N/A</v>
      </c>
      <c r="BM91" s="644" t="e">
        <f>+IF($R91="Asumir el riesgo","NA","")</f>
        <v>#N/A</v>
      </c>
    </row>
    <row r="92" spans="1:65" ht="65.099999999999994" customHeight="1" thickBot="1">
      <c r="A92" s="405"/>
      <c r="B92" s="625"/>
      <c r="C92" s="440"/>
      <c r="D92" s="152"/>
      <c r="E92" s="152"/>
      <c r="F92" s="475"/>
      <c r="G92" s="443"/>
      <c r="H92" s="100"/>
      <c r="I92" s="128"/>
      <c r="J92" s="100"/>
      <c r="K92" s="147"/>
      <c r="L92" s="129"/>
      <c r="M92" s="446"/>
      <c r="N92" s="425"/>
      <c r="O92" s="428"/>
      <c r="P92" s="425"/>
      <c r="Q92" s="429"/>
      <c r="R92" s="422"/>
      <c r="S92" s="150"/>
      <c r="T92" s="198"/>
      <c r="U92" s="47" t="s">
        <v>627</v>
      </c>
      <c r="V92" s="172"/>
      <c r="W92" s="172"/>
      <c r="X92" s="172"/>
      <c r="Y92" s="95" t="str">
        <f t="shared" si="13"/>
        <v/>
      </c>
      <c r="Z92" s="172"/>
      <c r="AA92" s="95" t="str">
        <f t="shared" si="14"/>
        <v/>
      </c>
      <c r="AB92" s="150"/>
      <c r="AC92" s="95" t="str">
        <f t="shared" si="15"/>
        <v/>
      </c>
      <c r="AD92" s="150"/>
      <c r="AE92" s="95" t="str">
        <f t="shared" si="16"/>
        <v/>
      </c>
      <c r="AF92" s="150"/>
      <c r="AG92" s="95" t="str">
        <f t="shared" si="17"/>
        <v/>
      </c>
      <c r="AH92" s="150"/>
      <c r="AI92" s="95" t="str">
        <f t="shared" si="18"/>
        <v/>
      </c>
      <c r="AJ92" s="150"/>
      <c r="AK92" s="27" t="str">
        <f t="shared" si="19"/>
        <v/>
      </c>
      <c r="AL92" s="48" t="str">
        <f t="shared" si="20"/>
        <v/>
      </c>
      <c r="AM92" s="48" t="str">
        <f t="shared" si="21"/>
        <v/>
      </c>
      <c r="AN92" s="196"/>
      <c r="AO92" s="196"/>
      <c r="AP92" s="196"/>
      <c r="AQ92" s="196"/>
      <c r="AR92" s="196"/>
      <c r="AS92" s="196"/>
      <c r="AT92" s="196"/>
      <c r="AU92" s="197" t="str">
        <f>IFERROR(VLOOKUP(AT92,'Seguridad Información'!$I$61:$J$65,2,0),"")</f>
        <v/>
      </c>
      <c r="AV92" s="79"/>
      <c r="AW92" s="78" t="str">
        <f t="shared" si="12"/>
        <v/>
      </c>
      <c r="AX92" s="77" t="str">
        <f t="shared" si="22"/>
        <v/>
      </c>
      <c r="AY92" s="21" t="str">
        <f>IFERROR(VLOOKUP((CONCATENATE(AM92,AX92)),Listados!$U$3:$V$11,2,FALSE),"")</f>
        <v/>
      </c>
      <c r="AZ92" s="48">
        <f t="shared" si="23"/>
        <v>100</v>
      </c>
      <c r="BA92" s="431"/>
      <c r="BB92" s="433"/>
      <c r="BC92" s="169">
        <f>+IF(AND(W92="Preventivo",BB91="Fuerte"),2,IF(AND(W92="Preventivo",BB91="Moderado"),1,0))</f>
        <v>0</v>
      </c>
      <c r="BD92" s="64">
        <f>+IF(AND(W92="Detectivo/Correctivo",$BB91="Fuerte"),2,IF(AND(W92="Detectivo/Correctivo",$BB92="Moderado"),1,IF(AND(W92="Preventivo",$BB91="Fuerte"),1,0)))</f>
        <v>0</v>
      </c>
      <c r="BE92" s="169" t="e">
        <f>+N91-BC92</f>
        <v>#N/A</v>
      </c>
      <c r="BF92" s="169" t="e">
        <f>+P91-BD92</f>
        <v>#N/A</v>
      </c>
      <c r="BG92" s="422"/>
      <c r="BH92" s="422"/>
      <c r="BI92" s="422"/>
      <c r="BJ92" s="645"/>
      <c r="BK92" s="645"/>
      <c r="BL92" s="645"/>
      <c r="BM92" s="645"/>
    </row>
    <row r="93" spans="1:65" ht="65.099999999999994" customHeight="1" thickBot="1">
      <c r="A93" s="405"/>
      <c r="B93" s="625"/>
      <c r="C93" s="440"/>
      <c r="D93" s="152"/>
      <c r="E93" s="152"/>
      <c r="F93" s="475"/>
      <c r="G93" s="443"/>
      <c r="H93" s="100"/>
      <c r="I93" s="128"/>
      <c r="J93" s="100"/>
      <c r="K93" s="147"/>
      <c r="L93" s="129"/>
      <c r="M93" s="446"/>
      <c r="N93" s="425"/>
      <c r="O93" s="428"/>
      <c r="P93" s="425"/>
      <c r="Q93" s="429"/>
      <c r="R93" s="422"/>
      <c r="S93" s="150"/>
      <c r="T93" s="96"/>
      <c r="U93" s="47" t="s">
        <v>627</v>
      </c>
      <c r="V93" s="172"/>
      <c r="W93" s="172"/>
      <c r="X93" s="172"/>
      <c r="Y93" s="95" t="str">
        <f t="shared" si="13"/>
        <v/>
      </c>
      <c r="Z93" s="172"/>
      <c r="AA93" s="95" t="str">
        <f t="shared" si="14"/>
        <v/>
      </c>
      <c r="AB93" s="150"/>
      <c r="AC93" s="95" t="str">
        <f t="shared" si="15"/>
        <v/>
      </c>
      <c r="AD93" s="150"/>
      <c r="AE93" s="95" t="str">
        <f t="shared" si="16"/>
        <v/>
      </c>
      <c r="AF93" s="150"/>
      <c r="AG93" s="95" t="str">
        <f t="shared" si="17"/>
        <v/>
      </c>
      <c r="AH93" s="150"/>
      <c r="AI93" s="95" t="str">
        <f t="shared" si="18"/>
        <v/>
      </c>
      <c r="AJ93" s="150"/>
      <c r="AK93" s="27" t="str">
        <f t="shared" si="19"/>
        <v/>
      </c>
      <c r="AL93" s="48" t="str">
        <f t="shared" si="20"/>
        <v/>
      </c>
      <c r="AM93" s="48" t="str">
        <f t="shared" si="21"/>
        <v/>
      </c>
      <c r="AN93" s="196"/>
      <c r="AO93" s="196"/>
      <c r="AP93" s="196"/>
      <c r="AQ93" s="196"/>
      <c r="AR93" s="196"/>
      <c r="AS93" s="196"/>
      <c r="AT93" s="196"/>
      <c r="AU93" s="197" t="str">
        <f>IFERROR(VLOOKUP(AT93,'Seguridad Información'!$I$61:$J$65,2,0),"")</f>
        <v/>
      </c>
      <c r="AV93" s="79"/>
      <c r="AW93" s="78" t="str">
        <f t="shared" si="12"/>
        <v/>
      </c>
      <c r="AX93" s="77" t="str">
        <f t="shared" si="22"/>
        <v/>
      </c>
      <c r="AY93" s="21" t="str">
        <f>IFERROR(VLOOKUP((CONCATENATE(AM93,AX93)),Listados!$U$3:$V$11,2,FALSE),"")</f>
        <v/>
      </c>
      <c r="AZ93" s="48">
        <f t="shared" si="23"/>
        <v>100</v>
      </c>
      <c r="BA93" s="431"/>
      <c r="BB93" s="433"/>
      <c r="BC93" s="169">
        <f>+IF(AND(W93="Preventivo",BB91="Fuerte"),2,IF(AND(W93="Preventivo",BB91="Moderado"),1,0))</f>
        <v>0</v>
      </c>
      <c r="BD93" s="64">
        <f>+IF(AND(W93="Detectivo/Correctivo",$BB91="Fuerte"),2,IF(AND(W93="Detectivo/Correctivo",$BB93="Moderado"),1,IF(AND(W93="Preventivo",$BB91="Fuerte"),1,0)))</f>
        <v>0</v>
      </c>
      <c r="BE93" s="169" t="e">
        <f>+N91-BC93</f>
        <v>#N/A</v>
      </c>
      <c r="BF93" s="169" t="e">
        <f>+P91-BD93</f>
        <v>#N/A</v>
      </c>
      <c r="BG93" s="422"/>
      <c r="BH93" s="422"/>
      <c r="BI93" s="422"/>
      <c r="BJ93" s="645"/>
      <c r="BK93" s="645"/>
      <c r="BL93" s="645"/>
      <c r="BM93" s="645"/>
    </row>
    <row r="94" spans="1:65" ht="65.099999999999994" customHeight="1" thickBot="1">
      <c r="A94" s="405"/>
      <c r="B94" s="625"/>
      <c r="C94" s="440"/>
      <c r="D94" s="152"/>
      <c r="E94" s="152"/>
      <c r="F94" s="475"/>
      <c r="G94" s="443"/>
      <c r="H94" s="100"/>
      <c r="I94" s="128"/>
      <c r="J94" s="100"/>
      <c r="K94" s="147"/>
      <c r="L94" s="129"/>
      <c r="M94" s="446"/>
      <c r="N94" s="425"/>
      <c r="O94" s="428"/>
      <c r="P94" s="425"/>
      <c r="Q94" s="429"/>
      <c r="R94" s="422"/>
      <c r="S94" s="150"/>
      <c r="T94" s="97"/>
      <c r="U94" s="47" t="s">
        <v>627</v>
      </c>
      <c r="V94" s="172"/>
      <c r="W94" s="172"/>
      <c r="X94" s="172"/>
      <c r="Y94" s="95" t="str">
        <f t="shared" si="13"/>
        <v/>
      </c>
      <c r="Z94" s="172"/>
      <c r="AA94" s="95" t="str">
        <f t="shared" si="14"/>
        <v/>
      </c>
      <c r="AB94" s="150"/>
      <c r="AC94" s="95" t="str">
        <f t="shared" si="15"/>
        <v/>
      </c>
      <c r="AD94" s="150"/>
      <c r="AE94" s="95" t="str">
        <f t="shared" si="16"/>
        <v/>
      </c>
      <c r="AF94" s="150"/>
      <c r="AG94" s="95" t="str">
        <f t="shared" si="17"/>
        <v/>
      </c>
      <c r="AH94" s="150"/>
      <c r="AI94" s="95" t="str">
        <f t="shared" si="18"/>
        <v/>
      </c>
      <c r="AJ94" s="150"/>
      <c r="AK94" s="27" t="str">
        <f t="shared" si="19"/>
        <v/>
      </c>
      <c r="AL94" s="48" t="str">
        <f t="shared" si="20"/>
        <v/>
      </c>
      <c r="AM94" s="48" t="str">
        <f t="shared" si="21"/>
        <v/>
      </c>
      <c r="AN94" s="196"/>
      <c r="AO94" s="196"/>
      <c r="AP94" s="196"/>
      <c r="AQ94" s="196"/>
      <c r="AR94" s="196"/>
      <c r="AS94" s="196"/>
      <c r="AT94" s="196"/>
      <c r="AU94" s="197" t="str">
        <f>IFERROR(VLOOKUP(AT94,'Seguridad Información'!$I$61:$J$65,2,0),"")</f>
        <v/>
      </c>
      <c r="AV94" s="79"/>
      <c r="AW94" s="78" t="str">
        <f t="shared" si="12"/>
        <v/>
      </c>
      <c r="AX94" s="77" t="str">
        <f t="shared" si="22"/>
        <v/>
      </c>
      <c r="AY94" s="21" t="str">
        <f>IFERROR(VLOOKUP((CONCATENATE(AM94,AX94)),Listados!$U$3:$V$11,2,FALSE),"")</f>
        <v/>
      </c>
      <c r="AZ94" s="48">
        <f t="shared" si="23"/>
        <v>100</v>
      </c>
      <c r="BA94" s="431"/>
      <c r="BB94" s="433"/>
      <c r="BC94" s="169">
        <f>+IF(AND(W94="Preventivo",BB91="Fuerte"),2,IF(AND(W94="Preventivo",BB91="Moderado"),1,0))</f>
        <v>0</v>
      </c>
      <c r="BD94" s="64">
        <f>+IF(AND(W94="Detectivo/Correctivo",$BB91="Fuerte"),2,IF(AND(W94="Detectivo/Correctivo",$BB94="Moderado"),1,IF(AND(W94="Preventivo",$BB91="Fuerte"),1,0)))</f>
        <v>0</v>
      </c>
      <c r="BE94" s="169" t="e">
        <f>+N91-BC94</f>
        <v>#N/A</v>
      </c>
      <c r="BF94" s="169" t="e">
        <f>+P91-BD94</f>
        <v>#N/A</v>
      </c>
      <c r="BG94" s="422"/>
      <c r="BH94" s="422"/>
      <c r="BI94" s="422"/>
      <c r="BJ94" s="645"/>
      <c r="BK94" s="645"/>
      <c r="BL94" s="645"/>
      <c r="BM94" s="645"/>
    </row>
    <row r="95" spans="1:65" ht="65.099999999999994" customHeight="1" thickBot="1">
      <c r="A95" s="405"/>
      <c r="B95" s="625"/>
      <c r="C95" s="440"/>
      <c r="D95" s="109"/>
      <c r="E95" s="109"/>
      <c r="F95" s="475"/>
      <c r="G95" s="443"/>
      <c r="H95" s="100"/>
      <c r="I95" s="128"/>
      <c r="J95" s="100"/>
      <c r="K95" s="29"/>
      <c r="L95" s="129"/>
      <c r="M95" s="446"/>
      <c r="N95" s="425"/>
      <c r="O95" s="428"/>
      <c r="P95" s="425"/>
      <c r="Q95" s="429"/>
      <c r="R95" s="422"/>
      <c r="S95" s="150"/>
      <c r="T95" s="198"/>
      <c r="U95" s="47" t="s">
        <v>627</v>
      </c>
      <c r="V95" s="172"/>
      <c r="W95" s="172"/>
      <c r="X95" s="172"/>
      <c r="Y95" s="95" t="str">
        <f t="shared" si="13"/>
        <v/>
      </c>
      <c r="Z95" s="172"/>
      <c r="AA95" s="95" t="str">
        <f t="shared" si="14"/>
        <v/>
      </c>
      <c r="AB95" s="150"/>
      <c r="AC95" s="95" t="str">
        <f t="shared" si="15"/>
        <v/>
      </c>
      <c r="AD95" s="150"/>
      <c r="AE95" s="95" t="str">
        <f t="shared" si="16"/>
        <v/>
      </c>
      <c r="AF95" s="150"/>
      <c r="AG95" s="95" t="str">
        <f t="shared" si="17"/>
        <v/>
      </c>
      <c r="AH95" s="150"/>
      <c r="AI95" s="95" t="str">
        <f t="shared" si="18"/>
        <v/>
      </c>
      <c r="AJ95" s="150"/>
      <c r="AK95" s="27" t="str">
        <f t="shared" si="19"/>
        <v/>
      </c>
      <c r="AL95" s="48" t="str">
        <f t="shared" si="20"/>
        <v/>
      </c>
      <c r="AM95" s="48" t="str">
        <f t="shared" si="21"/>
        <v/>
      </c>
      <c r="AN95" s="196"/>
      <c r="AO95" s="196"/>
      <c r="AP95" s="196"/>
      <c r="AQ95" s="196"/>
      <c r="AR95" s="196"/>
      <c r="AS95" s="196"/>
      <c r="AT95" s="196"/>
      <c r="AU95" s="197" t="str">
        <f>IFERROR(VLOOKUP(AT95,'Seguridad Información'!$I$61:$J$65,2,0),"")</f>
        <v/>
      </c>
      <c r="AV95" s="79"/>
      <c r="AW95" s="78" t="str">
        <f t="shared" si="12"/>
        <v/>
      </c>
      <c r="AX95" s="77" t="str">
        <f t="shared" si="22"/>
        <v/>
      </c>
      <c r="AY95" s="21" t="str">
        <f>IFERROR(VLOOKUP((CONCATENATE(AM95,AX95)),Listados!$U$3:$V$11,2,FALSE),"")</f>
        <v/>
      </c>
      <c r="AZ95" s="48">
        <f t="shared" si="23"/>
        <v>100</v>
      </c>
      <c r="BA95" s="431"/>
      <c r="BB95" s="433"/>
      <c r="BC95" s="169">
        <f>+IF(AND(W95="Preventivo",BB91="Fuerte"),2,IF(AND(W95="Preventivo",BB91="Moderado"),1,0))</f>
        <v>0</v>
      </c>
      <c r="BD95" s="64">
        <f>+IF(AND(W95="Detectivo/Correctivo",$BB91="Fuerte"),2,IF(AND(W95="Detectivo/Correctivo",$BB95="Moderado"),1,IF(AND(W95="Preventivo",$BB91="Fuerte"),1,0)))</f>
        <v>0</v>
      </c>
      <c r="BE95" s="169" t="e">
        <f>+N91-BC95</f>
        <v>#N/A</v>
      </c>
      <c r="BF95" s="169" t="e">
        <f>+P91-BD95</f>
        <v>#N/A</v>
      </c>
      <c r="BG95" s="422"/>
      <c r="BH95" s="422"/>
      <c r="BI95" s="422"/>
      <c r="BJ95" s="645"/>
      <c r="BK95" s="645"/>
      <c r="BL95" s="645"/>
      <c r="BM95" s="645"/>
    </row>
    <row r="96" spans="1:65" ht="65.099999999999994" customHeight="1" thickBot="1">
      <c r="A96" s="406"/>
      <c r="B96" s="625"/>
      <c r="C96" s="441"/>
      <c r="D96" s="106"/>
      <c r="E96" s="106"/>
      <c r="F96" s="619"/>
      <c r="G96" s="444"/>
      <c r="H96" s="100"/>
      <c r="I96" s="128"/>
      <c r="J96" s="100"/>
      <c r="K96" s="31"/>
      <c r="L96" s="129"/>
      <c r="M96" s="446"/>
      <c r="N96" s="426"/>
      <c r="O96" s="428"/>
      <c r="P96" s="426"/>
      <c r="Q96" s="429"/>
      <c r="R96" s="423"/>
      <c r="S96" s="150"/>
      <c r="T96" s="98"/>
      <c r="U96" s="47" t="s">
        <v>627</v>
      </c>
      <c r="V96" s="172"/>
      <c r="W96" s="172"/>
      <c r="X96" s="172"/>
      <c r="Y96" s="95" t="str">
        <f t="shared" si="13"/>
        <v/>
      </c>
      <c r="Z96" s="172"/>
      <c r="AA96" s="95" t="str">
        <f t="shared" si="14"/>
        <v/>
      </c>
      <c r="AB96" s="150"/>
      <c r="AC96" s="95" t="str">
        <f t="shared" si="15"/>
        <v/>
      </c>
      <c r="AD96" s="150"/>
      <c r="AE96" s="95" t="str">
        <f t="shared" si="16"/>
        <v/>
      </c>
      <c r="AF96" s="150"/>
      <c r="AG96" s="95" t="str">
        <f t="shared" si="17"/>
        <v/>
      </c>
      <c r="AH96" s="150"/>
      <c r="AI96" s="95" t="str">
        <f t="shared" si="18"/>
        <v/>
      </c>
      <c r="AJ96" s="150"/>
      <c r="AK96" s="27" t="str">
        <f t="shared" si="19"/>
        <v/>
      </c>
      <c r="AL96" s="48" t="str">
        <f t="shared" si="20"/>
        <v/>
      </c>
      <c r="AM96" s="48" t="str">
        <f t="shared" si="21"/>
        <v/>
      </c>
      <c r="AN96" s="196"/>
      <c r="AO96" s="196"/>
      <c r="AP96" s="196"/>
      <c r="AQ96" s="196"/>
      <c r="AR96" s="196"/>
      <c r="AS96" s="196"/>
      <c r="AT96" s="196"/>
      <c r="AU96" s="197" t="str">
        <f>IFERROR(VLOOKUP(AT96,'Seguridad Información'!$I$61:$J$65,2,0),"")</f>
        <v/>
      </c>
      <c r="AV96" s="79"/>
      <c r="AW96" s="78" t="str">
        <f t="shared" si="12"/>
        <v/>
      </c>
      <c r="AX96" s="77" t="str">
        <f t="shared" si="22"/>
        <v/>
      </c>
      <c r="AY96" s="21" t="str">
        <f>IFERROR(VLOOKUP((CONCATENATE(AM96,AX96)),Listados!$U$3:$V$11,2,FALSE),"")</f>
        <v/>
      </c>
      <c r="AZ96" s="48">
        <f t="shared" si="23"/>
        <v>100</v>
      </c>
      <c r="BA96" s="432"/>
      <c r="BB96" s="433"/>
      <c r="BC96" s="169">
        <f>+IF(AND(W96="Preventivo",BB91="Fuerte"),2,IF(AND(W96="Preventivo",BB91="Moderado"),1,0))</f>
        <v>0</v>
      </c>
      <c r="BD96" s="64">
        <f>+IF(AND(W96="Detectivo/Correctivo",$BB91="Fuerte"),2,IF(AND(W96="Detectivo/Correctivo",$BB96="Moderado"),1,IF(AND(W96="Preventivo",$BB91="Fuerte"),1,0)))</f>
        <v>0</v>
      </c>
      <c r="BE96" s="169" t="e">
        <f>+N91-BC96</f>
        <v>#N/A</v>
      </c>
      <c r="BF96" s="169" t="e">
        <f>+P91-BD96</f>
        <v>#N/A</v>
      </c>
      <c r="BG96" s="423"/>
      <c r="BH96" s="423"/>
      <c r="BI96" s="423"/>
      <c r="BJ96" s="646"/>
      <c r="BK96" s="646"/>
      <c r="BL96" s="646"/>
      <c r="BM96" s="646"/>
    </row>
    <row r="97" spans="1:65" ht="65.099999999999994" customHeight="1" thickBot="1">
      <c r="A97" s="404">
        <v>16</v>
      </c>
      <c r="B97" s="628"/>
      <c r="C97" s="447" t="str">
        <f>IFERROR(VLOOKUP(B97,Listados!B$3:C$20,2,FALSE),"")</f>
        <v/>
      </c>
      <c r="D97" s="107"/>
      <c r="E97" s="107"/>
      <c r="F97" s="618"/>
      <c r="G97" s="448"/>
      <c r="H97" s="100"/>
      <c r="I97" s="128"/>
      <c r="J97" s="100"/>
      <c r="K97" s="103"/>
      <c r="L97" s="17"/>
      <c r="M97" s="445"/>
      <c r="N97" s="424" t="e">
        <f>+VLOOKUP(M97,Listados!$K$8:$L$12,2,0)</f>
        <v>#N/A</v>
      </c>
      <c r="O97" s="427"/>
      <c r="P97" s="424" t="e">
        <f>+VLOOKUP(O97,Listados!$K$13:$L$17,2,0)</f>
        <v>#N/A</v>
      </c>
      <c r="Q97" s="423" t="str">
        <f>IF(AND(M97&lt;&gt;"",O97&lt;&gt;""),VLOOKUP(M97&amp;O97,Listados!$M$3:$N$27,2,FALSE),"")</f>
        <v/>
      </c>
      <c r="R97" s="421" t="e">
        <f>+VLOOKUP(Q97,Listados!$P$3:$Q$6,2,FALSE)</f>
        <v>#N/A</v>
      </c>
      <c r="S97" s="150"/>
      <c r="T97" s="94"/>
      <c r="U97" s="47" t="s">
        <v>627</v>
      </c>
      <c r="V97" s="172"/>
      <c r="W97" s="172"/>
      <c r="X97" s="172"/>
      <c r="Y97" s="95" t="str">
        <f t="shared" si="13"/>
        <v/>
      </c>
      <c r="Z97" s="172"/>
      <c r="AA97" s="95" t="str">
        <f t="shared" si="14"/>
        <v/>
      </c>
      <c r="AB97" s="150"/>
      <c r="AC97" s="95" t="str">
        <f t="shared" si="15"/>
        <v/>
      </c>
      <c r="AD97" s="150"/>
      <c r="AE97" s="95" t="str">
        <f t="shared" si="16"/>
        <v/>
      </c>
      <c r="AF97" s="150"/>
      <c r="AG97" s="95" t="str">
        <f t="shared" si="17"/>
        <v/>
      </c>
      <c r="AH97" s="150"/>
      <c r="AI97" s="95" t="str">
        <f t="shared" si="18"/>
        <v/>
      </c>
      <c r="AJ97" s="150"/>
      <c r="AK97" s="27" t="str">
        <f t="shared" si="19"/>
        <v/>
      </c>
      <c r="AL97" s="48" t="str">
        <f t="shared" si="20"/>
        <v/>
      </c>
      <c r="AM97" s="48" t="str">
        <f t="shared" si="21"/>
        <v/>
      </c>
      <c r="AN97" s="196"/>
      <c r="AO97" s="196"/>
      <c r="AP97" s="196"/>
      <c r="AQ97" s="196"/>
      <c r="AR97" s="196"/>
      <c r="AS97" s="196"/>
      <c r="AT97" s="196"/>
      <c r="AU97" s="197" t="str">
        <f>IFERROR(VLOOKUP(AT97,'Seguridad Información'!$I$61:$J$65,2,0),"")</f>
        <v/>
      </c>
      <c r="AV97" s="79"/>
      <c r="AW97" s="78" t="str">
        <f t="shared" si="12"/>
        <v/>
      </c>
      <c r="AX97" s="77" t="str">
        <f t="shared" si="22"/>
        <v/>
      </c>
      <c r="AY97" s="21" t="str">
        <f>IFERROR(VLOOKUP((CONCATENATE(AM97,AX97)),Listados!$U$3:$V$11,2,FALSE),"")</f>
        <v/>
      </c>
      <c r="AZ97" s="48">
        <f t="shared" si="23"/>
        <v>100</v>
      </c>
      <c r="BA97" s="430">
        <f>AVERAGE(AZ97:AZ102)</f>
        <v>100</v>
      </c>
      <c r="BB97" s="432" t="str">
        <f>IF(BA97&lt;=50, "Débil", IF(BA97&lt;=99,"Moderado","Fuerte"))</f>
        <v>Fuerte</v>
      </c>
      <c r="BC97" s="169">
        <f>+IF(AND(W97="Preventivo",BB97="Fuerte"),2,IF(AND(W97="Preventivo",BB97="Moderado"),1,0))</f>
        <v>0</v>
      </c>
      <c r="BD97" s="64">
        <f>+IF(AND(W97="Detectivo/Correctivo",$BB97="Fuerte"),2,IF(AND(W97="Detectivo/Correctivo",$BB97="Moderado"),1,IF(AND(W97="Preventivo",$BB97="Fuerte"),1,0)))</f>
        <v>0</v>
      </c>
      <c r="BE97" s="169" t="e">
        <f>+N97-BC97</f>
        <v>#N/A</v>
      </c>
      <c r="BF97" s="169" t="e">
        <f>+P97-BD97</f>
        <v>#N/A</v>
      </c>
      <c r="BG97" s="421" t="e">
        <f>+VLOOKUP(MIN(BE97,BE98,BE99,BE100,BE101,BE102),Listados!$J$18:$K$24,2,TRUE)</f>
        <v>#N/A</v>
      </c>
      <c r="BH97" s="421" t="e">
        <f>+VLOOKUP(MIN(BF97,BF98,BF99,BF100,BF101,BF102),Listados!$J$27:$K$32,2,TRUE)</f>
        <v>#N/A</v>
      </c>
      <c r="BI97" s="421" t="e">
        <f>IF(AND(BG97&lt;&gt;"",BH97&lt;&gt;""),VLOOKUP(BG97&amp;BH97,Listados!$M$3:$N$27,2,FALSE),"")</f>
        <v>#N/A</v>
      </c>
      <c r="BJ97" s="644" t="e">
        <f>+IF($R97="Asumir el riesgo","NA","")</f>
        <v>#N/A</v>
      </c>
      <c r="BK97" s="644" t="e">
        <f>+IF($R97="Asumir el riesgo","NA","")</f>
        <v>#N/A</v>
      </c>
      <c r="BL97" s="644" t="e">
        <f>+IF($R97="Asumir el riesgo","NA","")</f>
        <v>#N/A</v>
      </c>
      <c r="BM97" s="644" t="e">
        <f>+IF($R97="Asumir el riesgo","NA","")</f>
        <v>#N/A</v>
      </c>
    </row>
    <row r="98" spans="1:65" ht="65.099999999999994" customHeight="1" thickBot="1">
      <c r="A98" s="405"/>
      <c r="B98" s="625"/>
      <c r="C98" s="440"/>
      <c r="D98" s="152"/>
      <c r="E98" s="152"/>
      <c r="F98" s="475"/>
      <c r="G98" s="443"/>
      <c r="H98" s="100"/>
      <c r="I98" s="128"/>
      <c r="J98" s="100"/>
      <c r="K98" s="147"/>
      <c r="L98" s="129"/>
      <c r="M98" s="446"/>
      <c r="N98" s="425"/>
      <c r="O98" s="428"/>
      <c r="P98" s="425"/>
      <c r="Q98" s="429"/>
      <c r="R98" s="422"/>
      <c r="S98" s="150"/>
      <c r="T98" s="198"/>
      <c r="U98" s="47" t="s">
        <v>627</v>
      </c>
      <c r="V98" s="172"/>
      <c r="W98" s="172"/>
      <c r="X98" s="172"/>
      <c r="Y98" s="95" t="str">
        <f t="shared" si="13"/>
        <v/>
      </c>
      <c r="Z98" s="172"/>
      <c r="AA98" s="95" t="str">
        <f t="shared" si="14"/>
        <v/>
      </c>
      <c r="AB98" s="150"/>
      <c r="AC98" s="95" t="str">
        <f t="shared" si="15"/>
        <v/>
      </c>
      <c r="AD98" s="150"/>
      <c r="AE98" s="95" t="str">
        <f t="shared" si="16"/>
        <v/>
      </c>
      <c r="AF98" s="150"/>
      <c r="AG98" s="95" t="str">
        <f t="shared" si="17"/>
        <v/>
      </c>
      <c r="AH98" s="150"/>
      <c r="AI98" s="95" t="str">
        <f t="shared" si="18"/>
        <v/>
      </c>
      <c r="AJ98" s="150"/>
      <c r="AK98" s="27" t="str">
        <f t="shared" si="19"/>
        <v/>
      </c>
      <c r="AL98" s="48" t="str">
        <f t="shared" si="20"/>
        <v/>
      </c>
      <c r="AM98" s="48" t="str">
        <f t="shared" si="21"/>
        <v/>
      </c>
      <c r="AN98" s="196"/>
      <c r="AO98" s="196"/>
      <c r="AP98" s="196"/>
      <c r="AQ98" s="196"/>
      <c r="AR98" s="196"/>
      <c r="AS98" s="196"/>
      <c r="AT98" s="196"/>
      <c r="AU98" s="197" t="str">
        <f>IFERROR(VLOOKUP(AT98,'Seguridad Información'!$I$61:$J$65,2,0),"")</f>
        <v/>
      </c>
      <c r="AV98" s="79"/>
      <c r="AW98" s="78" t="str">
        <f t="shared" si="12"/>
        <v/>
      </c>
      <c r="AX98" s="77" t="str">
        <f t="shared" si="22"/>
        <v/>
      </c>
      <c r="AY98" s="21" t="str">
        <f>IFERROR(VLOOKUP((CONCATENATE(AM98,AX98)),Listados!$U$3:$V$11,2,FALSE),"")</f>
        <v/>
      </c>
      <c r="AZ98" s="48">
        <f t="shared" si="23"/>
        <v>100</v>
      </c>
      <c r="BA98" s="431"/>
      <c r="BB98" s="433"/>
      <c r="BC98" s="169">
        <f>+IF(AND(W98="Preventivo",BB97="Fuerte"),2,IF(AND(W98="Preventivo",BB97="Moderado"),1,0))</f>
        <v>0</v>
      </c>
      <c r="BD98" s="64">
        <f>+IF(AND(W98="Detectivo/Correctivo",$BB97="Fuerte"),2,IF(AND(W98="Detectivo/Correctivo",$BB98="Moderado"),1,IF(AND(W98="Preventivo",$BB97="Fuerte"),1,0)))</f>
        <v>0</v>
      </c>
      <c r="BE98" s="169" t="e">
        <f>+N97-BC98</f>
        <v>#N/A</v>
      </c>
      <c r="BF98" s="169" t="e">
        <f>+P97-BD98</f>
        <v>#N/A</v>
      </c>
      <c r="BG98" s="422"/>
      <c r="BH98" s="422"/>
      <c r="BI98" s="422"/>
      <c r="BJ98" s="645"/>
      <c r="BK98" s="645"/>
      <c r="BL98" s="645"/>
      <c r="BM98" s="645"/>
    </row>
    <row r="99" spans="1:65" ht="65.099999999999994" customHeight="1" thickBot="1">
      <c r="A99" s="405"/>
      <c r="B99" s="625"/>
      <c r="C99" s="440"/>
      <c r="D99" s="152"/>
      <c r="E99" s="152"/>
      <c r="F99" s="475"/>
      <c r="G99" s="443"/>
      <c r="H99" s="100"/>
      <c r="I99" s="128"/>
      <c r="J99" s="100"/>
      <c r="K99" s="147"/>
      <c r="L99" s="129"/>
      <c r="M99" s="446"/>
      <c r="N99" s="425"/>
      <c r="O99" s="428"/>
      <c r="P99" s="425"/>
      <c r="Q99" s="429"/>
      <c r="R99" s="422"/>
      <c r="S99" s="150"/>
      <c r="T99" s="96"/>
      <c r="U99" s="47" t="s">
        <v>627</v>
      </c>
      <c r="V99" s="172"/>
      <c r="W99" s="172"/>
      <c r="X99" s="172"/>
      <c r="Y99" s="95" t="str">
        <f t="shared" si="13"/>
        <v/>
      </c>
      <c r="Z99" s="172"/>
      <c r="AA99" s="95" t="str">
        <f t="shared" si="14"/>
        <v/>
      </c>
      <c r="AB99" s="150"/>
      <c r="AC99" s="95" t="str">
        <f t="shared" si="15"/>
        <v/>
      </c>
      <c r="AD99" s="150"/>
      <c r="AE99" s="95" t="str">
        <f t="shared" si="16"/>
        <v/>
      </c>
      <c r="AF99" s="150"/>
      <c r="AG99" s="95" t="str">
        <f t="shared" si="17"/>
        <v/>
      </c>
      <c r="AH99" s="150"/>
      <c r="AI99" s="95" t="str">
        <f t="shared" si="18"/>
        <v/>
      </c>
      <c r="AJ99" s="150"/>
      <c r="AK99" s="27" t="str">
        <f t="shared" si="19"/>
        <v/>
      </c>
      <c r="AL99" s="48" t="str">
        <f t="shared" si="20"/>
        <v/>
      </c>
      <c r="AM99" s="48" t="str">
        <f t="shared" si="21"/>
        <v/>
      </c>
      <c r="AN99" s="196"/>
      <c r="AO99" s="196"/>
      <c r="AP99" s="196"/>
      <c r="AQ99" s="196"/>
      <c r="AR99" s="196"/>
      <c r="AS99" s="196"/>
      <c r="AT99" s="196"/>
      <c r="AU99" s="197" t="str">
        <f>IFERROR(VLOOKUP(AT99,'Seguridad Información'!$I$61:$J$65,2,0),"")</f>
        <v/>
      </c>
      <c r="AV99" s="79"/>
      <c r="AW99" s="78" t="str">
        <f t="shared" si="12"/>
        <v/>
      </c>
      <c r="AX99" s="77" t="str">
        <f t="shared" si="22"/>
        <v/>
      </c>
      <c r="AY99" s="21" t="str">
        <f>IFERROR(VLOOKUP((CONCATENATE(AM99,AX99)),Listados!$U$3:$V$11,2,FALSE),"")</f>
        <v/>
      </c>
      <c r="AZ99" s="48">
        <f t="shared" si="23"/>
        <v>100</v>
      </c>
      <c r="BA99" s="431"/>
      <c r="BB99" s="433"/>
      <c r="BC99" s="169">
        <f>+IF(AND(W99="Preventivo",BB97="Fuerte"),2,IF(AND(W99="Preventivo",BB97="Moderado"),1,0))</f>
        <v>0</v>
      </c>
      <c r="BD99" s="64">
        <f>+IF(AND(W99="Detectivo/Correctivo",$BB97="Fuerte"),2,IF(AND(W99="Detectivo/Correctivo",$BB99="Moderado"),1,IF(AND(W99="Preventivo",$BB97="Fuerte"),1,0)))</f>
        <v>0</v>
      </c>
      <c r="BE99" s="169" t="e">
        <f>+N97-BC99</f>
        <v>#N/A</v>
      </c>
      <c r="BF99" s="169" t="e">
        <f>+P97-BD99</f>
        <v>#N/A</v>
      </c>
      <c r="BG99" s="422"/>
      <c r="BH99" s="422"/>
      <c r="BI99" s="422"/>
      <c r="BJ99" s="645"/>
      <c r="BK99" s="645"/>
      <c r="BL99" s="645"/>
      <c r="BM99" s="645"/>
    </row>
    <row r="100" spans="1:65" ht="65.099999999999994" customHeight="1" thickBot="1">
      <c r="A100" s="405"/>
      <c r="B100" s="625"/>
      <c r="C100" s="440"/>
      <c r="D100" s="152"/>
      <c r="E100" s="152"/>
      <c r="F100" s="475"/>
      <c r="G100" s="443"/>
      <c r="H100" s="100"/>
      <c r="I100" s="128"/>
      <c r="J100" s="100"/>
      <c r="K100" s="147"/>
      <c r="L100" s="129"/>
      <c r="M100" s="446"/>
      <c r="N100" s="425"/>
      <c r="O100" s="428"/>
      <c r="P100" s="425"/>
      <c r="Q100" s="429"/>
      <c r="R100" s="422"/>
      <c r="S100" s="150"/>
      <c r="T100" s="97"/>
      <c r="U100" s="47" t="s">
        <v>627</v>
      </c>
      <c r="V100" s="172"/>
      <c r="W100" s="172"/>
      <c r="X100" s="172"/>
      <c r="Y100" s="95" t="str">
        <f t="shared" si="13"/>
        <v/>
      </c>
      <c r="Z100" s="172"/>
      <c r="AA100" s="95" t="str">
        <f t="shared" si="14"/>
        <v/>
      </c>
      <c r="AB100" s="150"/>
      <c r="AC100" s="95" t="str">
        <f t="shared" si="15"/>
        <v/>
      </c>
      <c r="AD100" s="150"/>
      <c r="AE100" s="95" t="str">
        <f t="shared" si="16"/>
        <v/>
      </c>
      <c r="AF100" s="150"/>
      <c r="AG100" s="95" t="str">
        <f t="shared" si="17"/>
        <v/>
      </c>
      <c r="AH100" s="150"/>
      <c r="AI100" s="95" t="str">
        <f t="shared" si="18"/>
        <v/>
      </c>
      <c r="AJ100" s="150"/>
      <c r="AK100" s="27" t="str">
        <f t="shared" si="19"/>
        <v/>
      </c>
      <c r="AL100" s="48" t="str">
        <f t="shared" si="20"/>
        <v/>
      </c>
      <c r="AM100" s="48" t="str">
        <f t="shared" si="21"/>
        <v/>
      </c>
      <c r="AN100" s="196"/>
      <c r="AO100" s="196"/>
      <c r="AP100" s="196"/>
      <c r="AQ100" s="196"/>
      <c r="AR100" s="196"/>
      <c r="AS100" s="196"/>
      <c r="AT100" s="196"/>
      <c r="AU100" s="197" t="str">
        <f>IFERROR(VLOOKUP(AT100,'Seguridad Información'!$I$61:$J$65,2,0),"")</f>
        <v/>
      </c>
      <c r="AV100" s="79"/>
      <c r="AW100" s="78" t="str">
        <f t="shared" si="12"/>
        <v/>
      </c>
      <c r="AX100" s="77" t="str">
        <f t="shared" si="22"/>
        <v/>
      </c>
      <c r="AY100" s="21" t="str">
        <f>IFERROR(VLOOKUP((CONCATENATE(AM100,AX100)),Listados!$U$3:$V$11,2,FALSE),"")</f>
        <v/>
      </c>
      <c r="AZ100" s="48">
        <f t="shared" si="23"/>
        <v>100</v>
      </c>
      <c r="BA100" s="431"/>
      <c r="BB100" s="433"/>
      <c r="BC100" s="169">
        <f>+IF(AND(W100="Preventivo",BB97="Fuerte"),2,IF(AND(W100="Preventivo",BB97="Moderado"),1,0))</f>
        <v>0</v>
      </c>
      <c r="BD100" s="64">
        <f>+IF(AND(W100="Detectivo/Correctivo",$BB97="Fuerte"),2,IF(AND(W100="Detectivo/Correctivo",$BB100="Moderado"),1,IF(AND(W100="Preventivo",$BB97="Fuerte"),1,0)))</f>
        <v>0</v>
      </c>
      <c r="BE100" s="169" t="e">
        <f>+N97-BC100</f>
        <v>#N/A</v>
      </c>
      <c r="BF100" s="169" t="e">
        <f>+P97-BD100</f>
        <v>#N/A</v>
      </c>
      <c r="BG100" s="422"/>
      <c r="BH100" s="422"/>
      <c r="BI100" s="422"/>
      <c r="BJ100" s="645"/>
      <c r="BK100" s="645"/>
      <c r="BL100" s="645"/>
      <c r="BM100" s="645"/>
    </row>
    <row r="101" spans="1:65" ht="65.099999999999994" customHeight="1" thickBot="1">
      <c r="A101" s="405"/>
      <c r="B101" s="625"/>
      <c r="C101" s="440"/>
      <c r="D101" s="109"/>
      <c r="E101" s="109"/>
      <c r="F101" s="475"/>
      <c r="G101" s="443"/>
      <c r="H101" s="100"/>
      <c r="I101" s="128"/>
      <c r="J101" s="100"/>
      <c r="K101" s="29"/>
      <c r="L101" s="129"/>
      <c r="M101" s="446"/>
      <c r="N101" s="425"/>
      <c r="O101" s="428"/>
      <c r="P101" s="425"/>
      <c r="Q101" s="429"/>
      <c r="R101" s="422"/>
      <c r="S101" s="150"/>
      <c r="T101" s="198"/>
      <c r="U101" s="47" t="s">
        <v>627</v>
      </c>
      <c r="V101" s="172"/>
      <c r="W101" s="172"/>
      <c r="X101" s="172"/>
      <c r="Y101" s="95" t="str">
        <f t="shared" si="13"/>
        <v/>
      </c>
      <c r="Z101" s="172"/>
      <c r="AA101" s="95" t="str">
        <f t="shared" si="14"/>
        <v/>
      </c>
      <c r="AB101" s="150"/>
      <c r="AC101" s="95" t="str">
        <f t="shared" si="15"/>
        <v/>
      </c>
      <c r="AD101" s="150"/>
      <c r="AE101" s="95" t="str">
        <f t="shared" si="16"/>
        <v/>
      </c>
      <c r="AF101" s="150"/>
      <c r="AG101" s="95" t="str">
        <f t="shared" si="17"/>
        <v/>
      </c>
      <c r="AH101" s="150"/>
      <c r="AI101" s="95" t="str">
        <f t="shared" si="18"/>
        <v/>
      </c>
      <c r="AJ101" s="150"/>
      <c r="AK101" s="27" t="str">
        <f t="shared" si="19"/>
        <v/>
      </c>
      <c r="AL101" s="48" t="str">
        <f t="shared" si="20"/>
        <v/>
      </c>
      <c r="AM101" s="48" t="str">
        <f t="shared" si="21"/>
        <v/>
      </c>
      <c r="AN101" s="196"/>
      <c r="AO101" s="196"/>
      <c r="AP101" s="196"/>
      <c r="AQ101" s="196"/>
      <c r="AR101" s="196"/>
      <c r="AS101" s="196"/>
      <c r="AT101" s="196"/>
      <c r="AU101" s="197" t="str">
        <f>IFERROR(VLOOKUP(AT101,'Seguridad Información'!$I$61:$J$65,2,0),"")</f>
        <v/>
      </c>
      <c r="AV101" s="79"/>
      <c r="AW101" s="78" t="str">
        <f t="shared" si="12"/>
        <v/>
      </c>
      <c r="AX101" s="77" t="str">
        <f t="shared" si="22"/>
        <v/>
      </c>
      <c r="AY101" s="21" t="str">
        <f>IFERROR(VLOOKUP((CONCATENATE(AM101,AX101)),Listados!$U$3:$V$11,2,FALSE),"")</f>
        <v/>
      </c>
      <c r="AZ101" s="48">
        <f t="shared" si="23"/>
        <v>100</v>
      </c>
      <c r="BA101" s="431"/>
      <c r="BB101" s="433"/>
      <c r="BC101" s="169">
        <f>+IF(AND(W101="Preventivo",BB97="Fuerte"),2,IF(AND(W101="Preventivo",BB97="Moderado"),1,0))</f>
        <v>0</v>
      </c>
      <c r="BD101" s="64">
        <f>+IF(AND(W101="Detectivo/Correctivo",$BB97="Fuerte"),2,IF(AND(W101="Detectivo/Correctivo",$BB101="Moderado"),1,IF(AND(W101="Preventivo",$BB97="Fuerte"),1,0)))</f>
        <v>0</v>
      </c>
      <c r="BE101" s="169" t="e">
        <f>+N97-BC101</f>
        <v>#N/A</v>
      </c>
      <c r="BF101" s="169" t="e">
        <f>+P97-BD101</f>
        <v>#N/A</v>
      </c>
      <c r="BG101" s="422"/>
      <c r="BH101" s="422"/>
      <c r="BI101" s="422"/>
      <c r="BJ101" s="645"/>
      <c r="BK101" s="645"/>
      <c r="BL101" s="645"/>
      <c r="BM101" s="645"/>
    </row>
    <row r="102" spans="1:65" ht="65.099999999999994" customHeight="1" thickBot="1">
      <c r="A102" s="406"/>
      <c r="B102" s="625"/>
      <c r="C102" s="441"/>
      <c r="D102" s="106"/>
      <c r="E102" s="106"/>
      <c r="F102" s="619"/>
      <c r="G102" s="444"/>
      <c r="H102" s="100"/>
      <c r="I102" s="128"/>
      <c r="J102" s="100"/>
      <c r="K102" s="31"/>
      <c r="L102" s="129"/>
      <c r="M102" s="446"/>
      <c r="N102" s="426"/>
      <c r="O102" s="428"/>
      <c r="P102" s="426"/>
      <c r="Q102" s="429"/>
      <c r="R102" s="423"/>
      <c r="S102" s="150"/>
      <c r="T102" s="98"/>
      <c r="U102" s="47" t="s">
        <v>627</v>
      </c>
      <c r="V102" s="172"/>
      <c r="W102" s="172"/>
      <c r="X102" s="172"/>
      <c r="Y102" s="95" t="str">
        <f t="shared" si="13"/>
        <v/>
      </c>
      <c r="Z102" s="172"/>
      <c r="AA102" s="95" t="str">
        <f t="shared" si="14"/>
        <v/>
      </c>
      <c r="AB102" s="150"/>
      <c r="AC102" s="95" t="str">
        <f t="shared" si="15"/>
        <v/>
      </c>
      <c r="AD102" s="150"/>
      <c r="AE102" s="95" t="str">
        <f t="shared" si="16"/>
        <v/>
      </c>
      <c r="AF102" s="150"/>
      <c r="AG102" s="95" t="str">
        <f t="shared" si="17"/>
        <v/>
      </c>
      <c r="AH102" s="150"/>
      <c r="AI102" s="95" t="str">
        <f t="shared" si="18"/>
        <v/>
      </c>
      <c r="AJ102" s="150"/>
      <c r="AK102" s="27" t="str">
        <f t="shared" si="19"/>
        <v/>
      </c>
      <c r="AL102" s="48" t="str">
        <f t="shared" si="20"/>
        <v/>
      </c>
      <c r="AM102" s="48" t="str">
        <f t="shared" si="21"/>
        <v/>
      </c>
      <c r="AN102" s="196"/>
      <c r="AO102" s="196"/>
      <c r="AP102" s="196"/>
      <c r="AQ102" s="196"/>
      <c r="AR102" s="196"/>
      <c r="AS102" s="196"/>
      <c r="AT102" s="196"/>
      <c r="AU102" s="197" t="str">
        <f>IFERROR(VLOOKUP(AT102,'Seguridad Información'!$I$61:$J$65,2,0),"")</f>
        <v/>
      </c>
      <c r="AV102" s="79"/>
      <c r="AW102" s="78" t="str">
        <f t="shared" si="12"/>
        <v/>
      </c>
      <c r="AX102" s="77" t="str">
        <f t="shared" si="22"/>
        <v/>
      </c>
      <c r="AY102" s="21" t="str">
        <f>IFERROR(VLOOKUP((CONCATENATE(AM102,AX102)),Listados!$U$3:$V$11,2,FALSE),"")</f>
        <v/>
      </c>
      <c r="AZ102" s="48">
        <f t="shared" si="23"/>
        <v>100</v>
      </c>
      <c r="BA102" s="432"/>
      <c r="BB102" s="433"/>
      <c r="BC102" s="169">
        <f>+IF(AND(W102="Preventivo",BB97="Fuerte"),2,IF(AND(W102="Preventivo",BB97="Moderado"),1,0))</f>
        <v>0</v>
      </c>
      <c r="BD102" s="64">
        <f>+IF(AND(W102="Detectivo/Correctivo",$BB97="Fuerte"),2,IF(AND(W102="Detectivo/Correctivo",$BB102="Moderado"),1,IF(AND(W102="Preventivo",$BB97="Fuerte"),1,0)))</f>
        <v>0</v>
      </c>
      <c r="BE102" s="169" t="e">
        <f>+N97-BC102</f>
        <v>#N/A</v>
      </c>
      <c r="BF102" s="169" t="e">
        <f>+P97-BD102</f>
        <v>#N/A</v>
      </c>
      <c r="BG102" s="423"/>
      <c r="BH102" s="423"/>
      <c r="BI102" s="423"/>
      <c r="BJ102" s="646"/>
      <c r="BK102" s="646"/>
      <c r="BL102" s="646"/>
      <c r="BM102" s="646"/>
    </row>
    <row r="103" spans="1:65" ht="65.099999999999994" customHeight="1" thickBot="1">
      <c r="A103" s="404">
        <v>17</v>
      </c>
      <c r="B103" s="628"/>
      <c r="C103" s="447" t="str">
        <f>IFERROR(VLOOKUP(B103,Listados!B$3:C$20,2,FALSE),"")</f>
        <v/>
      </c>
      <c r="D103" s="107"/>
      <c r="E103" s="107"/>
      <c r="F103" s="618"/>
      <c r="G103" s="448"/>
      <c r="H103" s="100"/>
      <c r="I103" s="128"/>
      <c r="J103" s="100"/>
      <c r="K103" s="103"/>
      <c r="L103" s="17"/>
      <c r="M103" s="445"/>
      <c r="N103" s="424" t="e">
        <f>+VLOOKUP(M103,Listados!$K$8:$L$12,2,0)</f>
        <v>#N/A</v>
      </c>
      <c r="O103" s="427"/>
      <c r="P103" s="424" t="e">
        <f>+VLOOKUP(O103,Listados!$K$13:$L$17,2,0)</f>
        <v>#N/A</v>
      </c>
      <c r="Q103" s="423" t="str">
        <f>IF(AND(M103&lt;&gt;"",O103&lt;&gt;""),VLOOKUP(M103&amp;O103,Listados!$M$3:$N$27,2,FALSE),"")</f>
        <v/>
      </c>
      <c r="R103" s="421" t="e">
        <f>+VLOOKUP(Q103,Listados!$P$3:$Q$6,2,FALSE)</f>
        <v>#N/A</v>
      </c>
      <c r="S103" s="150"/>
      <c r="T103" s="94"/>
      <c r="U103" s="47" t="s">
        <v>627</v>
      </c>
      <c r="V103" s="172"/>
      <c r="W103" s="172"/>
      <c r="X103" s="172"/>
      <c r="Y103" s="95" t="str">
        <f t="shared" si="13"/>
        <v/>
      </c>
      <c r="Z103" s="172"/>
      <c r="AA103" s="95" t="str">
        <f t="shared" si="14"/>
        <v/>
      </c>
      <c r="AB103" s="150"/>
      <c r="AC103" s="95" t="str">
        <f t="shared" si="15"/>
        <v/>
      </c>
      <c r="AD103" s="150"/>
      <c r="AE103" s="95" t="str">
        <f t="shared" si="16"/>
        <v/>
      </c>
      <c r="AF103" s="150"/>
      <c r="AG103" s="95" t="str">
        <f t="shared" si="17"/>
        <v/>
      </c>
      <c r="AH103" s="150"/>
      <c r="AI103" s="95" t="str">
        <f t="shared" si="18"/>
        <v/>
      </c>
      <c r="AJ103" s="150"/>
      <c r="AK103" s="27" t="str">
        <f t="shared" si="19"/>
        <v/>
      </c>
      <c r="AL103" s="48" t="str">
        <f t="shared" si="20"/>
        <v/>
      </c>
      <c r="AM103" s="48" t="str">
        <f t="shared" si="21"/>
        <v/>
      </c>
      <c r="AN103" s="196"/>
      <c r="AO103" s="196"/>
      <c r="AP103" s="196"/>
      <c r="AQ103" s="196"/>
      <c r="AR103" s="196"/>
      <c r="AS103" s="196"/>
      <c r="AT103" s="196"/>
      <c r="AU103" s="197" t="str">
        <f>IFERROR(VLOOKUP(AT103,'Seguridad Información'!$I$61:$J$65,2,0),"")</f>
        <v/>
      </c>
      <c r="AV103" s="79"/>
      <c r="AW103" s="78" t="str">
        <f t="shared" si="12"/>
        <v/>
      </c>
      <c r="AX103" s="77" t="str">
        <f t="shared" si="22"/>
        <v/>
      </c>
      <c r="AY103" s="21" t="str">
        <f>IFERROR(VLOOKUP((CONCATENATE(AM103,AX103)),Listados!$U$3:$V$11,2,FALSE),"")</f>
        <v/>
      </c>
      <c r="AZ103" s="48">
        <f t="shared" si="23"/>
        <v>100</v>
      </c>
      <c r="BA103" s="430">
        <f>AVERAGE(AZ103:AZ108)</f>
        <v>100</v>
      </c>
      <c r="BB103" s="432" t="str">
        <f>IF(BA103&lt;=50, "Débil", IF(BA103&lt;=99,"Moderado","Fuerte"))</f>
        <v>Fuerte</v>
      </c>
      <c r="BC103" s="169">
        <f>+IF(AND(W103="Preventivo",BB103="Fuerte"),2,IF(AND(W103="Preventivo",BB103="Moderado"),1,0))</f>
        <v>0</v>
      </c>
      <c r="BD103" s="64">
        <f>+IF(AND(W103="Detectivo/Correctivo",$BB103="Fuerte"),2,IF(AND(W103="Detectivo/Correctivo",$BB103="Moderado"),1,IF(AND(W103="Preventivo",$BB103="Fuerte"),1,0)))</f>
        <v>0</v>
      </c>
      <c r="BE103" s="169" t="e">
        <f>+N103-BC103</f>
        <v>#N/A</v>
      </c>
      <c r="BF103" s="169" t="e">
        <f>+P103-BD103</f>
        <v>#N/A</v>
      </c>
      <c r="BG103" s="421" t="e">
        <f>+VLOOKUP(MIN(BE103,BE104,BE105,BE106,BE107,BE108),Listados!$J$18:$K$24,2,TRUE)</f>
        <v>#N/A</v>
      </c>
      <c r="BH103" s="421" t="e">
        <f>+VLOOKUP(MIN(BF103,BF104,BF105,BF106,BF107,BF108),Listados!$J$27:$K$32,2,TRUE)</f>
        <v>#N/A</v>
      </c>
      <c r="BI103" s="421" t="e">
        <f>IF(AND(BG103&lt;&gt;"",BH103&lt;&gt;""),VLOOKUP(BG103&amp;BH103,Listados!$M$3:$N$27,2,FALSE),"")</f>
        <v>#N/A</v>
      </c>
      <c r="BJ103" s="644" t="e">
        <f>+IF($R103="Asumir el riesgo","NA","")</f>
        <v>#N/A</v>
      </c>
      <c r="BK103" s="644" t="e">
        <f>+IF($R103="Asumir el riesgo","NA","")</f>
        <v>#N/A</v>
      </c>
      <c r="BL103" s="644" t="e">
        <f>+IF($R103="Asumir el riesgo","NA","")</f>
        <v>#N/A</v>
      </c>
      <c r="BM103" s="644" t="e">
        <f>+IF($R103="Asumir el riesgo","NA","")</f>
        <v>#N/A</v>
      </c>
    </row>
    <row r="104" spans="1:65" ht="65.099999999999994" customHeight="1" thickBot="1">
      <c r="A104" s="405"/>
      <c r="B104" s="625"/>
      <c r="C104" s="440"/>
      <c r="D104" s="152"/>
      <c r="E104" s="152"/>
      <c r="F104" s="475"/>
      <c r="G104" s="443"/>
      <c r="H104" s="100"/>
      <c r="I104" s="128"/>
      <c r="J104" s="100"/>
      <c r="K104" s="147"/>
      <c r="L104" s="129"/>
      <c r="M104" s="446"/>
      <c r="N104" s="425"/>
      <c r="O104" s="428"/>
      <c r="P104" s="425"/>
      <c r="Q104" s="429"/>
      <c r="R104" s="422"/>
      <c r="S104" s="150"/>
      <c r="T104" s="198"/>
      <c r="U104" s="47" t="s">
        <v>627</v>
      </c>
      <c r="V104" s="172"/>
      <c r="W104" s="172"/>
      <c r="X104" s="172"/>
      <c r="Y104" s="95" t="str">
        <f t="shared" si="13"/>
        <v/>
      </c>
      <c r="Z104" s="172"/>
      <c r="AA104" s="95" t="str">
        <f t="shared" si="14"/>
        <v/>
      </c>
      <c r="AB104" s="150"/>
      <c r="AC104" s="95" t="str">
        <f t="shared" si="15"/>
        <v/>
      </c>
      <c r="AD104" s="150"/>
      <c r="AE104" s="95" t="str">
        <f t="shared" si="16"/>
        <v/>
      </c>
      <c r="AF104" s="150"/>
      <c r="AG104" s="95" t="str">
        <f t="shared" si="17"/>
        <v/>
      </c>
      <c r="AH104" s="150"/>
      <c r="AI104" s="95" t="str">
        <f t="shared" si="18"/>
        <v/>
      </c>
      <c r="AJ104" s="150"/>
      <c r="AK104" s="27" t="str">
        <f t="shared" si="19"/>
        <v/>
      </c>
      <c r="AL104" s="48" t="str">
        <f t="shared" si="20"/>
        <v/>
      </c>
      <c r="AM104" s="48" t="str">
        <f t="shared" si="21"/>
        <v/>
      </c>
      <c r="AN104" s="196"/>
      <c r="AO104" s="196"/>
      <c r="AP104" s="196"/>
      <c r="AQ104" s="196"/>
      <c r="AR104" s="196"/>
      <c r="AS104" s="196"/>
      <c r="AT104" s="196"/>
      <c r="AU104" s="197" t="str">
        <f>IFERROR(VLOOKUP(AT104,'Seguridad Información'!$I$61:$J$65,2,0),"")</f>
        <v/>
      </c>
      <c r="AV104" s="79"/>
      <c r="AW104" s="78" t="str">
        <f t="shared" si="12"/>
        <v/>
      </c>
      <c r="AX104" s="77" t="str">
        <f t="shared" si="22"/>
        <v/>
      </c>
      <c r="AY104" s="21" t="str">
        <f>IFERROR(VLOOKUP((CONCATENATE(AM104,AX104)),Listados!$U$3:$V$11,2,FALSE),"")</f>
        <v/>
      </c>
      <c r="AZ104" s="48">
        <f t="shared" si="23"/>
        <v>100</v>
      </c>
      <c r="BA104" s="431"/>
      <c r="BB104" s="433"/>
      <c r="BC104" s="169">
        <f>+IF(AND(W104="Preventivo",BB103="Fuerte"),2,IF(AND(W104="Preventivo",BB103="Moderado"),1,0))</f>
        <v>0</v>
      </c>
      <c r="BD104" s="64">
        <f>+IF(AND(W104="Detectivo/Correctivo",$BB103="Fuerte"),2,IF(AND(W104="Detectivo/Correctivo",$BB104="Moderado"),1,IF(AND(W104="Preventivo",$BB103="Fuerte"),1,0)))</f>
        <v>0</v>
      </c>
      <c r="BE104" s="169" t="e">
        <f>+N103-BC104</f>
        <v>#N/A</v>
      </c>
      <c r="BF104" s="169" t="e">
        <f>+P103-BD104</f>
        <v>#N/A</v>
      </c>
      <c r="BG104" s="422"/>
      <c r="BH104" s="422"/>
      <c r="BI104" s="422"/>
      <c r="BJ104" s="645"/>
      <c r="BK104" s="645"/>
      <c r="BL104" s="645"/>
      <c r="BM104" s="645"/>
    </row>
    <row r="105" spans="1:65" ht="65.099999999999994" customHeight="1" thickBot="1">
      <c r="A105" s="405"/>
      <c r="B105" s="625"/>
      <c r="C105" s="440"/>
      <c r="D105" s="152"/>
      <c r="E105" s="152"/>
      <c r="F105" s="475"/>
      <c r="G105" s="443"/>
      <c r="H105" s="100"/>
      <c r="I105" s="128"/>
      <c r="J105" s="100"/>
      <c r="K105" s="147"/>
      <c r="L105" s="129"/>
      <c r="M105" s="446"/>
      <c r="N105" s="425"/>
      <c r="O105" s="428"/>
      <c r="P105" s="425"/>
      <c r="Q105" s="429"/>
      <c r="R105" s="422"/>
      <c r="S105" s="150"/>
      <c r="T105" s="96"/>
      <c r="U105" s="47" t="s">
        <v>627</v>
      </c>
      <c r="V105" s="172"/>
      <c r="W105" s="172"/>
      <c r="X105" s="172"/>
      <c r="Y105" s="95" t="str">
        <f t="shared" si="13"/>
        <v/>
      </c>
      <c r="Z105" s="172"/>
      <c r="AA105" s="95" t="str">
        <f t="shared" si="14"/>
        <v/>
      </c>
      <c r="AB105" s="150"/>
      <c r="AC105" s="95" t="str">
        <f t="shared" si="15"/>
        <v/>
      </c>
      <c r="AD105" s="150"/>
      <c r="AE105" s="95" t="str">
        <f t="shared" si="16"/>
        <v/>
      </c>
      <c r="AF105" s="150"/>
      <c r="AG105" s="95" t="str">
        <f t="shared" si="17"/>
        <v/>
      </c>
      <c r="AH105" s="150"/>
      <c r="AI105" s="95" t="str">
        <f t="shared" si="18"/>
        <v/>
      </c>
      <c r="AJ105" s="150"/>
      <c r="AK105" s="27" t="str">
        <f t="shared" si="19"/>
        <v/>
      </c>
      <c r="AL105" s="48" t="str">
        <f t="shared" si="20"/>
        <v/>
      </c>
      <c r="AM105" s="48" t="str">
        <f t="shared" si="21"/>
        <v/>
      </c>
      <c r="AN105" s="196"/>
      <c r="AO105" s="196"/>
      <c r="AP105" s="196"/>
      <c r="AQ105" s="196"/>
      <c r="AR105" s="196"/>
      <c r="AS105" s="196"/>
      <c r="AT105" s="196"/>
      <c r="AU105" s="197" t="str">
        <f>IFERROR(VLOOKUP(AT105,'Seguridad Información'!$I$61:$J$65,2,0),"")</f>
        <v/>
      </c>
      <c r="AV105" s="79"/>
      <c r="AW105" s="78" t="str">
        <f t="shared" si="12"/>
        <v/>
      </c>
      <c r="AX105" s="77" t="str">
        <f t="shared" si="22"/>
        <v/>
      </c>
      <c r="AY105" s="21" t="str">
        <f>IFERROR(VLOOKUP((CONCATENATE(AM105,AX105)),Listados!$U$3:$V$11,2,FALSE),"")</f>
        <v/>
      </c>
      <c r="AZ105" s="48">
        <f t="shared" si="23"/>
        <v>100</v>
      </c>
      <c r="BA105" s="431"/>
      <c r="BB105" s="433"/>
      <c r="BC105" s="169">
        <f>+IF(AND(W105="Preventivo",BB103="Fuerte"),2,IF(AND(W105="Preventivo",BB103="Moderado"),1,0))</f>
        <v>0</v>
      </c>
      <c r="BD105" s="64">
        <f>+IF(AND(W105="Detectivo/Correctivo",$BB103="Fuerte"),2,IF(AND(W105="Detectivo/Correctivo",$BB105="Moderado"),1,IF(AND(W105="Preventivo",$BB103="Fuerte"),1,0)))</f>
        <v>0</v>
      </c>
      <c r="BE105" s="169" t="e">
        <f>+N103-BC105</f>
        <v>#N/A</v>
      </c>
      <c r="BF105" s="169" t="e">
        <f>+P103-BD105</f>
        <v>#N/A</v>
      </c>
      <c r="BG105" s="422"/>
      <c r="BH105" s="422"/>
      <c r="BI105" s="422"/>
      <c r="BJ105" s="645"/>
      <c r="BK105" s="645"/>
      <c r="BL105" s="645"/>
      <c r="BM105" s="645"/>
    </row>
    <row r="106" spans="1:65" ht="65.099999999999994" customHeight="1" thickBot="1">
      <c r="A106" s="405"/>
      <c r="B106" s="625"/>
      <c r="C106" s="440"/>
      <c r="D106" s="152"/>
      <c r="E106" s="152"/>
      <c r="F106" s="475"/>
      <c r="G106" s="443"/>
      <c r="H106" s="100"/>
      <c r="I106" s="128"/>
      <c r="J106" s="100"/>
      <c r="K106" s="147"/>
      <c r="L106" s="129"/>
      <c r="M106" s="446"/>
      <c r="N106" s="425"/>
      <c r="O106" s="428"/>
      <c r="P106" s="425"/>
      <c r="Q106" s="429"/>
      <c r="R106" s="422"/>
      <c r="S106" s="150"/>
      <c r="T106" s="97"/>
      <c r="U106" s="47" t="s">
        <v>627</v>
      </c>
      <c r="V106" s="172"/>
      <c r="W106" s="172"/>
      <c r="X106" s="172"/>
      <c r="Y106" s="95" t="str">
        <f t="shared" si="13"/>
        <v/>
      </c>
      <c r="Z106" s="172"/>
      <c r="AA106" s="95" t="str">
        <f t="shared" si="14"/>
        <v/>
      </c>
      <c r="AB106" s="150"/>
      <c r="AC106" s="95" t="str">
        <f t="shared" si="15"/>
        <v/>
      </c>
      <c r="AD106" s="150"/>
      <c r="AE106" s="95" t="str">
        <f t="shared" si="16"/>
        <v/>
      </c>
      <c r="AF106" s="150"/>
      <c r="AG106" s="95" t="str">
        <f t="shared" si="17"/>
        <v/>
      </c>
      <c r="AH106" s="150"/>
      <c r="AI106" s="95" t="str">
        <f t="shared" si="18"/>
        <v/>
      </c>
      <c r="AJ106" s="150"/>
      <c r="AK106" s="27" t="str">
        <f t="shared" si="19"/>
        <v/>
      </c>
      <c r="AL106" s="48" t="str">
        <f t="shared" si="20"/>
        <v/>
      </c>
      <c r="AM106" s="48" t="str">
        <f t="shared" si="21"/>
        <v/>
      </c>
      <c r="AN106" s="196"/>
      <c r="AO106" s="196"/>
      <c r="AP106" s="196"/>
      <c r="AQ106" s="196"/>
      <c r="AR106" s="196"/>
      <c r="AS106" s="196"/>
      <c r="AT106" s="196"/>
      <c r="AU106" s="197" t="str">
        <f>IFERROR(VLOOKUP(AT106,'Seguridad Información'!$I$61:$J$65,2,0),"")</f>
        <v/>
      </c>
      <c r="AV106" s="79"/>
      <c r="AW106" s="78" t="str">
        <f t="shared" si="12"/>
        <v/>
      </c>
      <c r="AX106" s="77" t="str">
        <f t="shared" si="22"/>
        <v/>
      </c>
      <c r="AY106" s="21" t="str">
        <f>IFERROR(VLOOKUP((CONCATENATE(AM106,AX106)),Listados!$U$3:$V$11,2,FALSE),"")</f>
        <v/>
      </c>
      <c r="AZ106" s="48">
        <f t="shared" si="23"/>
        <v>100</v>
      </c>
      <c r="BA106" s="431"/>
      <c r="BB106" s="433"/>
      <c r="BC106" s="169">
        <f>+IF(AND(W106="Preventivo",BB103="Fuerte"),2,IF(AND(W106="Preventivo",BB103="Moderado"),1,0))</f>
        <v>0</v>
      </c>
      <c r="BD106" s="64">
        <f>+IF(AND(W106="Detectivo/Correctivo",$BB103="Fuerte"),2,IF(AND(W106="Detectivo/Correctivo",$BB106="Moderado"),1,IF(AND(W106="Preventivo",$BB103="Fuerte"),1,0)))</f>
        <v>0</v>
      </c>
      <c r="BE106" s="169" t="e">
        <f>+N103-BC106</f>
        <v>#N/A</v>
      </c>
      <c r="BF106" s="169" t="e">
        <f>+P103-BD106</f>
        <v>#N/A</v>
      </c>
      <c r="BG106" s="422"/>
      <c r="BH106" s="422"/>
      <c r="BI106" s="422"/>
      <c r="BJ106" s="645"/>
      <c r="BK106" s="645"/>
      <c r="BL106" s="645"/>
      <c r="BM106" s="645"/>
    </row>
    <row r="107" spans="1:65" ht="65.099999999999994" customHeight="1" thickBot="1">
      <c r="A107" s="405"/>
      <c r="B107" s="625"/>
      <c r="C107" s="440"/>
      <c r="D107" s="109"/>
      <c r="E107" s="109"/>
      <c r="F107" s="475"/>
      <c r="G107" s="443"/>
      <c r="H107" s="100"/>
      <c r="I107" s="128"/>
      <c r="J107" s="100"/>
      <c r="K107" s="29"/>
      <c r="L107" s="129"/>
      <c r="M107" s="446"/>
      <c r="N107" s="425"/>
      <c r="O107" s="428"/>
      <c r="P107" s="425"/>
      <c r="Q107" s="429"/>
      <c r="R107" s="422"/>
      <c r="S107" s="150"/>
      <c r="T107" s="198"/>
      <c r="U107" s="47" t="s">
        <v>627</v>
      </c>
      <c r="V107" s="172"/>
      <c r="W107" s="172"/>
      <c r="X107" s="172"/>
      <c r="Y107" s="95" t="str">
        <f t="shared" si="13"/>
        <v/>
      </c>
      <c r="Z107" s="172"/>
      <c r="AA107" s="95" t="str">
        <f t="shared" si="14"/>
        <v/>
      </c>
      <c r="AB107" s="150"/>
      <c r="AC107" s="95" t="str">
        <f t="shared" si="15"/>
        <v/>
      </c>
      <c r="AD107" s="150"/>
      <c r="AE107" s="95" t="str">
        <f t="shared" si="16"/>
        <v/>
      </c>
      <c r="AF107" s="150"/>
      <c r="AG107" s="95" t="str">
        <f t="shared" si="17"/>
        <v/>
      </c>
      <c r="AH107" s="150"/>
      <c r="AI107" s="95" t="str">
        <f t="shared" si="18"/>
        <v/>
      </c>
      <c r="AJ107" s="150"/>
      <c r="AK107" s="27" t="str">
        <f t="shared" si="19"/>
        <v/>
      </c>
      <c r="AL107" s="48" t="str">
        <f t="shared" si="20"/>
        <v/>
      </c>
      <c r="AM107" s="48" t="str">
        <f t="shared" si="21"/>
        <v/>
      </c>
      <c r="AN107" s="196"/>
      <c r="AO107" s="196"/>
      <c r="AP107" s="196"/>
      <c r="AQ107" s="196"/>
      <c r="AR107" s="196"/>
      <c r="AS107" s="196"/>
      <c r="AT107" s="196"/>
      <c r="AU107" s="197" t="str">
        <f>IFERROR(VLOOKUP(AT107,'Seguridad Información'!$I$61:$J$65,2,0),"")</f>
        <v/>
      </c>
      <c r="AV107" s="79"/>
      <c r="AW107" s="78" t="str">
        <f t="shared" si="12"/>
        <v/>
      </c>
      <c r="AX107" s="77" t="str">
        <f t="shared" si="22"/>
        <v/>
      </c>
      <c r="AY107" s="21" t="str">
        <f>IFERROR(VLOOKUP((CONCATENATE(AM107,AX107)),Listados!$U$3:$V$11,2,FALSE),"")</f>
        <v/>
      </c>
      <c r="AZ107" s="48">
        <f t="shared" si="23"/>
        <v>100</v>
      </c>
      <c r="BA107" s="431"/>
      <c r="BB107" s="433"/>
      <c r="BC107" s="169">
        <f>+IF(AND(W107="Preventivo",BB103="Fuerte"),2,IF(AND(W107="Preventivo",BB103="Moderado"),1,0))</f>
        <v>0</v>
      </c>
      <c r="BD107" s="64">
        <f>+IF(AND(W107="Detectivo/Correctivo",$BB103="Fuerte"),2,IF(AND(W107="Detectivo/Correctivo",$BB107="Moderado"),1,IF(AND(W107="Preventivo",$BB103="Fuerte"),1,0)))</f>
        <v>0</v>
      </c>
      <c r="BE107" s="169" t="e">
        <f>+N103-BC107</f>
        <v>#N/A</v>
      </c>
      <c r="BF107" s="169" t="e">
        <f>+P103-BD107</f>
        <v>#N/A</v>
      </c>
      <c r="BG107" s="422"/>
      <c r="BH107" s="422"/>
      <c r="BI107" s="422"/>
      <c r="BJ107" s="645"/>
      <c r="BK107" s="645"/>
      <c r="BL107" s="645"/>
      <c r="BM107" s="645"/>
    </row>
    <row r="108" spans="1:65" ht="65.099999999999994" customHeight="1" thickBot="1">
      <c r="A108" s="406"/>
      <c r="B108" s="625"/>
      <c r="C108" s="441"/>
      <c r="D108" s="106"/>
      <c r="E108" s="106"/>
      <c r="F108" s="619"/>
      <c r="G108" s="444"/>
      <c r="H108" s="100"/>
      <c r="I108" s="128"/>
      <c r="J108" s="100"/>
      <c r="K108" s="31"/>
      <c r="L108" s="129"/>
      <c r="M108" s="446"/>
      <c r="N108" s="426"/>
      <c r="O108" s="428"/>
      <c r="P108" s="426"/>
      <c r="Q108" s="429"/>
      <c r="R108" s="423"/>
      <c r="S108" s="150"/>
      <c r="T108" s="98"/>
      <c r="U108" s="47" t="s">
        <v>627</v>
      </c>
      <c r="V108" s="172"/>
      <c r="W108" s="172"/>
      <c r="X108" s="172"/>
      <c r="Y108" s="95" t="str">
        <f t="shared" si="13"/>
        <v/>
      </c>
      <c r="Z108" s="172"/>
      <c r="AA108" s="95" t="str">
        <f t="shared" si="14"/>
        <v/>
      </c>
      <c r="AB108" s="150"/>
      <c r="AC108" s="95" t="str">
        <f t="shared" si="15"/>
        <v/>
      </c>
      <c r="AD108" s="150"/>
      <c r="AE108" s="95" t="str">
        <f t="shared" si="16"/>
        <v/>
      </c>
      <c r="AF108" s="150"/>
      <c r="AG108" s="95" t="str">
        <f t="shared" si="17"/>
        <v/>
      </c>
      <c r="AH108" s="150"/>
      <c r="AI108" s="95" t="str">
        <f t="shared" si="18"/>
        <v/>
      </c>
      <c r="AJ108" s="150"/>
      <c r="AK108" s="27" t="str">
        <f t="shared" si="19"/>
        <v/>
      </c>
      <c r="AL108" s="48" t="str">
        <f t="shared" si="20"/>
        <v/>
      </c>
      <c r="AM108" s="48" t="str">
        <f t="shared" si="21"/>
        <v/>
      </c>
      <c r="AN108" s="196"/>
      <c r="AO108" s="196"/>
      <c r="AP108" s="196"/>
      <c r="AQ108" s="196"/>
      <c r="AR108" s="196"/>
      <c r="AS108" s="196"/>
      <c r="AT108" s="196"/>
      <c r="AU108" s="197" t="str">
        <f>IFERROR(VLOOKUP(AT108,'Seguridad Información'!$I$61:$J$65,2,0),"")</f>
        <v/>
      </c>
      <c r="AV108" s="79"/>
      <c r="AW108" s="78" t="str">
        <f t="shared" si="12"/>
        <v/>
      </c>
      <c r="AX108" s="77" t="str">
        <f t="shared" si="22"/>
        <v/>
      </c>
      <c r="AY108" s="21" t="str">
        <f>IFERROR(VLOOKUP((CONCATENATE(AM108,AX108)),Listados!$U$3:$V$11,2,FALSE),"")</f>
        <v/>
      </c>
      <c r="AZ108" s="48">
        <f t="shared" si="23"/>
        <v>100</v>
      </c>
      <c r="BA108" s="432"/>
      <c r="BB108" s="433"/>
      <c r="BC108" s="169">
        <f>+IF(AND(W108="Preventivo",BB103="Fuerte"),2,IF(AND(W108="Preventivo",BB103="Moderado"),1,0))</f>
        <v>0</v>
      </c>
      <c r="BD108" s="64">
        <f>+IF(AND(W108="Detectivo/Correctivo",$BB103="Fuerte"),2,IF(AND(W108="Detectivo/Correctivo",$BB108="Moderado"),1,IF(AND(W108="Preventivo",$BB103="Fuerte"),1,0)))</f>
        <v>0</v>
      </c>
      <c r="BE108" s="169" t="e">
        <f>+N103-BC108</f>
        <v>#N/A</v>
      </c>
      <c r="BF108" s="169" t="e">
        <f>+P103-BD108</f>
        <v>#N/A</v>
      </c>
      <c r="BG108" s="423"/>
      <c r="BH108" s="423"/>
      <c r="BI108" s="423"/>
      <c r="BJ108" s="646"/>
      <c r="BK108" s="646"/>
      <c r="BL108" s="646"/>
      <c r="BM108" s="646"/>
    </row>
    <row r="109" spans="1:65" ht="65.099999999999994" customHeight="1" thickBot="1">
      <c r="A109" s="404">
        <v>18</v>
      </c>
      <c r="B109" s="628"/>
      <c r="C109" s="447" t="str">
        <f>IFERROR(VLOOKUP(B109,Listados!B$3:C$20,2,FALSE),"")</f>
        <v/>
      </c>
      <c r="D109" s="107"/>
      <c r="E109" s="107"/>
      <c r="F109" s="618"/>
      <c r="G109" s="448"/>
      <c r="H109" s="100"/>
      <c r="I109" s="128"/>
      <c r="J109" s="100"/>
      <c r="K109" s="103"/>
      <c r="L109" s="17"/>
      <c r="M109" s="445"/>
      <c r="N109" s="424" t="e">
        <f>+VLOOKUP(M109,Listados!$K$8:$L$12,2,0)</f>
        <v>#N/A</v>
      </c>
      <c r="O109" s="427"/>
      <c r="P109" s="424" t="e">
        <f>+VLOOKUP(O109,Listados!$K$13:$L$17,2,0)</f>
        <v>#N/A</v>
      </c>
      <c r="Q109" s="423" t="str">
        <f>IF(AND(M109&lt;&gt;"",O109&lt;&gt;""),VLOOKUP(M109&amp;O109,Listados!$M$3:$N$27,2,FALSE),"")</f>
        <v/>
      </c>
      <c r="R109" s="421" t="e">
        <f>+VLOOKUP(Q109,Listados!$P$3:$Q$6,2,FALSE)</f>
        <v>#N/A</v>
      </c>
      <c r="S109" s="150"/>
      <c r="T109" s="94"/>
      <c r="U109" s="47" t="s">
        <v>627</v>
      </c>
      <c r="V109" s="172"/>
      <c r="W109" s="172"/>
      <c r="X109" s="172"/>
      <c r="Y109" s="95" t="str">
        <f t="shared" si="13"/>
        <v/>
      </c>
      <c r="Z109" s="172"/>
      <c r="AA109" s="95" t="str">
        <f t="shared" si="14"/>
        <v/>
      </c>
      <c r="AB109" s="150"/>
      <c r="AC109" s="95" t="str">
        <f t="shared" si="15"/>
        <v/>
      </c>
      <c r="AD109" s="150"/>
      <c r="AE109" s="95" t="str">
        <f t="shared" si="16"/>
        <v/>
      </c>
      <c r="AF109" s="150"/>
      <c r="AG109" s="95" t="str">
        <f t="shared" si="17"/>
        <v/>
      </c>
      <c r="AH109" s="150"/>
      <c r="AI109" s="95" t="str">
        <f t="shared" si="18"/>
        <v/>
      </c>
      <c r="AJ109" s="150"/>
      <c r="AK109" s="27" t="str">
        <f t="shared" si="19"/>
        <v/>
      </c>
      <c r="AL109" s="48" t="str">
        <f t="shared" si="20"/>
        <v/>
      </c>
      <c r="AM109" s="48" t="str">
        <f t="shared" si="21"/>
        <v/>
      </c>
      <c r="AN109" s="196"/>
      <c r="AO109" s="196"/>
      <c r="AP109" s="196"/>
      <c r="AQ109" s="196"/>
      <c r="AR109" s="196"/>
      <c r="AS109" s="196"/>
      <c r="AT109" s="196"/>
      <c r="AU109" s="197" t="str">
        <f>IFERROR(VLOOKUP(AT109,'Seguridad Información'!$I$61:$J$65,2,0),"")</f>
        <v/>
      </c>
      <c r="AV109" s="79"/>
      <c r="AW109" s="78" t="str">
        <f t="shared" si="12"/>
        <v/>
      </c>
      <c r="AX109" s="77" t="str">
        <f t="shared" si="22"/>
        <v/>
      </c>
      <c r="AY109" s="21" t="str">
        <f>IFERROR(VLOOKUP((CONCATENATE(AM109,AX109)),Listados!$U$3:$V$11,2,FALSE),"")</f>
        <v/>
      </c>
      <c r="AZ109" s="48">
        <f t="shared" si="23"/>
        <v>100</v>
      </c>
      <c r="BA109" s="430">
        <f>AVERAGE(AZ109:AZ114)</f>
        <v>100</v>
      </c>
      <c r="BB109" s="432" t="str">
        <f>IF(BA109&lt;=50, "Débil", IF(BA109&lt;=99,"Moderado","Fuerte"))</f>
        <v>Fuerte</v>
      </c>
      <c r="BC109" s="169">
        <f>+IF(AND(W109="Preventivo",BB109="Fuerte"),2,IF(AND(W109="Preventivo",BB109="Moderado"),1,0))</f>
        <v>0</v>
      </c>
      <c r="BD109" s="64">
        <f>+IF(AND(W109="Detectivo/Correctivo",$BB109="Fuerte"),2,IF(AND(W109="Detectivo/Correctivo",$BB109="Moderado"),1,IF(AND(W109="Preventivo",$BB109="Fuerte"),1,0)))</f>
        <v>0</v>
      </c>
      <c r="BE109" s="169" t="e">
        <f>+N109-BC109</f>
        <v>#N/A</v>
      </c>
      <c r="BF109" s="169" t="e">
        <f>+P109-BD109</f>
        <v>#N/A</v>
      </c>
      <c r="BG109" s="421" t="e">
        <f>+VLOOKUP(MIN(BE109,BE110,BE111,BE112,BE113,BE114),Listados!$J$18:$K$24,2,TRUE)</f>
        <v>#N/A</v>
      </c>
      <c r="BH109" s="421" t="e">
        <f>+VLOOKUP(MIN(BF109,BF110,BF111,BF112,BF113,BF114),Listados!$J$27:$K$32,2,TRUE)</f>
        <v>#N/A</v>
      </c>
      <c r="BI109" s="421" t="e">
        <f>IF(AND(BG109&lt;&gt;"",BH109&lt;&gt;""),VLOOKUP(BG109&amp;BH109,Listados!$M$3:$N$27,2,FALSE),"")</f>
        <v>#N/A</v>
      </c>
      <c r="BJ109" s="644" t="e">
        <f>+IF($R109="Asumir el riesgo","NA","")</f>
        <v>#N/A</v>
      </c>
      <c r="BK109" s="644" t="e">
        <f>+IF($R109="Asumir el riesgo","NA","")</f>
        <v>#N/A</v>
      </c>
      <c r="BL109" s="644" t="e">
        <f>+IF($R109="Asumir el riesgo","NA","")</f>
        <v>#N/A</v>
      </c>
      <c r="BM109" s="644" t="e">
        <f>+IF($R109="Asumir el riesgo","NA","")</f>
        <v>#N/A</v>
      </c>
    </row>
    <row r="110" spans="1:65" ht="65.099999999999994" customHeight="1" thickBot="1">
      <c r="A110" s="405"/>
      <c r="B110" s="625"/>
      <c r="C110" s="440"/>
      <c r="D110" s="152"/>
      <c r="E110" s="152"/>
      <c r="F110" s="475"/>
      <c r="G110" s="443"/>
      <c r="H110" s="100"/>
      <c r="I110" s="128"/>
      <c r="J110" s="100"/>
      <c r="K110" s="147"/>
      <c r="L110" s="129"/>
      <c r="M110" s="446"/>
      <c r="N110" s="425"/>
      <c r="O110" s="428"/>
      <c r="P110" s="425"/>
      <c r="Q110" s="429"/>
      <c r="R110" s="422"/>
      <c r="S110" s="150"/>
      <c r="T110" s="198"/>
      <c r="U110" s="47" t="s">
        <v>627</v>
      </c>
      <c r="V110" s="172"/>
      <c r="W110" s="172"/>
      <c r="X110" s="172"/>
      <c r="Y110" s="95" t="str">
        <f t="shared" si="13"/>
        <v/>
      </c>
      <c r="Z110" s="172"/>
      <c r="AA110" s="95" t="str">
        <f t="shared" si="14"/>
        <v/>
      </c>
      <c r="AB110" s="150"/>
      <c r="AC110" s="95" t="str">
        <f t="shared" si="15"/>
        <v/>
      </c>
      <c r="AD110" s="150"/>
      <c r="AE110" s="95" t="str">
        <f t="shared" si="16"/>
        <v/>
      </c>
      <c r="AF110" s="150"/>
      <c r="AG110" s="95" t="str">
        <f t="shared" si="17"/>
        <v/>
      </c>
      <c r="AH110" s="150"/>
      <c r="AI110" s="95" t="str">
        <f t="shared" si="18"/>
        <v/>
      </c>
      <c r="AJ110" s="150"/>
      <c r="AK110" s="27" t="str">
        <f t="shared" si="19"/>
        <v/>
      </c>
      <c r="AL110" s="48" t="str">
        <f t="shared" si="20"/>
        <v/>
      </c>
      <c r="AM110" s="48" t="str">
        <f t="shared" si="21"/>
        <v/>
      </c>
      <c r="AN110" s="196"/>
      <c r="AO110" s="196"/>
      <c r="AP110" s="196"/>
      <c r="AQ110" s="196"/>
      <c r="AR110" s="196"/>
      <c r="AS110" s="196"/>
      <c r="AT110" s="196"/>
      <c r="AU110" s="197" t="str">
        <f>IFERROR(VLOOKUP(AT110,'Seguridad Información'!$I$61:$J$65,2,0),"")</f>
        <v/>
      </c>
      <c r="AV110" s="79"/>
      <c r="AW110" s="78" t="str">
        <f t="shared" si="12"/>
        <v/>
      </c>
      <c r="AX110" s="77" t="str">
        <f t="shared" si="22"/>
        <v/>
      </c>
      <c r="AY110" s="21" t="str">
        <f>IFERROR(VLOOKUP((CONCATENATE(AM110,AX110)),Listados!$U$3:$V$11,2,FALSE),"")</f>
        <v/>
      </c>
      <c r="AZ110" s="48">
        <f t="shared" si="23"/>
        <v>100</v>
      </c>
      <c r="BA110" s="431"/>
      <c r="BB110" s="433"/>
      <c r="BC110" s="169">
        <f>+IF(AND(W110="Preventivo",BB109="Fuerte"),2,IF(AND(W110="Preventivo",BB109="Moderado"),1,0))</f>
        <v>0</v>
      </c>
      <c r="BD110" s="64">
        <f>+IF(AND(W110="Detectivo/Correctivo",$BB109="Fuerte"),2,IF(AND(W110="Detectivo/Correctivo",$BB110="Moderado"),1,IF(AND(W110="Preventivo",$BB109="Fuerte"),1,0)))</f>
        <v>0</v>
      </c>
      <c r="BE110" s="169" t="e">
        <f>+N109-BC110</f>
        <v>#N/A</v>
      </c>
      <c r="BF110" s="169" t="e">
        <f>+P109-BD110</f>
        <v>#N/A</v>
      </c>
      <c r="BG110" s="422"/>
      <c r="BH110" s="422"/>
      <c r="BI110" s="422"/>
      <c r="BJ110" s="645"/>
      <c r="BK110" s="645"/>
      <c r="BL110" s="645"/>
      <c r="BM110" s="645"/>
    </row>
    <row r="111" spans="1:65" ht="65.099999999999994" customHeight="1" thickBot="1">
      <c r="A111" s="405"/>
      <c r="B111" s="625"/>
      <c r="C111" s="440"/>
      <c r="D111" s="152"/>
      <c r="E111" s="152"/>
      <c r="F111" s="475"/>
      <c r="G111" s="443"/>
      <c r="H111" s="100"/>
      <c r="I111" s="128"/>
      <c r="J111" s="100"/>
      <c r="K111" s="147"/>
      <c r="L111" s="129"/>
      <c r="M111" s="446"/>
      <c r="N111" s="425"/>
      <c r="O111" s="428"/>
      <c r="P111" s="425"/>
      <c r="Q111" s="429"/>
      <c r="R111" s="422"/>
      <c r="S111" s="150"/>
      <c r="T111" s="96"/>
      <c r="U111" s="47" t="s">
        <v>627</v>
      </c>
      <c r="V111" s="172"/>
      <c r="W111" s="172"/>
      <c r="X111" s="172"/>
      <c r="Y111" s="95" t="str">
        <f t="shared" si="13"/>
        <v/>
      </c>
      <c r="Z111" s="172"/>
      <c r="AA111" s="95" t="str">
        <f t="shared" si="14"/>
        <v/>
      </c>
      <c r="AB111" s="150"/>
      <c r="AC111" s="95" t="str">
        <f t="shared" si="15"/>
        <v/>
      </c>
      <c r="AD111" s="150"/>
      <c r="AE111" s="95" t="str">
        <f t="shared" si="16"/>
        <v/>
      </c>
      <c r="AF111" s="150"/>
      <c r="AG111" s="95" t="str">
        <f t="shared" si="17"/>
        <v/>
      </c>
      <c r="AH111" s="150"/>
      <c r="AI111" s="95" t="str">
        <f t="shared" si="18"/>
        <v/>
      </c>
      <c r="AJ111" s="150"/>
      <c r="AK111" s="27" t="str">
        <f t="shared" si="19"/>
        <v/>
      </c>
      <c r="AL111" s="48" t="str">
        <f t="shared" si="20"/>
        <v/>
      </c>
      <c r="AM111" s="48" t="str">
        <f t="shared" si="21"/>
        <v/>
      </c>
      <c r="AN111" s="196"/>
      <c r="AO111" s="196"/>
      <c r="AP111" s="196"/>
      <c r="AQ111" s="196"/>
      <c r="AR111" s="196"/>
      <c r="AS111" s="196"/>
      <c r="AT111" s="196"/>
      <c r="AU111" s="197" t="str">
        <f>IFERROR(VLOOKUP(AT111,'Seguridad Información'!$I$61:$J$65,2,0),"")</f>
        <v/>
      </c>
      <c r="AV111" s="79"/>
      <c r="AW111" s="78" t="str">
        <f t="shared" si="12"/>
        <v/>
      </c>
      <c r="AX111" s="77" t="str">
        <f t="shared" si="22"/>
        <v/>
      </c>
      <c r="AY111" s="21" t="str">
        <f>IFERROR(VLOOKUP((CONCATENATE(AM111,AX111)),Listados!$U$3:$V$11,2,FALSE),"")</f>
        <v/>
      </c>
      <c r="AZ111" s="48">
        <f t="shared" si="23"/>
        <v>100</v>
      </c>
      <c r="BA111" s="431"/>
      <c r="BB111" s="433"/>
      <c r="BC111" s="169">
        <f>+IF(AND(W111="Preventivo",BB109="Fuerte"),2,IF(AND(W111="Preventivo",BB109="Moderado"),1,0))</f>
        <v>0</v>
      </c>
      <c r="BD111" s="64">
        <f>+IF(AND(W111="Detectivo/Correctivo",$BB109="Fuerte"),2,IF(AND(W111="Detectivo/Correctivo",$BB111="Moderado"),1,IF(AND(W111="Preventivo",$BB109="Fuerte"),1,0)))</f>
        <v>0</v>
      </c>
      <c r="BE111" s="169" t="e">
        <f>+N109-BC111</f>
        <v>#N/A</v>
      </c>
      <c r="BF111" s="169" t="e">
        <f>+P109-BD111</f>
        <v>#N/A</v>
      </c>
      <c r="BG111" s="422"/>
      <c r="BH111" s="422"/>
      <c r="BI111" s="422"/>
      <c r="BJ111" s="645"/>
      <c r="BK111" s="645"/>
      <c r="BL111" s="645"/>
      <c r="BM111" s="645"/>
    </row>
    <row r="112" spans="1:65" ht="65.099999999999994" customHeight="1" thickBot="1">
      <c r="A112" s="405"/>
      <c r="B112" s="625"/>
      <c r="C112" s="440"/>
      <c r="D112" s="152"/>
      <c r="E112" s="152"/>
      <c r="F112" s="475"/>
      <c r="G112" s="443"/>
      <c r="H112" s="100"/>
      <c r="I112" s="128"/>
      <c r="J112" s="100"/>
      <c r="K112" s="147"/>
      <c r="L112" s="129"/>
      <c r="M112" s="446"/>
      <c r="N112" s="425"/>
      <c r="O112" s="428"/>
      <c r="P112" s="425"/>
      <c r="Q112" s="429"/>
      <c r="R112" s="422"/>
      <c r="S112" s="150"/>
      <c r="T112" s="97"/>
      <c r="U112" s="47" t="s">
        <v>627</v>
      </c>
      <c r="V112" s="172"/>
      <c r="W112" s="172"/>
      <c r="X112" s="172"/>
      <c r="Y112" s="95" t="str">
        <f t="shared" si="13"/>
        <v/>
      </c>
      <c r="Z112" s="172"/>
      <c r="AA112" s="95" t="str">
        <f t="shared" si="14"/>
        <v/>
      </c>
      <c r="AB112" s="150"/>
      <c r="AC112" s="95" t="str">
        <f t="shared" si="15"/>
        <v/>
      </c>
      <c r="AD112" s="150"/>
      <c r="AE112" s="95" t="str">
        <f t="shared" si="16"/>
        <v/>
      </c>
      <c r="AF112" s="150"/>
      <c r="AG112" s="95" t="str">
        <f t="shared" si="17"/>
        <v/>
      </c>
      <c r="AH112" s="150"/>
      <c r="AI112" s="95" t="str">
        <f t="shared" si="18"/>
        <v/>
      </c>
      <c r="AJ112" s="150"/>
      <c r="AK112" s="27" t="str">
        <f t="shared" si="19"/>
        <v/>
      </c>
      <c r="AL112" s="48" t="str">
        <f t="shared" si="20"/>
        <v/>
      </c>
      <c r="AM112" s="48" t="str">
        <f t="shared" si="21"/>
        <v/>
      </c>
      <c r="AN112" s="196"/>
      <c r="AO112" s="196"/>
      <c r="AP112" s="196"/>
      <c r="AQ112" s="196"/>
      <c r="AR112" s="196"/>
      <c r="AS112" s="196"/>
      <c r="AT112" s="196"/>
      <c r="AU112" s="197" t="str">
        <f>IFERROR(VLOOKUP(AT112,'Seguridad Información'!$I$61:$J$65,2,0),"")</f>
        <v/>
      </c>
      <c r="AV112" s="79"/>
      <c r="AW112" s="78" t="str">
        <f t="shared" si="12"/>
        <v/>
      </c>
      <c r="AX112" s="77" t="str">
        <f t="shared" si="22"/>
        <v/>
      </c>
      <c r="AY112" s="21" t="str">
        <f>IFERROR(VLOOKUP((CONCATENATE(AM112,AX112)),Listados!$U$3:$V$11,2,FALSE),"")</f>
        <v/>
      </c>
      <c r="AZ112" s="48">
        <f t="shared" si="23"/>
        <v>100</v>
      </c>
      <c r="BA112" s="431"/>
      <c r="BB112" s="433"/>
      <c r="BC112" s="169">
        <f>+IF(AND(W112="Preventivo",BB109="Fuerte"),2,IF(AND(W112="Preventivo",BB109="Moderado"),1,0))</f>
        <v>0</v>
      </c>
      <c r="BD112" s="64">
        <f>+IF(AND(W112="Detectivo/Correctivo",$BB109="Fuerte"),2,IF(AND(W112="Detectivo/Correctivo",$BB112="Moderado"),1,IF(AND(W112="Preventivo",$BB109="Fuerte"),1,0)))</f>
        <v>0</v>
      </c>
      <c r="BE112" s="169" t="e">
        <f>+N109-BC112</f>
        <v>#N/A</v>
      </c>
      <c r="BF112" s="169" t="e">
        <f>+P109-BD112</f>
        <v>#N/A</v>
      </c>
      <c r="BG112" s="422"/>
      <c r="BH112" s="422"/>
      <c r="BI112" s="422"/>
      <c r="BJ112" s="645"/>
      <c r="BK112" s="645"/>
      <c r="BL112" s="645"/>
      <c r="BM112" s="645"/>
    </row>
    <row r="113" spans="1:65" ht="65.099999999999994" customHeight="1" thickBot="1">
      <c r="A113" s="405"/>
      <c r="B113" s="625"/>
      <c r="C113" s="440"/>
      <c r="D113" s="109"/>
      <c r="E113" s="109"/>
      <c r="F113" s="475"/>
      <c r="G113" s="443"/>
      <c r="H113" s="100"/>
      <c r="I113" s="128"/>
      <c r="J113" s="100"/>
      <c r="K113" s="29"/>
      <c r="L113" s="129"/>
      <c r="M113" s="446"/>
      <c r="N113" s="425"/>
      <c r="O113" s="428"/>
      <c r="P113" s="425"/>
      <c r="Q113" s="429"/>
      <c r="R113" s="422"/>
      <c r="S113" s="150"/>
      <c r="T113" s="198"/>
      <c r="U113" s="47" t="s">
        <v>627</v>
      </c>
      <c r="V113" s="172"/>
      <c r="W113" s="172"/>
      <c r="X113" s="172"/>
      <c r="Y113" s="95" t="str">
        <f t="shared" si="13"/>
        <v/>
      </c>
      <c r="Z113" s="172"/>
      <c r="AA113" s="95" t="str">
        <f t="shared" si="14"/>
        <v/>
      </c>
      <c r="AB113" s="150"/>
      <c r="AC113" s="95" t="str">
        <f t="shared" si="15"/>
        <v/>
      </c>
      <c r="AD113" s="150"/>
      <c r="AE113" s="95" t="str">
        <f t="shared" si="16"/>
        <v/>
      </c>
      <c r="AF113" s="150"/>
      <c r="AG113" s="95" t="str">
        <f t="shared" si="17"/>
        <v/>
      </c>
      <c r="AH113" s="150"/>
      <c r="AI113" s="95" t="str">
        <f t="shared" si="18"/>
        <v/>
      </c>
      <c r="AJ113" s="150"/>
      <c r="AK113" s="27" t="str">
        <f t="shared" si="19"/>
        <v/>
      </c>
      <c r="AL113" s="48" t="str">
        <f t="shared" si="20"/>
        <v/>
      </c>
      <c r="AM113" s="48" t="str">
        <f t="shared" si="21"/>
        <v/>
      </c>
      <c r="AN113" s="196"/>
      <c r="AO113" s="196"/>
      <c r="AP113" s="196"/>
      <c r="AQ113" s="196"/>
      <c r="AR113" s="196"/>
      <c r="AS113" s="196"/>
      <c r="AT113" s="196"/>
      <c r="AU113" s="197" t="str">
        <f>IFERROR(VLOOKUP(AT113,'Seguridad Información'!$I$61:$J$65,2,0),"")</f>
        <v/>
      </c>
      <c r="AV113" s="79"/>
      <c r="AW113" s="78" t="str">
        <f t="shared" si="12"/>
        <v/>
      </c>
      <c r="AX113" s="77" t="str">
        <f t="shared" si="22"/>
        <v/>
      </c>
      <c r="AY113" s="21" t="str">
        <f>IFERROR(VLOOKUP((CONCATENATE(AM113,AX113)),Listados!$U$3:$V$11,2,FALSE),"")</f>
        <v/>
      </c>
      <c r="AZ113" s="48">
        <f t="shared" si="23"/>
        <v>100</v>
      </c>
      <c r="BA113" s="431"/>
      <c r="BB113" s="433"/>
      <c r="BC113" s="169">
        <f>+IF(AND(W113="Preventivo",BB109="Fuerte"),2,IF(AND(W113="Preventivo",BB109="Moderado"),1,0))</f>
        <v>0</v>
      </c>
      <c r="BD113" s="64">
        <f>+IF(AND(W113="Detectivo/Correctivo",$BB109="Fuerte"),2,IF(AND(W113="Detectivo/Correctivo",$BB113="Moderado"),1,IF(AND(W113="Preventivo",$BB109="Fuerte"),1,0)))</f>
        <v>0</v>
      </c>
      <c r="BE113" s="169" t="e">
        <f>+N109-BC113</f>
        <v>#N/A</v>
      </c>
      <c r="BF113" s="169" t="e">
        <f>+P109-BD113</f>
        <v>#N/A</v>
      </c>
      <c r="BG113" s="422"/>
      <c r="BH113" s="422"/>
      <c r="BI113" s="422"/>
      <c r="BJ113" s="645"/>
      <c r="BK113" s="645"/>
      <c r="BL113" s="645"/>
      <c r="BM113" s="645"/>
    </row>
    <row r="114" spans="1:65" ht="65.099999999999994" customHeight="1" thickBot="1">
      <c r="A114" s="406"/>
      <c r="B114" s="625"/>
      <c r="C114" s="441"/>
      <c r="D114" s="106"/>
      <c r="E114" s="106"/>
      <c r="F114" s="619"/>
      <c r="G114" s="444"/>
      <c r="H114" s="100"/>
      <c r="I114" s="128"/>
      <c r="J114" s="100"/>
      <c r="K114" s="31"/>
      <c r="L114" s="129"/>
      <c r="M114" s="446"/>
      <c r="N114" s="426"/>
      <c r="O114" s="428"/>
      <c r="P114" s="426"/>
      <c r="Q114" s="429"/>
      <c r="R114" s="423"/>
      <c r="S114" s="150"/>
      <c r="T114" s="98"/>
      <c r="U114" s="47" t="s">
        <v>627</v>
      </c>
      <c r="V114" s="172"/>
      <c r="W114" s="172"/>
      <c r="X114" s="172"/>
      <c r="Y114" s="95" t="str">
        <f t="shared" si="13"/>
        <v/>
      </c>
      <c r="Z114" s="172"/>
      <c r="AA114" s="95" t="str">
        <f t="shared" si="14"/>
        <v/>
      </c>
      <c r="AB114" s="150"/>
      <c r="AC114" s="95" t="str">
        <f t="shared" si="15"/>
        <v/>
      </c>
      <c r="AD114" s="150"/>
      <c r="AE114" s="95" t="str">
        <f t="shared" si="16"/>
        <v/>
      </c>
      <c r="AF114" s="150"/>
      <c r="AG114" s="95" t="str">
        <f t="shared" si="17"/>
        <v/>
      </c>
      <c r="AH114" s="150"/>
      <c r="AI114" s="95" t="str">
        <f t="shared" si="18"/>
        <v/>
      </c>
      <c r="AJ114" s="150"/>
      <c r="AK114" s="27" t="str">
        <f t="shared" si="19"/>
        <v/>
      </c>
      <c r="AL114" s="48" t="str">
        <f t="shared" si="20"/>
        <v/>
      </c>
      <c r="AM114" s="48" t="str">
        <f t="shared" si="21"/>
        <v/>
      </c>
      <c r="AN114" s="196"/>
      <c r="AO114" s="196"/>
      <c r="AP114" s="196"/>
      <c r="AQ114" s="196"/>
      <c r="AR114" s="196"/>
      <c r="AS114" s="196"/>
      <c r="AT114" s="196"/>
      <c r="AU114" s="197" t="str">
        <f>IFERROR(VLOOKUP(AT114,'Seguridad Información'!$I$61:$J$65,2,0),"")</f>
        <v/>
      </c>
      <c r="AV114" s="79"/>
      <c r="AW114" s="78" t="str">
        <f t="shared" si="12"/>
        <v/>
      </c>
      <c r="AX114" s="77" t="str">
        <f t="shared" si="22"/>
        <v/>
      </c>
      <c r="AY114" s="21" t="str">
        <f>IFERROR(VLOOKUP((CONCATENATE(AM114,AX114)),Listados!$U$3:$V$11,2,FALSE),"")</f>
        <v/>
      </c>
      <c r="AZ114" s="48">
        <f t="shared" si="23"/>
        <v>100</v>
      </c>
      <c r="BA114" s="432"/>
      <c r="BB114" s="433"/>
      <c r="BC114" s="169">
        <f>+IF(AND(W114="Preventivo",BB109="Fuerte"),2,IF(AND(W114="Preventivo",BB109="Moderado"),1,0))</f>
        <v>0</v>
      </c>
      <c r="BD114" s="64">
        <f>+IF(AND(W114="Detectivo/Correctivo",$BB109="Fuerte"),2,IF(AND(W114="Detectivo/Correctivo",$BB114="Moderado"),1,IF(AND(W114="Preventivo",$BB109="Fuerte"),1,0)))</f>
        <v>0</v>
      </c>
      <c r="BE114" s="169" t="e">
        <f>+N109-BC114</f>
        <v>#N/A</v>
      </c>
      <c r="BF114" s="169" t="e">
        <f>+P109-BD114</f>
        <v>#N/A</v>
      </c>
      <c r="BG114" s="423"/>
      <c r="BH114" s="423"/>
      <c r="BI114" s="423"/>
      <c r="BJ114" s="646"/>
      <c r="BK114" s="646"/>
      <c r="BL114" s="646"/>
      <c r="BM114" s="646"/>
    </row>
    <row r="115" spans="1:65" ht="65.099999999999994" customHeight="1" thickBot="1">
      <c r="A115" s="404">
        <v>19</v>
      </c>
      <c r="B115" s="628"/>
      <c r="C115" s="447" t="str">
        <f>IFERROR(VLOOKUP(B115,Listados!B$3:C$20,2,FALSE),"")</f>
        <v/>
      </c>
      <c r="D115" s="107"/>
      <c r="E115" s="107"/>
      <c r="F115" s="618"/>
      <c r="G115" s="448"/>
      <c r="H115" s="100"/>
      <c r="I115" s="128"/>
      <c r="J115" s="100"/>
      <c r="K115" s="103"/>
      <c r="L115" s="17"/>
      <c r="M115" s="445"/>
      <c r="N115" s="424" t="e">
        <f>+VLOOKUP(M115,Listados!$K$8:$L$12,2,0)</f>
        <v>#N/A</v>
      </c>
      <c r="O115" s="427"/>
      <c r="P115" s="424" t="e">
        <f>+VLOOKUP(O115,Listados!$K$13:$L$17,2,0)</f>
        <v>#N/A</v>
      </c>
      <c r="Q115" s="423" t="str">
        <f>IF(AND(M115&lt;&gt;"",O115&lt;&gt;""),VLOOKUP(M115&amp;O115,Listados!$M$3:$N$27,2,FALSE),"")</f>
        <v/>
      </c>
      <c r="R115" s="421" t="e">
        <f>+VLOOKUP(Q115,Listados!$P$3:$Q$6,2,FALSE)</f>
        <v>#N/A</v>
      </c>
      <c r="S115" s="150"/>
      <c r="T115" s="94"/>
      <c r="U115" s="47" t="s">
        <v>627</v>
      </c>
      <c r="V115" s="172"/>
      <c r="W115" s="172"/>
      <c r="X115" s="172"/>
      <c r="Y115" s="95" t="str">
        <f t="shared" si="13"/>
        <v/>
      </c>
      <c r="Z115" s="172"/>
      <c r="AA115" s="95" t="str">
        <f t="shared" si="14"/>
        <v/>
      </c>
      <c r="AB115" s="150"/>
      <c r="AC115" s="95" t="str">
        <f t="shared" si="15"/>
        <v/>
      </c>
      <c r="AD115" s="150"/>
      <c r="AE115" s="95" t="str">
        <f t="shared" si="16"/>
        <v/>
      </c>
      <c r="AF115" s="150"/>
      <c r="AG115" s="95" t="str">
        <f t="shared" si="17"/>
        <v/>
      </c>
      <c r="AH115" s="150"/>
      <c r="AI115" s="95" t="str">
        <f t="shared" si="18"/>
        <v/>
      </c>
      <c r="AJ115" s="150"/>
      <c r="AK115" s="27" t="str">
        <f t="shared" si="19"/>
        <v/>
      </c>
      <c r="AL115" s="48" t="str">
        <f t="shared" si="20"/>
        <v/>
      </c>
      <c r="AM115" s="48" t="str">
        <f t="shared" si="21"/>
        <v/>
      </c>
      <c r="AN115" s="196"/>
      <c r="AO115" s="196"/>
      <c r="AP115" s="196"/>
      <c r="AQ115" s="196"/>
      <c r="AR115" s="196"/>
      <c r="AS115" s="196"/>
      <c r="AT115" s="196"/>
      <c r="AU115" s="197" t="str">
        <f>IFERROR(VLOOKUP(AT115,'Seguridad Información'!$I$61:$J$65,2,0),"")</f>
        <v/>
      </c>
      <c r="AV115" s="79"/>
      <c r="AW115" s="78" t="str">
        <f t="shared" si="12"/>
        <v/>
      </c>
      <c r="AX115" s="77" t="str">
        <f t="shared" si="22"/>
        <v/>
      </c>
      <c r="AY115" s="21" t="str">
        <f>IFERROR(VLOOKUP((CONCATENATE(AM115,AX115)),Listados!$U$3:$V$11,2,FALSE),"")</f>
        <v/>
      </c>
      <c r="AZ115" s="48">
        <f t="shared" si="23"/>
        <v>100</v>
      </c>
      <c r="BA115" s="430">
        <f>AVERAGE(AZ115:AZ120)</f>
        <v>100</v>
      </c>
      <c r="BB115" s="432" t="str">
        <f>IF(BA115&lt;=50, "Débil", IF(BA115&lt;=99,"Moderado","Fuerte"))</f>
        <v>Fuerte</v>
      </c>
      <c r="BC115" s="169">
        <f>+IF(AND(W115="Preventivo",BB115="Fuerte"),2,IF(AND(W115="Preventivo",BB115="Moderado"),1,0))</f>
        <v>0</v>
      </c>
      <c r="BD115" s="64">
        <f>+IF(AND(W115="Detectivo/Correctivo",$BB115="Fuerte"),2,IF(AND(W115="Detectivo/Correctivo",$BB115="Moderado"),1,IF(AND(W115="Preventivo",$BB115="Fuerte"),1,0)))</f>
        <v>0</v>
      </c>
      <c r="BE115" s="169" t="e">
        <f>+N115-BC115</f>
        <v>#N/A</v>
      </c>
      <c r="BF115" s="169" t="e">
        <f>+P115-BD115</f>
        <v>#N/A</v>
      </c>
      <c r="BG115" s="421" t="e">
        <f>+VLOOKUP(MIN(BE115,BE116,BE117,BE118,BE119,BE120),Listados!$J$18:$K$24,2,TRUE)</f>
        <v>#N/A</v>
      </c>
      <c r="BH115" s="421" t="e">
        <f>+VLOOKUP(MIN(BF115,BF116,BF117,BF118,BF119,BF120),Listados!$J$27:$K$32,2,TRUE)</f>
        <v>#N/A</v>
      </c>
      <c r="BI115" s="421" t="e">
        <f>IF(AND(BG115&lt;&gt;"",BH115&lt;&gt;""),VLOOKUP(BG115&amp;BH115,Listados!$M$3:$N$27,2,FALSE),"")</f>
        <v>#N/A</v>
      </c>
      <c r="BJ115" s="644" t="e">
        <f>+IF($R115="Asumir el riesgo","NA","")</f>
        <v>#N/A</v>
      </c>
      <c r="BK115" s="644" t="e">
        <f>+IF($R115="Asumir el riesgo","NA","")</f>
        <v>#N/A</v>
      </c>
      <c r="BL115" s="644" t="e">
        <f>+IF($R115="Asumir el riesgo","NA","")</f>
        <v>#N/A</v>
      </c>
      <c r="BM115" s="644" t="e">
        <f>+IF($R115="Asumir el riesgo","NA","")</f>
        <v>#N/A</v>
      </c>
    </row>
    <row r="116" spans="1:65" ht="65.099999999999994" customHeight="1" thickBot="1">
      <c r="A116" s="405"/>
      <c r="B116" s="625"/>
      <c r="C116" s="440"/>
      <c r="D116" s="152"/>
      <c r="E116" s="152"/>
      <c r="F116" s="475"/>
      <c r="G116" s="443"/>
      <c r="H116" s="100"/>
      <c r="I116" s="128"/>
      <c r="J116" s="100"/>
      <c r="K116" s="147"/>
      <c r="L116" s="129"/>
      <c r="M116" s="446"/>
      <c r="N116" s="425"/>
      <c r="O116" s="428"/>
      <c r="P116" s="425"/>
      <c r="Q116" s="429"/>
      <c r="R116" s="422"/>
      <c r="S116" s="150"/>
      <c r="T116" s="198"/>
      <c r="U116" s="47" t="s">
        <v>627</v>
      </c>
      <c r="V116" s="172"/>
      <c r="W116" s="172"/>
      <c r="X116" s="172"/>
      <c r="Y116" s="95" t="str">
        <f t="shared" si="13"/>
        <v/>
      </c>
      <c r="Z116" s="172"/>
      <c r="AA116" s="95" t="str">
        <f t="shared" si="14"/>
        <v/>
      </c>
      <c r="AB116" s="150"/>
      <c r="AC116" s="95" t="str">
        <f t="shared" si="15"/>
        <v/>
      </c>
      <c r="AD116" s="150"/>
      <c r="AE116" s="95" t="str">
        <f t="shared" si="16"/>
        <v/>
      </c>
      <c r="AF116" s="150"/>
      <c r="AG116" s="95" t="str">
        <f t="shared" si="17"/>
        <v/>
      </c>
      <c r="AH116" s="150"/>
      <c r="AI116" s="95" t="str">
        <f t="shared" si="18"/>
        <v/>
      </c>
      <c r="AJ116" s="150"/>
      <c r="AK116" s="27" t="str">
        <f t="shared" si="19"/>
        <v/>
      </c>
      <c r="AL116" s="48" t="str">
        <f t="shared" si="20"/>
        <v/>
      </c>
      <c r="AM116" s="48" t="str">
        <f t="shared" si="21"/>
        <v/>
      </c>
      <c r="AN116" s="196"/>
      <c r="AO116" s="196"/>
      <c r="AP116" s="196"/>
      <c r="AQ116" s="196"/>
      <c r="AR116" s="196"/>
      <c r="AS116" s="196"/>
      <c r="AT116" s="196"/>
      <c r="AU116" s="197" t="str">
        <f>IFERROR(VLOOKUP(AT116,'Seguridad Información'!$I$61:$J$65,2,0),"")</f>
        <v/>
      </c>
      <c r="AV116" s="79"/>
      <c r="AW116" s="78" t="str">
        <f t="shared" si="12"/>
        <v/>
      </c>
      <c r="AX116" s="77" t="str">
        <f t="shared" si="22"/>
        <v/>
      </c>
      <c r="AY116" s="21" t="str">
        <f>IFERROR(VLOOKUP((CONCATENATE(AM116,AX116)),Listados!$U$3:$V$11,2,FALSE),"")</f>
        <v/>
      </c>
      <c r="AZ116" s="48">
        <f t="shared" si="23"/>
        <v>100</v>
      </c>
      <c r="BA116" s="431"/>
      <c r="BB116" s="433"/>
      <c r="BC116" s="169">
        <f>+IF(AND(W116="Preventivo",BB115="Fuerte"),2,IF(AND(W116="Preventivo",BB115="Moderado"),1,0))</f>
        <v>0</v>
      </c>
      <c r="BD116" s="64">
        <f>+IF(AND(W116="Detectivo/Correctivo",$BB115="Fuerte"),2,IF(AND(W116="Detectivo/Correctivo",$BB116="Moderado"),1,IF(AND(W116="Preventivo",$BB115="Fuerte"),1,0)))</f>
        <v>0</v>
      </c>
      <c r="BE116" s="169" t="e">
        <f>+N115-BC116</f>
        <v>#N/A</v>
      </c>
      <c r="BF116" s="169" t="e">
        <f>+P115-BD116</f>
        <v>#N/A</v>
      </c>
      <c r="BG116" s="422"/>
      <c r="BH116" s="422"/>
      <c r="BI116" s="422"/>
      <c r="BJ116" s="645"/>
      <c r="BK116" s="645"/>
      <c r="BL116" s="645"/>
      <c r="BM116" s="645"/>
    </row>
    <row r="117" spans="1:65" ht="65.099999999999994" customHeight="1" thickBot="1">
      <c r="A117" s="405"/>
      <c r="B117" s="625"/>
      <c r="C117" s="440"/>
      <c r="D117" s="152"/>
      <c r="E117" s="152"/>
      <c r="F117" s="475"/>
      <c r="G117" s="443"/>
      <c r="H117" s="100"/>
      <c r="I117" s="128"/>
      <c r="J117" s="100"/>
      <c r="K117" s="147"/>
      <c r="L117" s="129"/>
      <c r="M117" s="446"/>
      <c r="N117" s="425"/>
      <c r="O117" s="428"/>
      <c r="P117" s="425"/>
      <c r="Q117" s="429"/>
      <c r="R117" s="422"/>
      <c r="S117" s="150"/>
      <c r="T117" s="96"/>
      <c r="U117" s="47" t="s">
        <v>627</v>
      </c>
      <c r="V117" s="172"/>
      <c r="W117" s="172"/>
      <c r="X117" s="172"/>
      <c r="Y117" s="95" t="str">
        <f t="shared" si="13"/>
        <v/>
      </c>
      <c r="Z117" s="172"/>
      <c r="AA117" s="95" t="str">
        <f t="shared" si="14"/>
        <v/>
      </c>
      <c r="AB117" s="150"/>
      <c r="AC117" s="95" t="str">
        <f t="shared" si="15"/>
        <v/>
      </c>
      <c r="AD117" s="150"/>
      <c r="AE117" s="95" t="str">
        <f t="shared" si="16"/>
        <v/>
      </c>
      <c r="AF117" s="150"/>
      <c r="AG117" s="95" t="str">
        <f t="shared" si="17"/>
        <v/>
      </c>
      <c r="AH117" s="150"/>
      <c r="AI117" s="95" t="str">
        <f t="shared" si="18"/>
        <v/>
      </c>
      <c r="AJ117" s="150"/>
      <c r="AK117" s="27" t="str">
        <f t="shared" si="19"/>
        <v/>
      </c>
      <c r="AL117" s="48" t="str">
        <f t="shared" si="20"/>
        <v/>
      </c>
      <c r="AM117" s="48" t="str">
        <f t="shared" si="21"/>
        <v/>
      </c>
      <c r="AN117" s="196"/>
      <c r="AO117" s="196"/>
      <c r="AP117" s="196"/>
      <c r="AQ117" s="196"/>
      <c r="AR117" s="196"/>
      <c r="AS117" s="196"/>
      <c r="AT117" s="196"/>
      <c r="AU117" s="197" t="str">
        <f>IFERROR(VLOOKUP(AT117,'Seguridad Información'!$I$61:$J$65,2,0),"")</f>
        <v/>
      </c>
      <c r="AV117" s="79"/>
      <c r="AW117" s="78" t="str">
        <f t="shared" si="12"/>
        <v/>
      </c>
      <c r="AX117" s="77" t="str">
        <f t="shared" si="22"/>
        <v/>
      </c>
      <c r="AY117" s="21" t="str">
        <f>IFERROR(VLOOKUP((CONCATENATE(AM117,AX117)),Listados!$U$3:$V$11,2,FALSE),"")</f>
        <v/>
      </c>
      <c r="AZ117" s="48">
        <f t="shared" si="23"/>
        <v>100</v>
      </c>
      <c r="BA117" s="431"/>
      <c r="BB117" s="433"/>
      <c r="BC117" s="169">
        <f>+IF(AND(W117="Preventivo",BB115="Fuerte"),2,IF(AND(W117="Preventivo",BB115="Moderado"),1,0))</f>
        <v>0</v>
      </c>
      <c r="BD117" s="64">
        <f>+IF(AND(W117="Detectivo/Correctivo",$BB115="Fuerte"),2,IF(AND(W117="Detectivo/Correctivo",$BB117="Moderado"),1,IF(AND(W117="Preventivo",$BB115="Fuerte"),1,0)))</f>
        <v>0</v>
      </c>
      <c r="BE117" s="169" t="e">
        <f>+N115-BC117</f>
        <v>#N/A</v>
      </c>
      <c r="BF117" s="169" t="e">
        <f>+P115-BD117</f>
        <v>#N/A</v>
      </c>
      <c r="BG117" s="422"/>
      <c r="BH117" s="422"/>
      <c r="BI117" s="422"/>
      <c r="BJ117" s="645"/>
      <c r="BK117" s="645"/>
      <c r="BL117" s="645"/>
      <c r="BM117" s="645"/>
    </row>
    <row r="118" spans="1:65" ht="65.099999999999994" customHeight="1" thickBot="1">
      <c r="A118" s="405"/>
      <c r="B118" s="625"/>
      <c r="C118" s="440"/>
      <c r="D118" s="152"/>
      <c r="E118" s="152"/>
      <c r="F118" s="475"/>
      <c r="G118" s="443"/>
      <c r="H118" s="100"/>
      <c r="I118" s="128"/>
      <c r="J118" s="100"/>
      <c r="K118" s="147"/>
      <c r="L118" s="129"/>
      <c r="M118" s="446"/>
      <c r="N118" s="425"/>
      <c r="O118" s="428"/>
      <c r="P118" s="425"/>
      <c r="Q118" s="429"/>
      <c r="R118" s="422"/>
      <c r="S118" s="150"/>
      <c r="T118" s="97"/>
      <c r="U118" s="47" t="s">
        <v>627</v>
      </c>
      <c r="V118" s="172"/>
      <c r="W118" s="172"/>
      <c r="X118" s="172"/>
      <c r="Y118" s="95" t="str">
        <f t="shared" si="13"/>
        <v/>
      </c>
      <c r="Z118" s="172"/>
      <c r="AA118" s="95" t="str">
        <f t="shared" si="14"/>
        <v/>
      </c>
      <c r="AB118" s="150"/>
      <c r="AC118" s="95" t="str">
        <f t="shared" si="15"/>
        <v/>
      </c>
      <c r="AD118" s="150"/>
      <c r="AE118" s="95" t="str">
        <f t="shared" si="16"/>
        <v/>
      </c>
      <c r="AF118" s="150"/>
      <c r="AG118" s="95" t="str">
        <f t="shared" si="17"/>
        <v/>
      </c>
      <c r="AH118" s="150"/>
      <c r="AI118" s="95" t="str">
        <f t="shared" si="18"/>
        <v/>
      </c>
      <c r="AJ118" s="150"/>
      <c r="AK118" s="27" t="str">
        <f t="shared" si="19"/>
        <v/>
      </c>
      <c r="AL118" s="48" t="str">
        <f t="shared" si="20"/>
        <v/>
      </c>
      <c r="AM118" s="48" t="str">
        <f t="shared" si="21"/>
        <v/>
      </c>
      <c r="AN118" s="196"/>
      <c r="AO118" s="196"/>
      <c r="AP118" s="196"/>
      <c r="AQ118" s="196"/>
      <c r="AR118" s="196"/>
      <c r="AS118" s="196"/>
      <c r="AT118" s="196"/>
      <c r="AU118" s="197" t="str">
        <f>IFERROR(VLOOKUP(AT118,'Seguridad Información'!$I$61:$J$65,2,0),"")</f>
        <v/>
      </c>
      <c r="AV118" s="79"/>
      <c r="AW118" s="78" t="str">
        <f t="shared" si="12"/>
        <v/>
      </c>
      <c r="AX118" s="77" t="str">
        <f t="shared" si="22"/>
        <v/>
      </c>
      <c r="AY118" s="21" t="str">
        <f>IFERROR(VLOOKUP((CONCATENATE(AM118,AX118)),Listados!$U$3:$V$11,2,FALSE),"")</f>
        <v/>
      </c>
      <c r="AZ118" s="48">
        <f t="shared" si="23"/>
        <v>100</v>
      </c>
      <c r="BA118" s="431"/>
      <c r="BB118" s="433"/>
      <c r="BC118" s="169">
        <f>+IF(AND(W118="Preventivo",BB115="Fuerte"),2,IF(AND(W118="Preventivo",BB115="Moderado"),1,0))</f>
        <v>0</v>
      </c>
      <c r="BD118" s="64">
        <f>+IF(AND(W118="Detectivo/Correctivo",$BB115="Fuerte"),2,IF(AND(W118="Detectivo/Correctivo",$BB118="Moderado"),1,IF(AND(W118="Preventivo",$BB115="Fuerte"),1,0)))</f>
        <v>0</v>
      </c>
      <c r="BE118" s="169" t="e">
        <f>+N115-BC118</f>
        <v>#N/A</v>
      </c>
      <c r="BF118" s="169" t="e">
        <f>+P115-BD118</f>
        <v>#N/A</v>
      </c>
      <c r="BG118" s="422"/>
      <c r="BH118" s="422"/>
      <c r="BI118" s="422"/>
      <c r="BJ118" s="645"/>
      <c r="BK118" s="645"/>
      <c r="BL118" s="645"/>
      <c r="BM118" s="645"/>
    </row>
    <row r="119" spans="1:65" ht="65.099999999999994" customHeight="1" thickBot="1">
      <c r="A119" s="405"/>
      <c r="B119" s="625"/>
      <c r="C119" s="440"/>
      <c r="D119" s="109"/>
      <c r="E119" s="109"/>
      <c r="F119" s="475"/>
      <c r="G119" s="443"/>
      <c r="H119" s="100"/>
      <c r="I119" s="128"/>
      <c r="J119" s="100"/>
      <c r="K119" s="29"/>
      <c r="L119" s="129"/>
      <c r="M119" s="446"/>
      <c r="N119" s="425"/>
      <c r="O119" s="428"/>
      <c r="P119" s="425"/>
      <c r="Q119" s="429"/>
      <c r="R119" s="422"/>
      <c r="S119" s="150"/>
      <c r="T119" s="198"/>
      <c r="U119" s="47" t="s">
        <v>627</v>
      </c>
      <c r="V119" s="172"/>
      <c r="W119" s="172"/>
      <c r="X119" s="172"/>
      <c r="Y119" s="95" t="str">
        <f t="shared" si="13"/>
        <v/>
      </c>
      <c r="Z119" s="172"/>
      <c r="AA119" s="95" t="str">
        <f t="shared" si="14"/>
        <v/>
      </c>
      <c r="AB119" s="150"/>
      <c r="AC119" s="95" t="str">
        <f t="shared" si="15"/>
        <v/>
      </c>
      <c r="AD119" s="150"/>
      <c r="AE119" s="95" t="str">
        <f t="shared" si="16"/>
        <v/>
      </c>
      <c r="AF119" s="150"/>
      <c r="AG119" s="95" t="str">
        <f t="shared" si="17"/>
        <v/>
      </c>
      <c r="AH119" s="150"/>
      <c r="AI119" s="95" t="str">
        <f t="shared" si="18"/>
        <v/>
      </c>
      <c r="AJ119" s="150"/>
      <c r="AK119" s="27" t="str">
        <f t="shared" si="19"/>
        <v/>
      </c>
      <c r="AL119" s="48" t="str">
        <f t="shared" si="20"/>
        <v/>
      </c>
      <c r="AM119" s="48" t="str">
        <f t="shared" si="21"/>
        <v/>
      </c>
      <c r="AN119" s="196"/>
      <c r="AO119" s="196"/>
      <c r="AP119" s="196"/>
      <c r="AQ119" s="196"/>
      <c r="AR119" s="196"/>
      <c r="AS119" s="196"/>
      <c r="AT119" s="196"/>
      <c r="AU119" s="197" t="str">
        <f>IFERROR(VLOOKUP(AT119,'Seguridad Información'!$I$61:$J$65,2,0),"")</f>
        <v/>
      </c>
      <c r="AV119" s="79"/>
      <c r="AW119" s="78" t="str">
        <f t="shared" si="12"/>
        <v/>
      </c>
      <c r="AX119" s="77" t="str">
        <f t="shared" si="22"/>
        <v/>
      </c>
      <c r="AY119" s="21" t="str">
        <f>IFERROR(VLOOKUP((CONCATENATE(AM119,AX119)),Listados!$U$3:$V$11,2,FALSE),"")</f>
        <v/>
      </c>
      <c r="AZ119" s="48">
        <f t="shared" si="23"/>
        <v>100</v>
      </c>
      <c r="BA119" s="431"/>
      <c r="BB119" s="433"/>
      <c r="BC119" s="169">
        <f>+IF(AND(W119="Preventivo",BB115="Fuerte"),2,IF(AND(W119="Preventivo",BB115="Moderado"),1,0))</f>
        <v>0</v>
      </c>
      <c r="BD119" s="64">
        <f>+IF(AND(W119="Detectivo/Correctivo",$BB115="Fuerte"),2,IF(AND(W119="Detectivo/Correctivo",$BB119="Moderado"),1,IF(AND(W119="Preventivo",$BB115="Fuerte"),1,0)))</f>
        <v>0</v>
      </c>
      <c r="BE119" s="169" t="e">
        <f>+N115-BC119</f>
        <v>#N/A</v>
      </c>
      <c r="BF119" s="169" t="e">
        <f>+P115-BD119</f>
        <v>#N/A</v>
      </c>
      <c r="BG119" s="422"/>
      <c r="BH119" s="422"/>
      <c r="BI119" s="422"/>
      <c r="BJ119" s="645"/>
      <c r="BK119" s="645"/>
      <c r="BL119" s="645"/>
      <c r="BM119" s="645"/>
    </row>
    <row r="120" spans="1:65" ht="65.099999999999994" customHeight="1" thickBot="1">
      <c r="A120" s="406"/>
      <c r="B120" s="625"/>
      <c r="C120" s="441"/>
      <c r="D120" s="106"/>
      <c r="E120" s="106"/>
      <c r="F120" s="619"/>
      <c r="G120" s="444"/>
      <c r="H120" s="100"/>
      <c r="I120" s="128"/>
      <c r="J120" s="100"/>
      <c r="K120" s="31"/>
      <c r="L120" s="129"/>
      <c r="M120" s="446"/>
      <c r="N120" s="426"/>
      <c r="O120" s="428"/>
      <c r="P120" s="426"/>
      <c r="Q120" s="429"/>
      <c r="R120" s="423"/>
      <c r="S120" s="150"/>
      <c r="T120" s="98"/>
      <c r="U120" s="47" t="s">
        <v>627</v>
      </c>
      <c r="V120" s="172"/>
      <c r="W120" s="172"/>
      <c r="X120" s="172"/>
      <c r="Y120" s="95" t="str">
        <f t="shared" si="13"/>
        <v/>
      </c>
      <c r="Z120" s="172"/>
      <c r="AA120" s="95" t="str">
        <f t="shared" si="14"/>
        <v/>
      </c>
      <c r="AB120" s="150"/>
      <c r="AC120" s="95" t="str">
        <f t="shared" si="15"/>
        <v/>
      </c>
      <c r="AD120" s="150"/>
      <c r="AE120" s="95" t="str">
        <f t="shared" si="16"/>
        <v/>
      </c>
      <c r="AF120" s="150"/>
      <c r="AG120" s="95" t="str">
        <f t="shared" si="17"/>
        <v/>
      </c>
      <c r="AH120" s="150"/>
      <c r="AI120" s="95" t="str">
        <f t="shared" si="18"/>
        <v/>
      </c>
      <c r="AJ120" s="150"/>
      <c r="AK120" s="27" t="str">
        <f t="shared" si="19"/>
        <v/>
      </c>
      <c r="AL120" s="48" t="str">
        <f t="shared" si="20"/>
        <v/>
      </c>
      <c r="AM120" s="48" t="str">
        <f t="shared" si="21"/>
        <v/>
      </c>
      <c r="AN120" s="196"/>
      <c r="AO120" s="196"/>
      <c r="AP120" s="196"/>
      <c r="AQ120" s="196"/>
      <c r="AR120" s="196"/>
      <c r="AS120" s="196"/>
      <c r="AT120" s="196"/>
      <c r="AU120" s="197" t="str">
        <f>IFERROR(VLOOKUP(AT120,'Seguridad Información'!$I$61:$J$65,2,0),"")</f>
        <v/>
      </c>
      <c r="AV120" s="79"/>
      <c r="AW120" s="78" t="str">
        <f t="shared" si="12"/>
        <v/>
      </c>
      <c r="AX120" s="77" t="str">
        <f t="shared" si="22"/>
        <v/>
      </c>
      <c r="AY120" s="21" t="str">
        <f>IFERROR(VLOOKUP((CONCATENATE(AM120,AX120)),Listados!$U$3:$V$11,2,FALSE),"")</f>
        <v/>
      </c>
      <c r="AZ120" s="48">
        <f t="shared" si="23"/>
        <v>100</v>
      </c>
      <c r="BA120" s="432"/>
      <c r="BB120" s="433"/>
      <c r="BC120" s="169">
        <f>+IF(AND(W120="Preventivo",BB115="Fuerte"),2,IF(AND(W120="Preventivo",BB115="Moderado"),1,0))</f>
        <v>0</v>
      </c>
      <c r="BD120" s="64">
        <f>+IF(AND(W120="Detectivo/Correctivo",$BB115="Fuerte"),2,IF(AND(W120="Detectivo/Correctivo",$BB120="Moderado"),1,IF(AND(W120="Preventivo",$BB115="Fuerte"),1,0)))</f>
        <v>0</v>
      </c>
      <c r="BE120" s="169" t="e">
        <f>+N115-BC120</f>
        <v>#N/A</v>
      </c>
      <c r="BF120" s="169" t="e">
        <f>+P115-BD120</f>
        <v>#N/A</v>
      </c>
      <c r="BG120" s="423"/>
      <c r="BH120" s="423"/>
      <c r="BI120" s="423"/>
      <c r="BJ120" s="646"/>
      <c r="BK120" s="646"/>
      <c r="BL120" s="646"/>
      <c r="BM120" s="646"/>
    </row>
    <row r="121" spans="1:65" ht="65.099999999999994" customHeight="1" thickBot="1">
      <c r="A121" s="404">
        <v>20</v>
      </c>
      <c r="B121" s="628"/>
      <c r="C121" s="447" t="str">
        <f>IFERROR(VLOOKUP(B121,Listados!B$3:C$20,2,FALSE),"")</f>
        <v/>
      </c>
      <c r="D121" s="107"/>
      <c r="E121" s="107"/>
      <c r="F121" s="618"/>
      <c r="G121" s="448"/>
      <c r="H121" s="100"/>
      <c r="I121" s="128"/>
      <c r="J121" s="100"/>
      <c r="K121" s="103"/>
      <c r="L121" s="17"/>
      <c r="M121" s="445"/>
      <c r="N121" s="424" t="e">
        <f>+VLOOKUP(M121,Listados!$K$8:$L$12,2,0)</f>
        <v>#N/A</v>
      </c>
      <c r="O121" s="427"/>
      <c r="P121" s="424" t="e">
        <f>+VLOOKUP(O121,Listados!$K$13:$L$17,2,0)</f>
        <v>#N/A</v>
      </c>
      <c r="Q121" s="423" t="str">
        <f>IF(AND(M121&lt;&gt;"",O121&lt;&gt;""),VLOOKUP(M121&amp;O121,Listados!$M$3:$N$27,2,FALSE),"")</f>
        <v/>
      </c>
      <c r="R121" s="421" t="e">
        <f>+VLOOKUP(Q121,Listados!$P$3:$Q$6,2,FALSE)</f>
        <v>#N/A</v>
      </c>
      <c r="S121" s="150"/>
      <c r="T121" s="94"/>
      <c r="U121" s="47" t="s">
        <v>627</v>
      </c>
      <c r="V121" s="172"/>
      <c r="W121" s="172"/>
      <c r="X121" s="172"/>
      <c r="Y121" s="95" t="str">
        <f t="shared" si="13"/>
        <v/>
      </c>
      <c r="Z121" s="172"/>
      <c r="AA121" s="95" t="str">
        <f t="shared" si="14"/>
        <v/>
      </c>
      <c r="AB121" s="150"/>
      <c r="AC121" s="95" t="str">
        <f t="shared" si="15"/>
        <v/>
      </c>
      <c r="AD121" s="150"/>
      <c r="AE121" s="95" t="str">
        <f t="shared" si="16"/>
        <v/>
      </c>
      <c r="AF121" s="150"/>
      <c r="AG121" s="95" t="str">
        <f t="shared" si="17"/>
        <v/>
      </c>
      <c r="AH121" s="150"/>
      <c r="AI121" s="95" t="str">
        <f t="shared" si="18"/>
        <v/>
      </c>
      <c r="AJ121" s="150"/>
      <c r="AK121" s="27" t="str">
        <f t="shared" si="19"/>
        <v/>
      </c>
      <c r="AL121" s="48" t="str">
        <f t="shared" si="20"/>
        <v/>
      </c>
      <c r="AM121" s="48" t="str">
        <f t="shared" si="21"/>
        <v/>
      </c>
      <c r="AN121" s="196"/>
      <c r="AO121" s="196"/>
      <c r="AP121" s="196"/>
      <c r="AQ121" s="196"/>
      <c r="AR121" s="196"/>
      <c r="AS121" s="196"/>
      <c r="AT121" s="196"/>
      <c r="AU121" s="197" t="str">
        <f>IFERROR(VLOOKUP(AT121,'Seguridad Información'!$I$61:$J$65,2,0),"")</f>
        <v/>
      </c>
      <c r="AV121" s="79"/>
      <c r="AW121" s="78" t="str">
        <f t="shared" si="12"/>
        <v/>
      </c>
      <c r="AX121" s="77" t="str">
        <f t="shared" si="22"/>
        <v/>
      </c>
      <c r="AY121" s="21" t="str">
        <f>IFERROR(VLOOKUP((CONCATENATE(AM121,AX121)),Listados!$U$3:$V$11,2,FALSE),"")</f>
        <v/>
      </c>
      <c r="AZ121" s="48">
        <f t="shared" si="23"/>
        <v>100</v>
      </c>
      <c r="BA121" s="430">
        <f>AVERAGE(AZ121:AZ126)</f>
        <v>100</v>
      </c>
      <c r="BB121" s="432" t="str">
        <f>IF(BA121&lt;=50, "Débil", IF(BA121&lt;=99,"Moderado","Fuerte"))</f>
        <v>Fuerte</v>
      </c>
      <c r="BC121" s="169">
        <f>+IF(AND(W121="Preventivo",BB121="Fuerte"),2,IF(AND(W121="Preventivo",BB121="Moderado"),1,0))</f>
        <v>0</v>
      </c>
      <c r="BD121" s="64">
        <f>+IF(AND(W121="Detectivo/Correctivo",$BB121="Fuerte"),2,IF(AND(W121="Detectivo/Correctivo",$BB121="Moderado"),1,IF(AND(W121="Preventivo",$BB121="Fuerte"),1,0)))</f>
        <v>0</v>
      </c>
      <c r="BE121" s="169" t="e">
        <f>+N121-BC121</f>
        <v>#N/A</v>
      </c>
      <c r="BF121" s="169" t="e">
        <f>+P121-BD121</f>
        <v>#N/A</v>
      </c>
      <c r="BG121" s="421" t="e">
        <f>+VLOOKUP(MIN(BE121,BE122,BE123,BE124,BE125,BE126),Listados!$J$18:$K$24,2,TRUE)</f>
        <v>#N/A</v>
      </c>
      <c r="BH121" s="421" t="e">
        <f>+VLOOKUP(MIN(BF121,BF122,BF123,BF124,BF125,BF126),Listados!$J$27:$K$32,2,TRUE)</f>
        <v>#N/A</v>
      </c>
      <c r="BI121" s="421" t="e">
        <f>IF(AND(BG121&lt;&gt;"",BH121&lt;&gt;""),VLOOKUP(BG121&amp;BH121,Listados!$M$3:$N$27,2,FALSE),"")</f>
        <v>#N/A</v>
      </c>
      <c r="BJ121" s="644" t="e">
        <f>+IF($R121="Asumir el riesgo","NA","")</f>
        <v>#N/A</v>
      </c>
      <c r="BK121" s="644" t="e">
        <f>+IF($R121="Asumir el riesgo","NA","")</f>
        <v>#N/A</v>
      </c>
      <c r="BL121" s="644" t="e">
        <f>+IF($R121="Asumir el riesgo","NA","")</f>
        <v>#N/A</v>
      </c>
      <c r="BM121" s="644" t="e">
        <f>+IF($R121="Asumir el riesgo","NA","")</f>
        <v>#N/A</v>
      </c>
    </row>
    <row r="122" spans="1:65" ht="65.099999999999994" customHeight="1" thickBot="1">
      <c r="A122" s="405"/>
      <c r="B122" s="625"/>
      <c r="C122" s="440"/>
      <c r="D122" s="152"/>
      <c r="E122" s="152"/>
      <c r="F122" s="475"/>
      <c r="G122" s="443"/>
      <c r="H122" s="100"/>
      <c r="I122" s="128"/>
      <c r="J122" s="100"/>
      <c r="K122" s="147"/>
      <c r="L122" s="129"/>
      <c r="M122" s="446"/>
      <c r="N122" s="425"/>
      <c r="O122" s="428"/>
      <c r="P122" s="425"/>
      <c r="Q122" s="429"/>
      <c r="R122" s="422"/>
      <c r="S122" s="150"/>
      <c r="T122" s="198"/>
      <c r="U122" s="47" t="s">
        <v>627</v>
      </c>
      <c r="V122" s="172"/>
      <c r="W122" s="172"/>
      <c r="X122" s="172"/>
      <c r="Y122" s="95" t="str">
        <f t="shared" si="13"/>
        <v/>
      </c>
      <c r="Z122" s="172"/>
      <c r="AA122" s="95" t="str">
        <f t="shared" si="14"/>
        <v/>
      </c>
      <c r="AB122" s="150"/>
      <c r="AC122" s="95" t="str">
        <f t="shared" si="15"/>
        <v/>
      </c>
      <c r="AD122" s="150"/>
      <c r="AE122" s="95" t="str">
        <f t="shared" si="16"/>
        <v/>
      </c>
      <c r="AF122" s="150"/>
      <c r="AG122" s="95" t="str">
        <f t="shared" si="17"/>
        <v/>
      </c>
      <c r="AH122" s="150"/>
      <c r="AI122" s="95" t="str">
        <f t="shared" si="18"/>
        <v/>
      </c>
      <c r="AJ122" s="150"/>
      <c r="AK122" s="27" t="str">
        <f t="shared" si="19"/>
        <v/>
      </c>
      <c r="AL122" s="48" t="str">
        <f t="shared" si="20"/>
        <v/>
      </c>
      <c r="AM122" s="48" t="str">
        <f t="shared" si="21"/>
        <v/>
      </c>
      <c r="AN122" s="196"/>
      <c r="AO122" s="196"/>
      <c r="AP122" s="196"/>
      <c r="AQ122" s="196"/>
      <c r="AR122" s="196"/>
      <c r="AS122" s="196"/>
      <c r="AT122" s="196"/>
      <c r="AU122" s="197" t="str">
        <f>IFERROR(VLOOKUP(AT122,'Seguridad Información'!$I$61:$J$65,2,0),"")</f>
        <v/>
      </c>
      <c r="AV122" s="79"/>
      <c r="AW122" s="78" t="str">
        <f t="shared" si="12"/>
        <v/>
      </c>
      <c r="AX122" s="77" t="str">
        <f t="shared" si="22"/>
        <v/>
      </c>
      <c r="AY122" s="21" t="str">
        <f>IFERROR(VLOOKUP((CONCATENATE(AM122,AX122)),Listados!$U$3:$V$11,2,FALSE),"")</f>
        <v/>
      </c>
      <c r="AZ122" s="48">
        <f t="shared" si="23"/>
        <v>100</v>
      </c>
      <c r="BA122" s="431"/>
      <c r="BB122" s="433"/>
      <c r="BC122" s="169">
        <f>+IF(AND(W122="Preventivo",BB121="Fuerte"),2,IF(AND(W122="Preventivo",BB121="Moderado"),1,0))</f>
        <v>0</v>
      </c>
      <c r="BD122" s="64">
        <f>+IF(AND(W122="Detectivo/Correctivo",$BB121="Fuerte"),2,IF(AND(W122="Detectivo/Correctivo",$BB122="Moderado"),1,IF(AND(W122="Preventivo",$BB121="Fuerte"),1,0)))</f>
        <v>0</v>
      </c>
      <c r="BE122" s="169" t="e">
        <f>+N121-BC122</f>
        <v>#N/A</v>
      </c>
      <c r="BF122" s="169" t="e">
        <f>+P121-BD122</f>
        <v>#N/A</v>
      </c>
      <c r="BG122" s="422"/>
      <c r="BH122" s="422"/>
      <c r="BI122" s="422"/>
      <c r="BJ122" s="645"/>
      <c r="BK122" s="645"/>
      <c r="BL122" s="645"/>
      <c r="BM122" s="645"/>
    </row>
    <row r="123" spans="1:65" ht="65.099999999999994" customHeight="1" thickBot="1">
      <c r="A123" s="405"/>
      <c r="B123" s="625"/>
      <c r="C123" s="440"/>
      <c r="D123" s="152"/>
      <c r="E123" s="152"/>
      <c r="F123" s="475"/>
      <c r="G123" s="443"/>
      <c r="H123" s="100"/>
      <c r="I123" s="128"/>
      <c r="J123" s="100"/>
      <c r="K123" s="147"/>
      <c r="L123" s="129"/>
      <c r="M123" s="446"/>
      <c r="N123" s="425"/>
      <c r="O123" s="428"/>
      <c r="P123" s="425"/>
      <c r="Q123" s="429"/>
      <c r="R123" s="422"/>
      <c r="S123" s="150"/>
      <c r="T123" s="96"/>
      <c r="U123" s="47" t="s">
        <v>627</v>
      </c>
      <c r="V123" s="172"/>
      <c r="W123" s="172"/>
      <c r="X123" s="172"/>
      <c r="Y123" s="95" t="str">
        <f t="shared" si="13"/>
        <v/>
      </c>
      <c r="Z123" s="172"/>
      <c r="AA123" s="95" t="str">
        <f t="shared" si="14"/>
        <v/>
      </c>
      <c r="AB123" s="150"/>
      <c r="AC123" s="95" t="str">
        <f t="shared" si="15"/>
        <v/>
      </c>
      <c r="AD123" s="150"/>
      <c r="AE123" s="95" t="str">
        <f t="shared" si="16"/>
        <v/>
      </c>
      <c r="AF123" s="150"/>
      <c r="AG123" s="95" t="str">
        <f t="shared" si="17"/>
        <v/>
      </c>
      <c r="AH123" s="150"/>
      <c r="AI123" s="95" t="str">
        <f t="shared" si="18"/>
        <v/>
      </c>
      <c r="AJ123" s="150"/>
      <c r="AK123" s="27" t="str">
        <f t="shared" si="19"/>
        <v/>
      </c>
      <c r="AL123" s="48" t="str">
        <f t="shared" si="20"/>
        <v/>
      </c>
      <c r="AM123" s="48" t="str">
        <f t="shared" si="21"/>
        <v/>
      </c>
      <c r="AN123" s="196"/>
      <c r="AO123" s="196"/>
      <c r="AP123" s="196"/>
      <c r="AQ123" s="196"/>
      <c r="AR123" s="196"/>
      <c r="AS123" s="196"/>
      <c r="AT123" s="196"/>
      <c r="AU123" s="197" t="str">
        <f>IFERROR(VLOOKUP(AT123,'Seguridad Información'!$I$61:$J$65,2,0),"")</f>
        <v/>
      </c>
      <c r="AV123" s="79"/>
      <c r="AW123" s="78" t="str">
        <f t="shared" si="12"/>
        <v/>
      </c>
      <c r="AX123" s="77" t="str">
        <f t="shared" si="22"/>
        <v/>
      </c>
      <c r="AY123" s="21" t="str">
        <f>IFERROR(VLOOKUP((CONCATENATE(AM123,AX123)),Listados!$U$3:$V$11,2,FALSE),"")</f>
        <v/>
      </c>
      <c r="AZ123" s="48">
        <f t="shared" si="23"/>
        <v>100</v>
      </c>
      <c r="BA123" s="431"/>
      <c r="BB123" s="433"/>
      <c r="BC123" s="169">
        <f>+IF(AND(W123="Preventivo",BB121="Fuerte"),2,IF(AND(W123="Preventivo",BB121="Moderado"),1,0))</f>
        <v>0</v>
      </c>
      <c r="BD123" s="64">
        <f>+IF(AND(W123="Detectivo/Correctivo",$BB121="Fuerte"),2,IF(AND(W123="Detectivo/Correctivo",$BB123="Moderado"),1,IF(AND(W123="Preventivo",$BB121="Fuerte"),1,0)))</f>
        <v>0</v>
      </c>
      <c r="BE123" s="169" t="e">
        <f>+N121-BC123</f>
        <v>#N/A</v>
      </c>
      <c r="BF123" s="169" t="e">
        <f>+P121-BD123</f>
        <v>#N/A</v>
      </c>
      <c r="BG123" s="422"/>
      <c r="BH123" s="422"/>
      <c r="BI123" s="422"/>
      <c r="BJ123" s="645"/>
      <c r="BK123" s="645"/>
      <c r="BL123" s="645"/>
      <c r="BM123" s="645"/>
    </row>
    <row r="124" spans="1:65" ht="65.099999999999994" customHeight="1" thickBot="1">
      <c r="A124" s="405"/>
      <c r="B124" s="625"/>
      <c r="C124" s="440"/>
      <c r="D124" s="152"/>
      <c r="E124" s="152"/>
      <c r="F124" s="475"/>
      <c r="G124" s="443"/>
      <c r="H124" s="100"/>
      <c r="I124" s="128"/>
      <c r="J124" s="100"/>
      <c r="K124" s="147"/>
      <c r="L124" s="129"/>
      <c r="M124" s="446"/>
      <c r="N124" s="425"/>
      <c r="O124" s="428"/>
      <c r="P124" s="425"/>
      <c r="Q124" s="429"/>
      <c r="R124" s="422"/>
      <c r="S124" s="150"/>
      <c r="T124" s="97"/>
      <c r="U124" s="47" t="s">
        <v>627</v>
      </c>
      <c r="V124" s="172"/>
      <c r="W124" s="172"/>
      <c r="X124" s="172"/>
      <c r="Y124" s="95" t="str">
        <f t="shared" si="13"/>
        <v/>
      </c>
      <c r="Z124" s="172"/>
      <c r="AA124" s="95" t="str">
        <f t="shared" si="14"/>
        <v/>
      </c>
      <c r="AB124" s="150"/>
      <c r="AC124" s="95" t="str">
        <f t="shared" si="15"/>
        <v/>
      </c>
      <c r="AD124" s="150"/>
      <c r="AE124" s="95" t="str">
        <f t="shared" si="16"/>
        <v/>
      </c>
      <c r="AF124" s="150"/>
      <c r="AG124" s="95" t="str">
        <f t="shared" si="17"/>
        <v/>
      </c>
      <c r="AH124" s="150"/>
      <c r="AI124" s="95" t="str">
        <f t="shared" si="18"/>
        <v/>
      </c>
      <c r="AJ124" s="150"/>
      <c r="AK124" s="27" t="str">
        <f t="shared" si="19"/>
        <v/>
      </c>
      <c r="AL124" s="48" t="str">
        <f t="shared" si="20"/>
        <v/>
      </c>
      <c r="AM124" s="48" t="str">
        <f t="shared" si="21"/>
        <v/>
      </c>
      <c r="AN124" s="196"/>
      <c r="AO124" s="196"/>
      <c r="AP124" s="196"/>
      <c r="AQ124" s="196"/>
      <c r="AR124" s="196"/>
      <c r="AS124" s="196"/>
      <c r="AT124" s="196"/>
      <c r="AU124" s="197" t="str">
        <f>IFERROR(VLOOKUP(AT124,'Seguridad Información'!$I$61:$J$65,2,0),"")</f>
        <v/>
      </c>
      <c r="AV124" s="79"/>
      <c r="AW124" s="78" t="str">
        <f t="shared" si="12"/>
        <v/>
      </c>
      <c r="AX124" s="77" t="str">
        <f t="shared" si="22"/>
        <v/>
      </c>
      <c r="AY124" s="21" t="str">
        <f>IFERROR(VLOOKUP((CONCATENATE(AM124,AX124)),Listados!$U$3:$V$11,2,FALSE),"")</f>
        <v/>
      </c>
      <c r="AZ124" s="48">
        <f t="shared" si="23"/>
        <v>100</v>
      </c>
      <c r="BA124" s="431"/>
      <c r="BB124" s="433"/>
      <c r="BC124" s="169">
        <f>+IF(AND(W124="Preventivo",BB121="Fuerte"),2,IF(AND(W124="Preventivo",BB121="Moderado"),1,0))</f>
        <v>0</v>
      </c>
      <c r="BD124" s="64">
        <f>+IF(AND(W124="Detectivo/Correctivo",$BB121="Fuerte"),2,IF(AND(W124="Detectivo/Correctivo",$BB124="Moderado"),1,IF(AND(W124="Preventivo",$BB121="Fuerte"),1,0)))</f>
        <v>0</v>
      </c>
      <c r="BE124" s="169" t="e">
        <f>+N121-BC124</f>
        <v>#N/A</v>
      </c>
      <c r="BF124" s="169" t="e">
        <f>+P121-BD124</f>
        <v>#N/A</v>
      </c>
      <c r="BG124" s="422"/>
      <c r="BH124" s="422"/>
      <c r="BI124" s="422"/>
      <c r="BJ124" s="645"/>
      <c r="BK124" s="645"/>
      <c r="BL124" s="645"/>
      <c r="BM124" s="645"/>
    </row>
    <row r="125" spans="1:65" ht="65.099999999999994" customHeight="1" thickBot="1">
      <c r="A125" s="405"/>
      <c r="B125" s="625"/>
      <c r="C125" s="440"/>
      <c r="D125" s="109"/>
      <c r="E125" s="109"/>
      <c r="F125" s="475"/>
      <c r="G125" s="443"/>
      <c r="H125" s="100"/>
      <c r="I125" s="128"/>
      <c r="J125" s="100"/>
      <c r="K125" s="29"/>
      <c r="L125" s="129"/>
      <c r="M125" s="446"/>
      <c r="N125" s="425"/>
      <c r="O125" s="428"/>
      <c r="P125" s="425"/>
      <c r="Q125" s="429"/>
      <c r="R125" s="422"/>
      <c r="S125" s="150"/>
      <c r="T125" s="198"/>
      <c r="U125" s="47" t="s">
        <v>627</v>
      </c>
      <c r="V125" s="172"/>
      <c r="W125" s="172"/>
      <c r="X125" s="172"/>
      <c r="Y125" s="95" t="str">
        <f t="shared" si="13"/>
        <v/>
      </c>
      <c r="Z125" s="172"/>
      <c r="AA125" s="95" t="str">
        <f t="shared" si="14"/>
        <v/>
      </c>
      <c r="AB125" s="150"/>
      <c r="AC125" s="95" t="str">
        <f t="shared" si="15"/>
        <v/>
      </c>
      <c r="AD125" s="150"/>
      <c r="AE125" s="95" t="str">
        <f t="shared" si="16"/>
        <v/>
      </c>
      <c r="AF125" s="150"/>
      <c r="AG125" s="95" t="str">
        <f t="shared" si="17"/>
        <v/>
      </c>
      <c r="AH125" s="150"/>
      <c r="AI125" s="95" t="str">
        <f t="shared" si="18"/>
        <v/>
      </c>
      <c r="AJ125" s="150"/>
      <c r="AK125" s="27" t="str">
        <f t="shared" si="19"/>
        <v/>
      </c>
      <c r="AL125" s="48" t="str">
        <f t="shared" si="20"/>
        <v/>
      </c>
      <c r="AM125" s="48" t="str">
        <f t="shared" si="21"/>
        <v/>
      </c>
      <c r="AN125" s="196"/>
      <c r="AO125" s="196"/>
      <c r="AP125" s="196"/>
      <c r="AQ125" s="196"/>
      <c r="AR125" s="196"/>
      <c r="AS125" s="196"/>
      <c r="AT125" s="196"/>
      <c r="AU125" s="197" t="str">
        <f>IFERROR(VLOOKUP(AT125,'Seguridad Información'!$I$61:$J$65,2,0),"")</f>
        <v/>
      </c>
      <c r="AV125" s="79"/>
      <c r="AW125" s="78" t="str">
        <f t="shared" si="12"/>
        <v/>
      </c>
      <c r="AX125" s="77" t="str">
        <f t="shared" si="22"/>
        <v/>
      </c>
      <c r="AY125" s="21" t="str">
        <f>IFERROR(VLOOKUP((CONCATENATE(AM125,AX125)),Listados!$U$3:$V$11,2,FALSE),"")</f>
        <v/>
      </c>
      <c r="AZ125" s="48">
        <f t="shared" si="23"/>
        <v>100</v>
      </c>
      <c r="BA125" s="431"/>
      <c r="BB125" s="433"/>
      <c r="BC125" s="169">
        <f>+IF(AND(W125="Preventivo",BB121="Fuerte"),2,IF(AND(W125="Preventivo",BB121="Moderado"),1,0))</f>
        <v>0</v>
      </c>
      <c r="BD125" s="64">
        <f>+IF(AND(W125="Detectivo/Correctivo",$BB121="Fuerte"),2,IF(AND(W125="Detectivo/Correctivo",$BB125="Moderado"),1,IF(AND(W125="Preventivo",$BB121="Fuerte"),1,0)))</f>
        <v>0</v>
      </c>
      <c r="BE125" s="169" t="e">
        <f>+N121-BC125</f>
        <v>#N/A</v>
      </c>
      <c r="BF125" s="169" t="e">
        <f>+P121-BD125</f>
        <v>#N/A</v>
      </c>
      <c r="BG125" s="422"/>
      <c r="BH125" s="422"/>
      <c r="BI125" s="422"/>
      <c r="BJ125" s="645"/>
      <c r="BK125" s="645"/>
      <c r="BL125" s="645"/>
      <c r="BM125" s="645"/>
    </row>
    <row r="126" spans="1:65" ht="65.099999999999994" customHeight="1" thickBot="1">
      <c r="A126" s="406"/>
      <c r="B126" s="625"/>
      <c r="C126" s="441"/>
      <c r="D126" s="106"/>
      <c r="E126" s="106"/>
      <c r="F126" s="619"/>
      <c r="G126" s="444"/>
      <c r="H126" s="100"/>
      <c r="I126" s="128"/>
      <c r="J126" s="100"/>
      <c r="K126" s="31"/>
      <c r="L126" s="129"/>
      <c r="M126" s="446"/>
      <c r="N126" s="426"/>
      <c r="O126" s="428"/>
      <c r="P126" s="426"/>
      <c r="Q126" s="429"/>
      <c r="R126" s="423"/>
      <c r="S126" s="150"/>
      <c r="T126" s="98"/>
      <c r="U126" s="47" t="s">
        <v>627</v>
      </c>
      <c r="V126" s="172"/>
      <c r="W126" s="172"/>
      <c r="X126" s="172"/>
      <c r="Y126" s="95" t="str">
        <f t="shared" si="13"/>
        <v/>
      </c>
      <c r="Z126" s="172"/>
      <c r="AA126" s="95" t="str">
        <f t="shared" si="14"/>
        <v/>
      </c>
      <c r="AB126" s="150"/>
      <c r="AC126" s="95" t="str">
        <f t="shared" si="15"/>
        <v/>
      </c>
      <c r="AD126" s="150"/>
      <c r="AE126" s="95" t="str">
        <f t="shared" si="16"/>
        <v/>
      </c>
      <c r="AF126" s="150"/>
      <c r="AG126" s="95" t="str">
        <f t="shared" si="17"/>
        <v/>
      </c>
      <c r="AH126" s="150"/>
      <c r="AI126" s="95" t="str">
        <f t="shared" si="18"/>
        <v/>
      </c>
      <c r="AJ126" s="150"/>
      <c r="AK126" s="27" t="str">
        <f t="shared" si="19"/>
        <v/>
      </c>
      <c r="AL126" s="48" t="str">
        <f t="shared" si="20"/>
        <v/>
      </c>
      <c r="AM126" s="48" t="str">
        <f t="shared" si="21"/>
        <v/>
      </c>
      <c r="AN126" s="196"/>
      <c r="AO126" s="196"/>
      <c r="AP126" s="196"/>
      <c r="AQ126" s="196"/>
      <c r="AR126" s="196"/>
      <c r="AS126" s="196"/>
      <c r="AT126" s="196"/>
      <c r="AU126" s="197" t="str">
        <f>IFERROR(VLOOKUP(AT126,'Seguridad Información'!$I$61:$J$65,2,0),"")</f>
        <v/>
      </c>
      <c r="AV126" s="79"/>
      <c r="AW126" s="78" t="str">
        <f t="shared" si="12"/>
        <v/>
      </c>
      <c r="AX126" s="77" t="str">
        <f t="shared" si="22"/>
        <v/>
      </c>
      <c r="AY126" s="21" t="str">
        <f>IFERROR(VLOOKUP((CONCATENATE(AM126,AX126)),Listados!$U$3:$V$11,2,FALSE),"")</f>
        <v/>
      </c>
      <c r="AZ126" s="48">
        <f t="shared" si="23"/>
        <v>100</v>
      </c>
      <c r="BA126" s="432"/>
      <c r="BB126" s="433"/>
      <c r="BC126" s="169">
        <f>+IF(AND(W126="Preventivo",BB121="Fuerte"),2,IF(AND(W126="Preventivo",BB121="Moderado"),1,0))</f>
        <v>0</v>
      </c>
      <c r="BD126" s="64">
        <f>+IF(AND(W126="Detectivo/Correctivo",$BB121="Fuerte"),2,IF(AND(W126="Detectivo/Correctivo",$BB126="Moderado"),1,IF(AND(W126="Preventivo",$BB121="Fuerte"),1,0)))</f>
        <v>0</v>
      </c>
      <c r="BE126" s="169" t="e">
        <f>+N121-BC126</f>
        <v>#N/A</v>
      </c>
      <c r="BF126" s="169" t="e">
        <f>+P121-BD126</f>
        <v>#N/A</v>
      </c>
      <c r="BG126" s="423"/>
      <c r="BH126" s="423"/>
      <c r="BI126" s="423"/>
      <c r="BJ126" s="646"/>
      <c r="BK126" s="646"/>
      <c r="BL126" s="646"/>
      <c r="BM126" s="646"/>
    </row>
    <row r="127" spans="1:65" ht="65.099999999999994" customHeight="1" thickBot="1">
      <c r="A127" s="404">
        <v>21</v>
      </c>
      <c r="B127" s="628"/>
      <c r="C127" s="447" t="str">
        <f>IFERROR(VLOOKUP(B127,Listados!B$3:C$20,2,FALSE),"")</f>
        <v/>
      </c>
      <c r="D127" s="107"/>
      <c r="E127" s="107"/>
      <c r="F127" s="618"/>
      <c r="G127" s="448"/>
      <c r="H127" s="100"/>
      <c r="I127" s="128"/>
      <c r="J127" s="100"/>
      <c r="K127" s="103"/>
      <c r="L127" s="17"/>
      <c r="M127" s="445"/>
      <c r="N127" s="424" t="e">
        <f>+VLOOKUP(M127,Listados!$K$8:$L$12,2,0)</f>
        <v>#N/A</v>
      </c>
      <c r="O127" s="427"/>
      <c r="P127" s="424" t="e">
        <f>+VLOOKUP(O127,Listados!$K$13:$L$17,2,0)</f>
        <v>#N/A</v>
      </c>
      <c r="Q127" s="423" t="str">
        <f>IF(AND(M127&lt;&gt;"",O127&lt;&gt;""),VLOOKUP(M127&amp;O127,Listados!$M$3:$N$27,2,FALSE),"")</f>
        <v/>
      </c>
      <c r="R127" s="421" t="e">
        <f>+VLOOKUP(Q127,Listados!$P$3:$Q$6,2,FALSE)</f>
        <v>#N/A</v>
      </c>
      <c r="S127" s="150"/>
      <c r="T127" s="94"/>
      <c r="U127" s="47" t="s">
        <v>627</v>
      </c>
      <c r="V127" s="172"/>
      <c r="W127" s="172"/>
      <c r="X127" s="172"/>
      <c r="Y127" s="95" t="str">
        <f t="shared" si="13"/>
        <v/>
      </c>
      <c r="Z127" s="172"/>
      <c r="AA127" s="95" t="str">
        <f t="shared" si="14"/>
        <v/>
      </c>
      <c r="AB127" s="150"/>
      <c r="AC127" s="95" t="str">
        <f t="shared" si="15"/>
        <v/>
      </c>
      <c r="AD127" s="150"/>
      <c r="AE127" s="95" t="str">
        <f t="shared" si="16"/>
        <v/>
      </c>
      <c r="AF127" s="150"/>
      <c r="AG127" s="95" t="str">
        <f t="shared" si="17"/>
        <v/>
      </c>
      <c r="AH127" s="150"/>
      <c r="AI127" s="95" t="str">
        <f t="shared" si="18"/>
        <v/>
      </c>
      <c r="AJ127" s="150"/>
      <c r="AK127" s="27" t="str">
        <f t="shared" si="19"/>
        <v/>
      </c>
      <c r="AL127" s="48" t="str">
        <f t="shared" si="20"/>
        <v/>
      </c>
      <c r="AM127" s="48" t="str">
        <f t="shared" si="21"/>
        <v/>
      </c>
      <c r="AN127" s="196"/>
      <c r="AO127" s="196"/>
      <c r="AP127" s="196"/>
      <c r="AQ127" s="196"/>
      <c r="AR127" s="196"/>
      <c r="AS127" s="196"/>
      <c r="AT127" s="196"/>
      <c r="AU127" s="197" t="str">
        <f>IFERROR(VLOOKUP(AT127,'Seguridad Información'!$I$61:$J$65,2,0),"")</f>
        <v/>
      </c>
      <c r="AV127" s="79"/>
      <c r="AW127" s="78" t="str">
        <f t="shared" si="12"/>
        <v/>
      </c>
      <c r="AX127" s="77" t="str">
        <f t="shared" si="22"/>
        <v/>
      </c>
      <c r="AY127" s="21" t="str">
        <f>IFERROR(VLOOKUP((CONCATENATE(AM127,AX127)),Listados!$U$3:$V$11,2,FALSE),"")</f>
        <v/>
      </c>
      <c r="AZ127" s="48">
        <f t="shared" si="23"/>
        <v>100</v>
      </c>
      <c r="BA127" s="430">
        <f>AVERAGE(AZ127:AZ132)</f>
        <v>100</v>
      </c>
      <c r="BB127" s="432" t="str">
        <f>IF(BA127&lt;=50, "Débil", IF(BA127&lt;=99,"Moderado","Fuerte"))</f>
        <v>Fuerte</v>
      </c>
      <c r="BC127" s="169">
        <f>+IF(AND(W127="Preventivo",BB127="Fuerte"),2,IF(AND(W127="Preventivo",BB127="Moderado"),1,0))</f>
        <v>0</v>
      </c>
      <c r="BD127" s="64">
        <f>+IF(AND(W127="Detectivo/Correctivo",$BB127="Fuerte"),2,IF(AND(W127="Detectivo/Correctivo",$BB127="Moderado"),1,IF(AND(W127="Preventivo",$BB127="Fuerte"),1,0)))</f>
        <v>0</v>
      </c>
      <c r="BE127" s="169" t="e">
        <f>+N127-BC127</f>
        <v>#N/A</v>
      </c>
      <c r="BF127" s="169" t="e">
        <f>+P127-BD127</f>
        <v>#N/A</v>
      </c>
      <c r="BG127" s="421" t="e">
        <f>+VLOOKUP(MIN(BE127,BE128,BE129,BE130,BE131,BE132),Listados!$J$18:$K$24,2,TRUE)</f>
        <v>#N/A</v>
      </c>
      <c r="BH127" s="421" t="e">
        <f>+VLOOKUP(MIN(BF127,BF128,BF129,BF130,BF131,BF132),Listados!$J$27:$K$32,2,TRUE)</f>
        <v>#N/A</v>
      </c>
      <c r="BI127" s="421" t="e">
        <f>IF(AND(BG127&lt;&gt;"",BH127&lt;&gt;""),VLOOKUP(BG127&amp;BH127,Listados!$M$3:$N$27,2,FALSE),"")</f>
        <v>#N/A</v>
      </c>
      <c r="BJ127" s="644" t="e">
        <f>+IF($R127="Asumir el riesgo","NA","")</f>
        <v>#N/A</v>
      </c>
      <c r="BK127" s="644" t="e">
        <f>+IF($R127="Asumir el riesgo","NA","")</f>
        <v>#N/A</v>
      </c>
      <c r="BL127" s="644" t="e">
        <f>+IF($R127="Asumir el riesgo","NA","")</f>
        <v>#N/A</v>
      </c>
      <c r="BM127" s="644" t="e">
        <f>+IF($R127="Asumir el riesgo","NA","")</f>
        <v>#N/A</v>
      </c>
    </row>
    <row r="128" spans="1:65" ht="65.099999999999994" customHeight="1" thickBot="1">
      <c r="A128" s="405"/>
      <c r="B128" s="625"/>
      <c r="C128" s="440"/>
      <c r="D128" s="152"/>
      <c r="E128" s="152"/>
      <c r="F128" s="475"/>
      <c r="G128" s="443"/>
      <c r="H128" s="100"/>
      <c r="I128" s="128"/>
      <c r="J128" s="100"/>
      <c r="K128" s="147"/>
      <c r="L128" s="129"/>
      <c r="M128" s="446"/>
      <c r="N128" s="425"/>
      <c r="O128" s="428"/>
      <c r="P128" s="425"/>
      <c r="Q128" s="429"/>
      <c r="R128" s="422"/>
      <c r="S128" s="150"/>
      <c r="T128" s="198"/>
      <c r="U128" s="47" t="s">
        <v>627</v>
      </c>
      <c r="V128" s="172"/>
      <c r="W128" s="172"/>
      <c r="X128" s="172"/>
      <c r="Y128" s="95" t="str">
        <f t="shared" si="13"/>
        <v/>
      </c>
      <c r="Z128" s="172"/>
      <c r="AA128" s="95" t="str">
        <f t="shared" si="14"/>
        <v/>
      </c>
      <c r="AB128" s="150"/>
      <c r="AC128" s="95" t="str">
        <f t="shared" si="15"/>
        <v/>
      </c>
      <c r="AD128" s="150"/>
      <c r="AE128" s="95" t="str">
        <f t="shared" si="16"/>
        <v/>
      </c>
      <c r="AF128" s="150"/>
      <c r="AG128" s="95" t="str">
        <f t="shared" si="17"/>
        <v/>
      </c>
      <c r="AH128" s="150"/>
      <c r="AI128" s="95" t="str">
        <f t="shared" si="18"/>
        <v/>
      </c>
      <c r="AJ128" s="150"/>
      <c r="AK128" s="27" t="str">
        <f t="shared" si="19"/>
        <v/>
      </c>
      <c r="AL128" s="48" t="str">
        <f t="shared" si="20"/>
        <v/>
      </c>
      <c r="AM128" s="48" t="str">
        <f t="shared" si="21"/>
        <v/>
      </c>
      <c r="AN128" s="196"/>
      <c r="AO128" s="196"/>
      <c r="AP128" s="196"/>
      <c r="AQ128" s="196"/>
      <c r="AR128" s="196"/>
      <c r="AS128" s="196"/>
      <c r="AT128" s="196"/>
      <c r="AU128" s="197" t="str">
        <f>IFERROR(VLOOKUP(AT128,'Seguridad Información'!$I$61:$J$65,2,0),"")</f>
        <v/>
      </c>
      <c r="AV128" s="79"/>
      <c r="AW128" s="78" t="str">
        <f t="shared" si="12"/>
        <v/>
      </c>
      <c r="AX128" s="77" t="str">
        <f t="shared" si="22"/>
        <v/>
      </c>
      <c r="AY128" s="21" t="str">
        <f>IFERROR(VLOOKUP((CONCATENATE(AM128,AX128)),Listados!$U$3:$V$11,2,FALSE),"")</f>
        <v/>
      </c>
      <c r="AZ128" s="48">
        <f t="shared" si="23"/>
        <v>100</v>
      </c>
      <c r="BA128" s="431"/>
      <c r="BB128" s="433"/>
      <c r="BC128" s="169">
        <f>+IF(AND(W128="Preventivo",BB127="Fuerte"),2,IF(AND(W128="Preventivo",BB127="Moderado"),1,0))</f>
        <v>0</v>
      </c>
      <c r="BD128" s="64">
        <f>+IF(AND(W128="Detectivo/Correctivo",$BB127="Fuerte"),2,IF(AND(W128="Detectivo/Correctivo",$BB128="Moderado"),1,IF(AND(W128="Preventivo",$BB127="Fuerte"),1,0)))</f>
        <v>0</v>
      </c>
      <c r="BE128" s="169" t="e">
        <f>+N127-BC128</f>
        <v>#N/A</v>
      </c>
      <c r="BF128" s="169" t="e">
        <f>+P127-BD128</f>
        <v>#N/A</v>
      </c>
      <c r="BG128" s="422"/>
      <c r="BH128" s="422"/>
      <c r="BI128" s="422"/>
      <c r="BJ128" s="645"/>
      <c r="BK128" s="645"/>
      <c r="BL128" s="645"/>
      <c r="BM128" s="645"/>
    </row>
    <row r="129" spans="1:65" ht="65.099999999999994" customHeight="1" thickBot="1">
      <c r="A129" s="405"/>
      <c r="B129" s="625"/>
      <c r="C129" s="440"/>
      <c r="D129" s="152"/>
      <c r="E129" s="152"/>
      <c r="F129" s="475"/>
      <c r="G129" s="443"/>
      <c r="H129" s="100"/>
      <c r="I129" s="128"/>
      <c r="J129" s="100"/>
      <c r="K129" s="147"/>
      <c r="L129" s="129"/>
      <c r="M129" s="446"/>
      <c r="N129" s="425"/>
      <c r="O129" s="428"/>
      <c r="P129" s="425"/>
      <c r="Q129" s="429"/>
      <c r="R129" s="422"/>
      <c r="S129" s="150"/>
      <c r="T129" s="96"/>
      <c r="U129" s="47" t="s">
        <v>627</v>
      </c>
      <c r="V129" s="172"/>
      <c r="W129" s="172"/>
      <c r="X129" s="172"/>
      <c r="Y129" s="95" t="str">
        <f t="shared" si="13"/>
        <v/>
      </c>
      <c r="Z129" s="172"/>
      <c r="AA129" s="95" t="str">
        <f t="shared" si="14"/>
        <v/>
      </c>
      <c r="AB129" s="150"/>
      <c r="AC129" s="95" t="str">
        <f t="shared" si="15"/>
        <v/>
      </c>
      <c r="AD129" s="150"/>
      <c r="AE129" s="95" t="str">
        <f t="shared" si="16"/>
        <v/>
      </c>
      <c r="AF129" s="150"/>
      <c r="AG129" s="95" t="str">
        <f t="shared" si="17"/>
        <v/>
      </c>
      <c r="AH129" s="150"/>
      <c r="AI129" s="95" t="str">
        <f t="shared" si="18"/>
        <v/>
      </c>
      <c r="AJ129" s="150"/>
      <c r="AK129" s="27" t="str">
        <f t="shared" si="19"/>
        <v/>
      </c>
      <c r="AL129" s="48" t="str">
        <f t="shared" si="20"/>
        <v/>
      </c>
      <c r="AM129" s="48" t="str">
        <f t="shared" si="21"/>
        <v/>
      </c>
      <c r="AN129" s="196"/>
      <c r="AO129" s="196"/>
      <c r="AP129" s="196"/>
      <c r="AQ129" s="196"/>
      <c r="AR129" s="196"/>
      <c r="AS129" s="196"/>
      <c r="AT129" s="196"/>
      <c r="AU129" s="197" t="str">
        <f>IFERROR(VLOOKUP(AT129,'Seguridad Información'!$I$61:$J$65,2,0),"")</f>
        <v/>
      </c>
      <c r="AV129" s="79"/>
      <c r="AW129" s="78" t="str">
        <f t="shared" si="12"/>
        <v/>
      </c>
      <c r="AX129" s="77" t="str">
        <f t="shared" si="22"/>
        <v/>
      </c>
      <c r="AY129" s="21" t="str">
        <f>IFERROR(VLOOKUP((CONCATENATE(AM129,AX129)),Listados!$U$3:$V$11,2,FALSE),"")</f>
        <v/>
      </c>
      <c r="AZ129" s="48">
        <f t="shared" si="23"/>
        <v>100</v>
      </c>
      <c r="BA129" s="431"/>
      <c r="BB129" s="433"/>
      <c r="BC129" s="169">
        <f>+IF(AND(W129="Preventivo",BB127="Fuerte"),2,IF(AND(W129="Preventivo",BB127="Moderado"),1,0))</f>
        <v>0</v>
      </c>
      <c r="BD129" s="64">
        <f>+IF(AND(W129="Detectivo/Correctivo",$BB127="Fuerte"),2,IF(AND(W129="Detectivo/Correctivo",$BB129="Moderado"),1,IF(AND(W129="Preventivo",$BB127="Fuerte"),1,0)))</f>
        <v>0</v>
      </c>
      <c r="BE129" s="169" t="e">
        <f>+N127-BC129</f>
        <v>#N/A</v>
      </c>
      <c r="BF129" s="169" t="e">
        <f>+P127-BD129</f>
        <v>#N/A</v>
      </c>
      <c r="BG129" s="422"/>
      <c r="BH129" s="422"/>
      <c r="BI129" s="422"/>
      <c r="BJ129" s="645"/>
      <c r="BK129" s="645"/>
      <c r="BL129" s="645"/>
      <c r="BM129" s="645"/>
    </row>
    <row r="130" spans="1:65" ht="65.099999999999994" customHeight="1" thickBot="1">
      <c r="A130" s="405"/>
      <c r="B130" s="625"/>
      <c r="C130" s="440"/>
      <c r="D130" s="152"/>
      <c r="E130" s="152"/>
      <c r="F130" s="475"/>
      <c r="G130" s="443"/>
      <c r="H130" s="100"/>
      <c r="I130" s="128"/>
      <c r="J130" s="100"/>
      <c r="K130" s="147"/>
      <c r="L130" s="129"/>
      <c r="M130" s="446"/>
      <c r="N130" s="425"/>
      <c r="O130" s="428"/>
      <c r="P130" s="425"/>
      <c r="Q130" s="429"/>
      <c r="R130" s="422"/>
      <c r="S130" s="150"/>
      <c r="T130" s="97"/>
      <c r="U130" s="47" t="s">
        <v>627</v>
      </c>
      <c r="V130" s="172"/>
      <c r="W130" s="172"/>
      <c r="X130" s="172"/>
      <c r="Y130" s="95" t="str">
        <f t="shared" si="13"/>
        <v/>
      </c>
      <c r="Z130" s="172"/>
      <c r="AA130" s="95" t="str">
        <f t="shared" si="14"/>
        <v/>
      </c>
      <c r="AB130" s="150"/>
      <c r="AC130" s="95" t="str">
        <f t="shared" si="15"/>
        <v/>
      </c>
      <c r="AD130" s="150"/>
      <c r="AE130" s="95" t="str">
        <f t="shared" si="16"/>
        <v/>
      </c>
      <c r="AF130" s="150"/>
      <c r="AG130" s="95" t="str">
        <f t="shared" si="17"/>
        <v/>
      </c>
      <c r="AH130" s="150"/>
      <c r="AI130" s="95" t="str">
        <f t="shared" si="18"/>
        <v/>
      </c>
      <c r="AJ130" s="150"/>
      <c r="AK130" s="27" t="str">
        <f t="shared" si="19"/>
        <v/>
      </c>
      <c r="AL130" s="48" t="str">
        <f t="shared" si="20"/>
        <v/>
      </c>
      <c r="AM130" s="48" t="str">
        <f t="shared" si="21"/>
        <v/>
      </c>
      <c r="AN130" s="196"/>
      <c r="AO130" s="196"/>
      <c r="AP130" s="196"/>
      <c r="AQ130" s="196"/>
      <c r="AR130" s="196"/>
      <c r="AS130" s="196"/>
      <c r="AT130" s="196"/>
      <c r="AU130" s="197" t="str">
        <f>IFERROR(VLOOKUP(AT130,'Seguridad Información'!$I$61:$J$65,2,0),"")</f>
        <v/>
      </c>
      <c r="AV130" s="79"/>
      <c r="AW130" s="78" t="str">
        <f t="shared" si="12"/>
        <v/>
      </c>
      <c r="AX130" s="77" t="str">
        <f t="shared" si="22"/>
        <v/>
      </c>
      <c r="AY130" s="21" t="str">
        <f>IFERROR(VLOOKUP((CONCATENATE(AM130,AX130)),Listados!$U$3:$V$11,2,FALSE),"")</f>
        <v/>
      </c>
      <c r="AZ130" s="48">
        <f t="shared" si="23"/>
        <v>100</v>
      </c>
      <c r="BA130" s="431"/>
      <c r="BB130" s="433"/>
      <c r="BC130" s="169">
        <f>+IF(AND(W130="Preventivo",BB127="Fuerte"),2,IF(AND(W130="Preventivo",BB127="Moderado"),1,0))</f>
        <v>0</v>
      </c>
      <c r="BD130" s="64">
        <f>+IF(AND(W130="Detectivo/Correctivo",$BB127="Fuerte"),2,IF(AND(W130="Detectivo/Correctivo",$BB130="Moderado"),1,IF(AND(W130="Preventivo",$BB127="Fuerte"),1,0)))</f>
        <v>0</v>
      </c>
      <c r="BE130" s="169" t="e">
        <f>+N127-BC130</f>
        <v>#N/A</v>
      </c>
      <c r="BF130" s="169" t="e">
        <f>+P127-BD130</f>
        <v>#N/A</v>
      </c>
      <c r="BG130" s="422"/>
      <c r="BH130" s="422"/>
      <c r="BI130" s="422"/>
      <c r="BJ130" s="645"/>
      <c r="BK130" s="645"/>
      <c r="BL130" s="645"/>
      <c r="BM130" s="645"/>
    </row>
    <row r="131" spans="1:65" ht="65.099999999999994" customHeight="1" thickBot="1">
      <c r="A131" s="405"/>
      <c r="B131" s="625"/>
      <c r="C131" s="440"/>
      <c r="D131" s="109"/>
      <c r="E131" s="109"/>
      <c r="F131" s="475"/>
      <c r="G131" s="443"/>
      <c r="H131" s="100"/>
      <c r="I131" s="128"/>
      <c r="J131" s="100"/>
      <c r="K131" s="29"/>
      <c r="L131" s="129"/>
      <c r="M131" s="446"/>
      <c r="N131" s="425"/>
      <c r="O131" s="428"/>
      <c r="P131" s="425"/>
      <c r="Q131" s="429"/>
      <c r="R131" s="422"/>
      <c r="S131" s="150"/>
      <c r="T131" s="198"/>
      <c r="U131" s="47" t="s">
        <v>627</v>
      </c>
      <c r="V131" s="172"/>
      <c r="W131" s="172"/>
      <c r="X131" s="172"/>
      <c r="Y131" s="95" t="str">
        <f t="shared" si="13"/>
        <v/>
      </c>
      <c r="Z131" s="172"/>
      <c r="AA131" s="95" t="str">
        <f t="shared" si="14"/>
        <v/>
      </c>
      <c r="AB131" s="150"/>
      <c r="AC131" s="95" t="str">
        <f t="shared" si="15"/>
        <v/>
      </c>
      <c r="AD131" s="150"/>
      <c r="AE131" s="95" t="str">
        <f t="shared" si="16"/>
        <v/>
      </c>
      <c r="AF131" s="150"/>
      <c r="AG131" s="95" t="str">
        <f t="shared" si="17"/>
        <v/>
      </c>
      <c r="AH131" s="150"/>
      <c r="AI131" s="95" t="str">
        <f t="shared" si="18"/>
        <v/>
      </c>
      <c r="AJ131" s="150"/>
      <c r="AK131" s="27" t="str">
        <f t="shared" si="19"/>
        <v/>
      </c>
      <c r="AL131" s="48" t="str">
        <f t="shared" si="20"/>
        <v/>
      </c>
      <c r="AM131" s="48" t="str">
        <f t="shared" si="21"/>
        <v/>
      </c>
      <c r="AN131" s="196"/>
      <c r="AO131" s="196"/>
      <c r="AP131" s="196"/>
      <c r="AQ131" s="196"/>
      <c r="AR131" s="196"/>
      <c r="AS131" s="196"/>
      <c r="AT131" s="196"/>
      <c r="AU131" s="197" t="str">
        <f>IFERROR(VLOOKUP(AT131,'Seguridad Información'!$I$61:$J$65,2,0),"")</f>
        <v/>
      </c>
      <c r="AV131" s="79"/>
      <c r="AW131" s="78" t="str">
        <f t="shared" si="12"/>
        <v/>
      </c>
      <c r="AX131" s="77" t="str">
        <f t="shared" si="22"/>
        <v/>
      </c>
      <c r="AY131" s="21" t="str">
        <f>IFERROR(VLOOKUP((CONCATENATE(AM131,AX131)),Listados!$U$3:$V$11,2,FALSE),"")</f>
        <v/>
      </c>
      <c r="AZ131" s="48">
        <f t="shared" si="23"/>
        <v>100</v>
      </c>
      <c r="BA131" s="431"/>
      <c r="BB131" s="433"/>
      <c r="BC131" s="169">
        <f>+IF(AND(W131="Preventivo",BB127="Fuerte"),2,IF(AND(W131="Preventivo",BB127="Moderado"),1,0))</f>
        <v>0</v>
      </c>
      <c r="BD131" s="64">
        <f>+IF(AND(W131="Detectivo/Correctivo",$BB127="Fuerte"),2,IF(AND(W131="Detectivo/Correctivo",$BB131="Moderado"),1,IF(AND(W131="Preventivo",$BB127="Fuerte"),1,0)))</f>
        <v>0</v>
      </c>
      <c r="BE131" s="169" t="e">
        <f>+N127-BC131</f>
        <v>#N/A</v>
      </c>
      <c r="BF131" s="169" t="e">
        <f>+P127-BD131</f>
        <v>#N/A</v>
      </c>
      <c r="BG131" s="422"/>
      <c r="BH131" s="422"/>
      <c r="BI131" s="422"/>
      <c r="BJ131" s="645"/>
      <c r="BK131" s="645"/>
      <c r="BL131" s="645"/>
      <c r="BM131" s="645"/>
    </row>
    <row r="132" spans="1:65" ht="65.099999999999994" customHeight="1" thickBot="1">
      <c r="A132" s="406"/>
      <c r="B132" s="625"/>
      <c r="C132" s="441"/>
      <c r="D132" s="106"/>
      <c r="E132" s="106"/>
      <c r="F132" s="619"/>
      <c r="G132" s="444"/>
      <c r="H132" s="100"/>
      <c r="I132" s="128"/>
      <c r="J132" s="100"/>
      <c r="K132" s="31"/>
      <c r="L132" s="129"/>
      <c r="M132" s="446"/>
      <c r="N132" s="426"/>
      <c r="O132" s="428"/>
      <c r="P132" s="426"/>
      <c r="Q132" s="429"/>
      <c r="R132" s="423"/>
      <c r="S132" s="150"/>
      <c r="T132" s="98"/>
      <c r="U132" s="47" t="s">
        <v>627</v>
      </c>
      <c r="V132" s="172"/>
      <c r="W132" s="172"/>
      <c r="X132" s="172"/>
      <c r="Y132" s="95" t="str">
        <f t="shared" si="13"/>
        <v/>
      </c>
      <c r="Z132" s="172"/>
      <c r="AA132" s="95" t="str">
        <f t="shared" si="14"/>
        <v/>
      </c>
      <c r="AB132" s="150"/>
      <c r="AC132" s="95" t="str">
        <f t="shared" si="15"/>
        <v/>
      </c>
      <c r="AD132" s="150"/>
      <c r="AE132" s="95" t="str">
        <f t="shared" si="16"/>
        <v/>
      </c>
      <c r="AF132" s="150"/>
      <c r="AG132" s="95" t="str">
        <f t="shared" si="17"/>
        <v/>
      </c>
      <c r="AH132" s="150"/>
      <c r="AI132" s="95" t="str">
        <f t="shared" si="18"/>
        <v/>
      </c>
      <c r="AJ132" s="150"/>
      <c r="AK132" s="27" t="str">
        <f t="shared" si="19"/>
        <v/>
      </c>
      <c r="AL132" s="48" t="str">
        <f t="shared" si="20"/>
        <v/>
      </c>
      <c r="AM132" s="48" t="str">
        <f t="shared" si="21"/>
        <v/>
      </c>
      <c r="AN132" s="196"/>
      <c r="AO132" s="196"/>
      <c r="AP132" s="196"/>
      <c r="AQ132" s="196"/>
      <c r="AR132" s="196"/>
      <c r="AS132" s="196"/>
      <c r="AT132" s="196"/>
      <c r="AU132" s="197" t="str">
        <f>IFERROR(VLOOKUP(AT132,'Seguridad Información'!$I$61:$J$65,2,0),"")</f>
        <v/>
      </c>
      <c r="AV132" s="79"/>
      <c r="AW132" s="78" t="str">
        <f t="shared" si="12"/>
        <v/>
      </c>
      <c r="AX132" s="77" t="str">
        <f t="shared" si="22"/>
        <v/>
      </c>
      <c r="AY132" s="21" t="str">
        <f>IFERROR(VLOOKUP((CONCATENATE(AM132,AX132)),Listados!$U$3:$V$11,2,FALSE),"")</f>
        <v/>
      </c>
      <c r="AZ132" s="48">
        <f t="shared" si="23"/>
        <v>100</v>
      </c>
      <c r="BA132" s="432"/>
      <c r="BB132" s="433"/>
      <c r="BC132" s="169">
        <f>+IF(AND(W132="Preventivo",BB127="Fuerte"),2,IF(AND(W132="Preventivo",BB127="Moderado"),1,0))</f>
        <v>0</v>
      </c>
      <c r="BD132" s="64">
        <f>+IF(AND(W132="Detectivo/Correctivo",$BB127="Fuerte"),2,IF(AND(W132="Detectivo/Correctivo",$BB132="Moderado"),1,IF(AND(W132="Preventivo",$BB127="Fuerte"),1,0)))</f>
        <v>0</v>
      </c>
      <c r="BE132" s="169" t="e">
        <f>+N127-BC132</f>
        <v>#N/A</v>
      </c>
      <c r="BF132" s="169" t="e">
        <f>+P127-BD132</f>
        <v>#N/A</v>
      </c>
      <c r="BG132" s="423"/>
      <c r="BH132" s="423"/>
      <c r="BI132" s="423"/>
      <c r="BJ132" s="646"/>
      <c r="BK132" s="646"/>
      <c r="BL132" s="646"/>
      <c r="BM132" s="646"/>
    </row>
    <row r="133" spans="1:65" ht="65.099999999999994" customHeight="1" thickBot="1">
      <c r="A133" s="404">
        <v>22</v>
      </c>
      <c r="B133" s="628"/>
      <c r="C133" s="447" t="str">
        <f>IFERROR(VLOOKUP(B133,Listados!B$3:C$20,2,FALSE),"")</f>
        <v/>
      </c>
      <c r="D133" s="107"/>
      <c r="E133" s="107"/>
      <c r="F133" s="618"/>
      <c r="G133" s="448"/>
      <c r="H133" s="100"/>
      <c r="I133" s="128"/>
      <c r="J133" s="100"/>
      <c r="K133" s="103"/>
      <c r="L133" s="17"/>
      <c r="M133" s="445"/>
      <c r="N133" s="424" t="e">
        <f>+VLOOKUP(M133,Listados!$K$8:$L$12,2,0)</f>
        <v>#N/A</v>
      </c>
      <c r="O133" s="427"/>
      <c r="P133" s="424" t="e">
        <f>+VLOOKUP(O133,Listados!$K$13:$L$17,2,0)</f>
        <v>#N/A</v>
      </c>
      <c r="Q133" s="423" t="str">
        <f>IF(AND(M133&lt;&gt;"",O133&lt;&gt;""),VLOOKUP(M133&amp;O133,Listados!$M$3:$N$27,2,FALSE),"")</f>
        <v/>
      </c>
      <c r="R133" s="421" t="e">
        <f>+VLOOKUP(Q133,Listados!$P$3:$Q$6,2,FALSE)</f>
        <v>#N/A</v>
      </c>
      <c r="S133" s="150"/>
      <c r="T133" s="94"/>
      <c r="U133" s="47" t="s">
        <v>627</v>
      </c>
      <c r="V133" s="172"/>
      <c r="W133" s="172"/>
      <c r="X133" s="172"/>
      <c r="Y133" s="95" t="str">
        <f t="shared" si="13"/>
        <v/>
      </c>
      <c r="Z133" s="172"/>
      <c r="AA133" s="95" t="str">
        <f t="shared" si="14"/>
        <v/>
      </c>
      <c r="AB133" s="150"/>
      <c r="AC133" s="95" t="str">
        <f t="shared" si="15"/>
        <v/>
      </c>
      <c r="AD133" s="150"/>
      <c r="AE133" s="95" t="str">
        <f t="shared" si="16"/>
        <v/>
      </c>
      <c r="AF133" s="150"/>
      <c r="AG133" s="95" t="str">
        <f t="shared" si="17"/>
        <v/>
      </c>
      <c r="AH133" s="150"/>
      <c r="AI133" s="95" t="str">
        <f t="shared" si="18"/>
        <v/>
      </c>
      <c r="AJ133" s="150"/>
      <c r="AK133" s="27" t="str">
        <f t="shared" si="19"/>
        <v/>
      </c>
      <c r="AL133" s="48" t="str">
        <f t="shared" si="20"/>
        <v/>
      </c>
      <c r="AM133" s="48" t="str">
        <f t="shared" si="21"/>
        <v/>
      </c>
      <c r="AN133" s="196"/>
      <c r="AO133" s="196"/>
      <c r="AP133" s="196"/>
      <c r="AQ133" s="196"/>
      <c r="AR133" s="196"/>
      <c r="AS133" s="196"/>
      <c r="AT133" s="196"/>
      <c r="AU133" s="197" t="str">
        <f>IFERROR(VLOOKUP(AT133,'Seguridad Información'!$I$61:$J$65,2,0),"")</f>
        <v/>
      </c>
      <c r="AV133" s="79"/>
      <c r="AW133" s="78" t="str">
        <f t="shared" si="12"/>
        <v/>
      </c>
      <c r="AX133" s="77" t="str">
        <f t="shared" si="22"/>
        <v/>
      </c>
      <c r="AY133" s="21" t="str">
        <f>IFERROR(VLOOKUP((CONCATENATE(AM133,AX133)),Listados!$U$3:$V$11,2,FALSE),"")</f>
        <v/>
      </c>
      <c r="AZ133" s="48">
        <f t="shared" si="23"/>
        <v>100</v>
      </c>
      <c r="BA133" s="430">
        <f>AVERAGE(AZ133:AZ138)</f>
        <v>100</v>
      </c>
      <c r="BB133" s="432" t="str">
        <f>IF(BA133&lt;=50, "Débil", IF(BA133&lt;=99,"Moderado","Fuerte"))</f>
        <v>Fuerte</v>
      </c>
      <c r="BC133" s="169">
        <f>+IF(AND(W133="Preventivo",BB133="Fuerte"),2,IF(AND(W133="Preventivo",BB133="Moderado"),1,0))</f>
        <v>0</v>
      </c>
      <c r="BD133" s="64">
        <f>+IF(AND(W133="Detectivo/Correctivo",$BB133="Fuerte"),2,IF(AND(W133="Detectivo/Correctivo",$BB133="Moderado"),1,IF(AND(W133="Preventivo",$BB133="Fuerte"),1,0)))</f>
        <v>0</v>
      </c>
      <c r="BE133" s="169" t="e">
        <f>+N133-BC133</f>
        <v>#N/A</v>
      </c>
      <c r="BF133" s="169" t="e">
        <f>+P133-BD133</f>
        <v>#N/A</v>
      </c>
      <c r="BG133" s="421" t="e">
        <f>+VLOOKUP(MIN(BE133,BE134,BE135,BE136,BE137,BE138),Listados!$J$18:$K$24,2,TRUE)</f>
        <v>#N/A</v>
      </c>
      <c r="BH133" s="421" t="e">
        <f>+VLOOKUP(MIN(BF133,BF134,BF135,BF136,BF137,BF138),Listados!$J$27:$K$32,2,TRUE)</f>
        <v>#N/A</v>
      </c>
      <c r="BI133" s="421" t="e">
        <f>IF(AND(BG133&lt;&gt;"",BH133&lt;&gt;""),VLOOKUP(BG133&amp;BH133,Listados!$M$3:$N$27,2,FALSE),"")</f>
        <v>#N/A</v>
      </c>
      <c r="BJ133" s="644" t="e">
        <f>+IF($R133="Asumir el riesgo","NA","")</f>
        <v>#N/A</v>
      </c>
      <c r="BK133" s="644" t="e">
        <f>+IF($R133="Asumir el riesgo","NA","")</f>
        <v>#N/A</v>
      </c>
      <c r="BL133" s="644" t="e">
        <f>+IF($R133="Asumir el riesgo","NA","")</f>
        <v>#N/A</v>
      </c>
      <c r="BM133" s="644" t="e">
        <f>+IF($R133="Asumir el riesgo","NA","")</f>
        <v>#N/A</v>
      </c>
    </row>
    <row r="134" spans="1:65" ht="65.099999999999994" customHeight="1" thickBot="1">
      <c r="A134" s="405"/>
      <c r="B134" s="625"/>
      <c r="C134" s="440"/>
      <c r="D134" s="152"/>
      <c r="E134" s="152"/>
      <c r="F134" s="475"/>
      <c r="G134" s="443"/>
      <c r="H134" s="100"/>
      <c r="I134" s="128"/>
      <c r="J134" s="100"/>
      <c r="K134" s="147"/>
      <c r="L134" s="129"/>
      <c r="M134" s="446"/>
      <c r="N134" s="425"/>
      <c r="O134" s="428"/>
      <c r="P134" s="425"/>
      <c r="Q134" s="429"/>
      <c r="R134" s="422"/>
      <c r="S134" s="150"/>
      <c r="T134" s="198"/>
      <c r="U134" s="47" t="s">
        <v>627</v>
      </c>
      <c r="V134" s="172"/>
      <c r="W134" s="172"/>
      <c r="X134" s="172"/>
      <c r="Y134" s="95" t="str">
        <f t="shared" si="13"/>
        <v/>
      </c>
      <c r="Z134" s="172"/>
      <c r="AA134" s="95" t="str">
        <f t="shared" si="14"/>
        <v/>
      </c>
      <c r="AB134" s="150"/>
      <c r="AC134" s="95" t="str">
        <f t="shared" si="15"/>
        <v/>
      </c>
      <c r="AD134" s="150"/>
      <c r="AE134" s="95" t="str">
        <f t="shared" si="16"/>
        <v/>
      </c>
      <c r="AF134" s="150"/>
      <c r="AG134" s="95" t="str">
        <f t="shared" si="17"/>
        <v/>
      </c>
      <c r="AH134" s="150"/>
      <c r="AI134" s="95" t="str">
        <f t="shared" si="18"/>
        <v/>
      </c>
      <c r="AJ134" s="150"/>
      <c r="AK134" s="27" t="str">
        <f t="shared" si="19"/>
        <v/>
      </c>
      <c r="AL134" s="48" t="str">
        <f t="shared" si="20"/>
        <v/>
      </c>
      <c r="AM134" s="48" t="str">
        <f t="shared" si="21"/>
        <v/>
      </c>
      <c r="AN134" s="196"/>
      <c r="AO134" s="196"/>
      <c r="AP134" s="196"/>
      <c r="AQ134" s="196"/>
      <c r="AR134" s="196"/>
      <c r="AS134" s="196"/>
      <c r="AT134" s="196"/>
      <c r="AU134" s="197" t="str">
        <f>IFERROR(VLOOKUP(AT134,'Seguridad Información'!$I$61:$J$65,2,0),"")</f>
        <v/>
      </c>
      <c r="AV134" s="79"/>
      <c r="AW134" s="78" t="str">
        <f t="shared" si="12"/>
        <v/>
      </c>
      <c r="AX134" s="77" t="str">
        <f t="shared" si="22"/>
        <v/>
      </c>
      <c r="AY134" s="21" t="str">
        <f>IFERROR(VLOOKUP((CONCATENATE(AM134,AX134)),Listados!$U$3:$V$11,2,FALSE),"")</f>
        <v/>
      </c>
      <c r="AZ134" s="48">
        <f t="shared" si="23"/>
        <v>100</v>
      </c>
      <c r="BA134" s="431"/>
      <c r="BB134" s="433"/>
      <c r="BC134" s="169">
        <f>+IF(AND(W134="Preventivo",BB133="Fuerte"),2,IF(AND(W134="Preventivo",BB133="Moderado"),1,0))</f>
        <v>0</v>
      </c>
      <c r="BD134" s="64">
        <f>+IF(AND(W134="Detectivo/Correctivo",$BB133="Fuerte"),2,IF(AND(W134="Detectivo/Correctivo",$BB134="Moderado"),1,IF(AND(W134="Preventivo",$BB133="Fuerte"),1,0)))</f>
        <v>0</v>
      </c>
      <c r="BE134" s="169" t="e">
        <f>+N133-BC134</f>
        <v>#N/A</v>
      </c>
      <c r="BF134" s="169" t="e">
        <f>+P133-BD134</f>
        <v>#N/A</v>
      </c>
      <c r="BG134" s="422"/>
      <c r="BH134" s="422"/>
      <c r="BI134" s="422"/>
      <c r="BJ134" s="645"/>
      <c r="BK134" s="645"/>
      <c r="BL134" s="645"/>
      <c r="BM134" s="645"/>
    </row>
    <row r="135" spans="1:65" ht="65.099999999999994" customHeight="1" thickBot="1">
      <c r="A135" s="405"/>
      <c r="B135" s="625"/>
      <c r="C135" s="440"/>
      <c r="D135" s="152"/>
      <c r="E135" s="152"/>
      <c r="F135" s="475"/>
      <c r="G135" s="443"/>
      <c r="H135" s="100"/>
      <c r="I135" s="128"/>
      <c r="J135" s="100"/>
      <c r="K135" s="147"/>
      <c r="L135" s="129"/>
      <c r="M135" s="446"/>
      <c r="N135" s="425"/>
      <c r="O135" s="428"/>
      <c r="P135" s="425"/>
      <c r="Q135" s="429"/>
      <c r="R135" s="422"/>
      <c r="S135" s="150"/>
      <c r="T135" s="96"/>
      <c r="U135" s="47" t="s">
        <v>627</v>
      </c>
      <c r="V135" s="172"/>
      <c r="W135" s="172"/>
      <c r="X135" s="172"/>
      <c r="Y135" s="95" t="str">
        <f t="shared" si="13"/>
        <v/>
      </c>
      <c r="Z135" s="172"/>
      <c r="AA135" s="95" t="str">
        <f t="shared" si="14"/>
        <v/>
      </c>
      <c r="AB135" s="150"/>
      <c r="AC135" s="95" t="str">
        <f t="shared" si="15"/>
        <v/>
      </c>
      <c r="AD135" s="150"/>
      <c r="AE135" s="95" t="str">
        <f t="shared" si="16"/>
        <v/>
      </c>
      <c r="AF135" s="150"/>
      <c r="AG135" s="95" t="str">
        <f t="shared" si="17"/>
        <v/>
      </c>
      <c r="AH135" s="150"/>
      <c r="AI135" s="95" t="str">
        <f t="shared" si="18"/>
        <v/>
      </c>
      <c r="AJ135" s="150"/>
      <c r="AK135" s="27" t="str">
        <f t="shared" si="19"/>
        <v/>
      </c>
      <c r="AL135" s="48" t="str">
        <f t="shared" si="20"/>
        <v/>
      </c>
      <c r="AM135" s="48" t="str">
        <f t="shared" si="21"/>
        <v/>
      </c>
      <c r="AN135" s="196"/>
      <c r="AO135" s="196"/>
      <c r="AP135" s="196"/>
      <c r="AQ135" s="196"/>
      <c r="AR135" s="196"/>
      <c r="AS135" s="196"/>
      <c r="AT135" s="196"/>
      <c r="AU135" s="197" t="str">
        <f>IFERROR(VLOOKUP(AT135,'Seguridad Información'!$I$61:$J$65,2,0),"")</f>
        <v/>
      </c>
      <c r="AV135" s="79"/>
      <c r="AW135" s="78" t="str">
        <f t="shared" ref="AW135:AW198" si="24">IFERROR(AVERAGE(AO135,AQ135,AS135,AU135),"")</f>
        <v/>
      </c>
      <c r="AX135" s="77" t="str">
        <f t="shared" si="22"/>
        <v/>
      </c>
      <c r="AY135" s="21" t="str">
        <f>IFERROR(VLOOKUP((CONCATENATE(AM135,AX135)),Listados!$U$3:$V$11,2,FALSE),"")</f>
        <v/>
      </c>
      <c r="AZ135" s="48">
        <f t="shared" si="23"/>
        <v>100</v>
      </c>
      <c r="BA135" s="431"/>
      <c r="BB135" s="433"/>
      <c r="BC135" s="169">
        <f>+IF(AND(W135="Preventivo",BB133="Fuerte"),2,IF(AND(W135="Preventivo",BB133="Moderado"),1,0))</f>
        <v>0</v>
      </c>
      <c r="BD135" s="64">
        <f>+IF(AND(W135="Detectivo/Correctivo",$BB133="Fuerte"),2,IF(AND(W135="Detectivo/Correctivo",$BB135="Moderado"),1,IF(AND(W135="Preventivo",$BB133="Fuerte"),1,0)))</f>
        <v>0</v>
      </c>
      <c r="BE135" s="169" t="e">
        <f>+N133-BC135</f>
        <v>#N/A</v>
      </c>
      <c r="BF135" s="169" t="e">
        <f>+P133-BD135</f>
        <v>#N/A</v>
      </c>
      <c r="BG135" s="422"/>
      <c r="BH135" s="422"/>
      <c r="BI135" s="422"/>
      <c r="BJ135" s="645"/>
      <c r="BK135" s="645"/>
      <c r="BL135" s="645"/>
      <c r="BM135" s="645"/>
    </row>
    <row r="136" spans="1:65" ht="65.099999999999994" customHeight="1" thickBot="1">
      <c r="A136" s="405"/>
      <c r="B136" s="625"/>
      <c r="C136" s="440"/>
      <c r="D136" s="152"/>
      <c r="E136" s="152"/>
      <c r="F136" s="475"/>
      <c r="G136" s="443"/>
      <c r="H136" s="100"/>
      <c r="I136" s="128"/>
      <c r="J136" s="100"/>
      <c r="K136" s="147"/>
      <c r="L136" s="129"/>
      <c r="M136" s="446"/>
      <c r="N136" s="425"/>
      <c r="O136" s="428"/>
      <c r="P136" s="425"/>
      <c r="Q136" s="429"/>
      <c r="R136" s="422"/>
      <c r="S136" s="150"/>
      <c r="T136" s="97"/>
      <c r="U136" s="47" t="s">
        <v>627</v>
      </c>
      <c r="V136" s="172"/>
      <c r="W136" s="172"/>
      <c r="X136" s="172"/>
      <c r="Y136" s="95" t="str">
        <f t="shared" ref="Y136:Y199" si="25">+IF(X136="si",15,"")</f>
        <v/>
      </c>
      <c r="Z136" s="172"/>
      <c r="AA136" s="95" t="str">
        <f t="shared" ref="AA136:AA199" si="26">+IF(Z136="si",15,"")</f>
        <v/>
      </c>
      <c r="AB136" s="150"/>
      <c r="AC136" s="95" t="str">
        <f t="shared" ref="AC136:AC199" si="27">+IF(AB136="si",15,"")</f>
        <v/>
      </c>
      <c r="AD136" s="150"/>
      <c r="AE136" s="95" t="str">
        <f t="shared" ref="AE136:AE199" si="28">+IF(AD136="si",15,"")</f>
        <v/>
      </c>
      <c r="AF136" s="150"/>
      <c r="AG136" s="95" t="str">
        <f t="shared" ref="AG136:AG199" si="29">+IF(AF136="si",15,"")</f>
        <v/>
      </c>
      <c r="AH136" s="150"/>
      <c r="AI136" s="95" t="str">
        <f t="shared" ref="AI136:AI199" si="30">+IF(AH136="si",15,"")</f>
        <v/>
      </c>
      <c r="AJ136" s="150"/>
      <c r="AK136" s="27" t="str">
        <f t="shared" ref="AK136:AK199" si="31">+IF(AJ136="Completa",10,IF(AJ136="Incompleta",5,""))</f>
        <v/>
      </c>
      <c r="AL136" s="48" t="str">
        <f t="shared" ref="AL136:AL199" si="32">IF((SUM(Y136,AA136,AC136,AE136,AG136,AI136,AK136)=0),"",(SUM(Y136,AA136,AC136,AE136,AG136,AI136,AK136)))</f>
        <v/>
      </c>
      <c r="AM136" s="48" t="str">
        <f t="shared" ref="AM136:AM199" si="33">IF(AL136&lt;=85,"Débil",IF(AL136&lt;=95,"Moderado",IF(AL136=100,"Fuerte","")))</f>
        <v/>
      </c>
      <c r="AN136" s="196"/>
      <c r="AO136" s="196"/>
      <c r="AP136" s="196"/>
      <c r="AQ136" s="196"/>
      <c r="AR136" s="196"/>
      <c r="AS136" s="196"/>
      <c r="AT136" s="196"/>
      <c r="AU136" s="197" t="str">
        <f>IFERROR(VLOOKUP(AT136,'Seguridad Información'!$I$61:$J$65,2,0),"")</f>
        <v/>
      </c>
      <c r="AV136" s="79"/>
      <c r="AW136" s="78" t="str">
        <f t="shared" si="24"/>
        <v/>
      </c>
      <c r="AX136" s="77" t="str">
        <f t="shared" ref="AX136:AX199" si="34">IF(AW136&lt;=80,"Débil",IF(AW136&lt;=90,"Moderado",IF(AW136=100,"Fuerte","")))</f>
        <v/>
      </c>
      <c r="AY136" s="21" t="str">
        <f>IFERROR(VLOOKUP((CONCATENATE(AM136,AX136)),Listados!$U$3:$V$11,2,FALSE),"")</f>
        <v/>
      </c>
      <c r="AZ136" s="48">
        <f t="shared" si="23"/>
        <v>100</v>
      </c>
      <c r="BA136" s="431"/>
      <c r="BB136" s="433"/>
      <c r="BC136" s="169">
        <f>+IF(AND(W136="Preventivo",BB133="Fuerte"),2,IF(AND(W136="Preventivo",BB133="Moderado"),1,0))</f>
        <v>0</v>
      </c>
      <c r="BD136" s="64">
        <f>+IF(AND(W136="Detectivo/Correctivo",$BB133="Fuerte"),2,IF(AND(W136="Detectivo/Correctivo",$BB136="Moderado"),1,IF(AND(W136="Preventivo",$BB133="Fuerte"),1,0)))</f>
        <v>0</v>
      </c>
      <c r="BE136" s="169" t="e">
        <f>+N133-BC136</f>
        <v>#N/A</v>
      </c>
      <c r="BF136" s="169" t="e">
        <f>+P133-BD136</f>
        <v>#N/A</v>
      </c>
      <c r="BG136" s="422"/>
      <c r="BH136" s="422"/>
      <c r="BI136" s="422"/>
      <c r="BJ136" s="645"/>
      <c r="BK136" s="645"/>
      <c r="BL136" s="645"/>
      <c r="BM136" s="645"/>
    </row>
    <row r="137" spans="1:65" ht="65.099999999999994" customHeight="1" thickBot="1">
      <c r="A137" s="405"/>
      <c r="B137" s="625"/>
      <c r="C137" s="440"/>
      <c r="D137" s="109"/>
      <c r="E137" s="109"/>
      <c r="F137" s="475"/>
      <c r="G137" s="443"/>
      <c r="H137" s="100"/>
      <c r="I137" s="128"/>
      <c r="J137" s="100"/>
      <c r="K137" s="29"/>
      <c r="L137" s="129"/>
      <c r="M137" s="446"/>
      <c r="N137" s="425"/>
      <c r="O137" s="428"/>
      <c r="P137" s="425"/>
      <c r="Q137" s="429"/>
      <c r="R137" s="422"/>
      <c r="S137" s="150"/>
      <c r="T137" s="198"/>
      <c r="U137" s="47" t="s">
        <v>627</v>
      </c>
      <c r="V137" s="172"/>
      <c r="W137" s="172"/>
      <c r="X137" s="172"/>
      <c r="Y137" s="95" t="str">
        <f t="shared" si="25"/>
        <v/>
      </c>
      <c r="Z137" s="172"/>
      <c r="AA137" s="95" t="str">
        <f t="shared" si="26"/>
        <v/>
      </c>
      <c r="AB137" s="150"/>
      <c r="AC137" s="95" t="str">
        <f t="shared" si="27"/>
        <v/>
      </c>
      <c r="AD137" s="150"/>
      <c r="AE137" s="95" t="str">
        <f t="shared" si="28"/>
        <v/>
      </c>
      <c r="AF137" s="150"/>
      <c r="AG137" s="95" t="str">
        <f t="shared" si="29"/>
        <v/>
      </c>
      <c r="AH137" s="150"/>
      <c r="AI137" s="95" t="str">
        <f t="shared" si="30"/>
        <v/>
      </c>
      <c r="AJ137" s="150"/>
      <c r="AK137" s="27" t="str">
        <f t="shared" si="31"/>
        <v/>
      </c>
      <c r="AL137" s="48" t="str">
        <f t="shared" si="32"/>
        <v/>
      </c>
      <c r="AM137" s="48" t="str">
        <f t="shared" si="33"/>
        <v/>
      </c>
      <c r="AN137" s="196"/>
      <c r="AO137" s="196"/>
      <c r="AP137" s="196"/>
      <c r="AQ137" s="196"/>
      <c r="AR137" s="196"/>
      <c r="AS137" s="196"/>
      <c r="AT137" s="196"/>
      <c r="AU137" s="197" t="str">
        <f>IFERROR(VLOOKUP(AT137,'Seguridad Información'!$I$61:$J$65,2,0),"")</f>
        <v/>
      </c>
      <c r="AV137" s="79"/>
      <c r="AW137" s="78" t="str">
        <f t="shared" si="24"/>
        <v/>
      </c>
      <c r="AX137" s="77" t="str">
        <f t="shared" si="34"/>
        <v/>
      </c>
      <c r="AY137" s="21" t="str">
        <f>IFERROR(VLOOKUP((CONCATENATE(AM137,AX137)),Listados!$U$3:$V$11,2,FALSE),"")</f>
        <v/>
      </c>
      <c r="AZ137" s="48">
        <f t="shared" ref="AZ137:AZ200" si="35">IF(ISBLANK(AY137),"",IF(AY137="Débil", 0, IF(AY137="Moderado",50,100)))</f>
        <v>100</v>
      </c>
      <c r="BA137" s="431"/>
      <c r="BB137" s="433"/>
      <c r="BC137" s="169">
        <f>+IF(AND(W137="Preventivo",BB133="Fuerte"),2,IF(AND(W137="Preventivo",BB133="Moderado"),1,0))</f>
        <v>0</v>
      </c>
      <c r="BD137" s="64">
        <f>+IF(AND(W137="Detectivo/Correctivo",$BB133="Fuerte"),2,IF(AND(W137="Detectivo/Correctivo",$BB137="Moderado"),1,IF(AND(W137="Preventivo",$BB133="Fuerte"),1,0)))</f>
        <v>0</v>
      </c>
      <c r="BE137" s="169" t="e">
        <f>+N133-BC137</f>
        <v>#N/A</v>
      </c>
      <c r="BF137" s="169" t="e">
        <f>+P133-BD137</f>
        <v>#N/A</v>
      </c>
      <c r="BG137" s="422"/>
      <c r="BH137" s="422"/>
      <c r="BI137" s="422"/>
      <c r="BJ137" s="645"/>
      <c r="BK137" s="645"/>
      <c r="BL137" s="645"/>
      <c r="BM137" s="645"/>
    </row>
    <row r="138" spans="1:65" ht="65.099999999999994" customHeight="1" thickBot="1">
      <c r="A138" s="406"/>
      <c r="B138" s="625"/>
      <c r="C138" s="441"/>
      <c r="D138" s="106"/>
      <c r="E138" s="106"/>
      <c r="F138" s="619"/>
      <c r="G138" s="444"/>
      <c r="H138" s="100"/>
      <c r="I138" s="128"/>
      <c r="J138" s="100"/>
      <c r="K138" s="31"/>
      <c r="L138" s="129"/>
      <c r="M138" s="446"/>
      <c r="N138" s="426"/>
      <c r="O138" s="428"/>
      <c r="P138" s="426"/>
      <c r="Q138" s="429"/>
      <c r="R138" s="423"/>
      <c r="S138" s="150"/>
      <c r="T138" s="98"/>
      <c r="U138" s="47" t="s">
        <v>627</v>
      </c>
      <c r="V138" s="172"/>
      <c r="W138" s="172"/>
      <c r="X138" s="172"/>
      <c r="Y138" s="95" t="str">
        <f t="shared" si="25"/>
        <v/>
      </c>
      <c r="Z138" s="172"/>
      <c r="AA138" s="95" t="str">
        <f t="shared" si="26"/>
        <v/>
      </c>
      <c r="AB138" s="150"/>
      <c r="AC138" s="95" t="str">
        <f t="shared" si="27"/>
        <v/>
      </c>
      <c r="AD138" s="150"/>
      <c r="AE138" s="95" t="str">
        <f t="shared" si="28"/>
        <v/>
      </c>
      <c r="AF138" s="150"/>
      <c r="AG138" s="95" t="str">
        <f t="shared" si="29"/>
        <v/>
      </c>
      <c r="AH138" s="150"/>
      <c r="AI138" s="95" t="str">
        <f t="shared" si="30"/>
        <v/>
      </c>
      <c r="AJ138" s="150"/>
      <c r="AK138" s="27" t="str">
        <f t="shared" si="31"/>
        <v/>
      </c>
      <c r="AL138" s="48" t="str">
        <f t="shared" si="32"/>
        <v/>
      </c>
      <c r="AM138" s="48" t="str">
        <f t="shared" si="33"/>
        <v/>
      </c>
      <c r="AN138" s="196"/>
      <c r="AO138" s="196"/>
      <c r="AP138" s="196"/>
      <c r="AQ138" s="196"/>
      <c r="AR138" s="196"/>
      <c r="AS138" s="196"/>
      <c r="AT138" s="196"/>
      <c r="AU138" s="197" t="str">
        <f>IFERROR(VLOOKUP(AT138,'Seguridad Información'!$I$61:$J$65,2,0),"")</f>
        <v/>
      </c>
      <c r="AV138" s="79"/>
      <c r="AW138" s="78" t="str">
        <f t="shared" si="24"/>
        <v/>
      </c>
      <c r="AX138" s="77" t="str">
        <f t="shared" si="34"/>
        <v/>
      </c>
      <c r="AY138" s="21" t="str">
        <f>IFERROR(VLOOKUP((CONCATENATE(AM138,AX138)),Listados!$U$3:$V$11,2,FALSE),"")</f>
        <v/>
      </c>
      <c r="AZ138" s="48">
        <f t="shared" si="35"/>
        <v>100</v>
      </c>
      <c r="BA138" s="432"/>
      <c r="BB138" s="433"/>
      <c r="BC138" s="169">
        <f>+IF(AND(W138="Preventivo",BB133="Fuerte"),2,IF(AND(W138="Preventivo",BB133="Moderado"),1,0))</f>
        <v>0</v>
      </c>
      <c r="BD138" s="64">
        <f>+IF(AND(W138="Detectivo/Correctivo",$BB133="Fuerte"),2,IF(AND(W138="Detectivo/Correctivo",$BB138="Moderado"),1,IF(AND(W138="Preventivo",$BB133="Fuerte"),1,0)))</f>
        <v>0</v>
      </c>
      <c r="BE138" s="169" t="e">
        <f>+N133-BC138</f>
        <v>#N/A</v>
      </c>
      <c r="BF138" s="169" t="e">
        <f>+P133-BD138</f>
        <v>#N/A</v>
      </c>
      <c r="BG138" s="423"/>
      <c r="BH138" s="423"/>
      <c r="BI138" s="423"/>
      <c r="BJ138" s="646"/>
      <c r="BK138" s="646"/>
      <c r="BL138" s="646"/>
      <c r="BM138" s="646"/>
    </row>
    <row r="139" spans="1:65" ht="65.099999999999994" customHeight="1" thickBot="1">
      <c r="A139" s="404">
        <v>23</v>
      </c>
      <c r="B139" s="628"/>
      <c r="C139" s="447" t="str">
        <f>IFERROR(VLOOKUP(B139,Listados!B$3:C$20,2,FALSE),"")</f>
        <v/>
      </c>
      <c r="D139" s="107"/>
      <c r="E139" s="107"/>
      <c r="F139" s="618"/>
      <c r="G139" s="448"/>
      <c r="H139" s="100"/>
      <c r="I139" s="128"/>
      <c r="J139" s="100"/>
      <c r="K139" s="103"/>
      <c r="L139" s="17"/>
      <c r="M139" s="445"/>
      <c r="N139" s="424" t="e">
        <f>+VLOOKUP(M139,Listados!$K$8:$L$12,2,0)</f>
        <v>#N/A</v>
      </c>
      <c r="O139" s="427"/>
      <c r="P139" s="424" t="e">
        <f>+VLOOKUP(O139,Listados!$K$13:$L$17,2,0)</f>
        <v>#N/A</v>
      </c>
      <c r="Q139" s="423" t="str">
        <f>IF(AND(M139&lt;&gt;"",O139&lt;&gt;""),VLOOKUP(M139&amp;O139,Listados!$M$3:$N$27,2,FALSE),"")</f>
        <v/>
      </c>
      <c r="R139" s="421" t="e">
        <f>+VLOOKUP(Q139,Listados!$P$3:$Q$6,2,FALSE)</f>
        <v>#N/A</v>
      </c>
      <c r="S139" s="150"/>
      <c r="T139" s="94"/>
      <c r="U139" s="47" t="s">
        <v>627</v>
      </c>
      <c r="V139" s="172"/>
      <c r="W139" s="172"/>
      <c r="X139" s="172"/>
      <c r="Y139" s="95" t="str">
        <f t="shared" si="25"/>
        <v/>
      </c>
      <c r="Z139" s="172"/>
      <c r="AA139" s="95" t="str">
        <f t="shared" si="26"/>
        <v/>
      </c>
      <c r="AB139" s="150"/>
      <c r="AC139" s="95" t="str">
        <f t="shared" si="27"/>
        <v/>
      </c>
      <c r="AD139" s="150"/>
      <c r="AE139" s="95" t="str">
        <f t="shared" si="28"/>
        <v/>
      </c>
      <c r="AF139" s="150"/>
      <c r="AG139" s="95" t="str">
        <f t="shared" si="29"/>
        <v/>
      </c>
      <c r="AH139" s="150"/>
      <c r="AI139" s="95" t="str">
        <f t="shared" si="30"/>
        <v/>
      </c>
      <c r="AJ139" s="150"/>
      <c r="AK139" s="27" t="str">
        <f t="shared" si="31"/>
        <v/>
      </c>
      <c r="AL139" s="48" t="str">
        <f t="shared" si="32"/>
        <v/>
      </c>
      <c r="AM139" s="48" t="str">
        <f t="shared" si="33"/>
        <v/>
      </c>
      <c r="AN139" s="196"/>
      <c r="AO139" s="196"/>
      <c r="AP139" s="196"/>
      <c r="AQ139" s="196"/>
      <c r="AR139" s="196"/>
      <c r="AS139" s="196"/>
      <c r="AT139" s="196"/>
      <c r="AU139" s="197" t="str">
        <f>IFERROR(VLOOKUP(AT139,'Seguridad Información'!$I$61:$J$65,2,0),"")</f>
        <v/>
      </c>
      <c r="AV139" s="79"/>
      <c r="AW139" s="78" t="str">
        <f t="shared" si="24"/>
        <v/>
      </c>
      <c r="AX139" s="77" t="str">
        <f t="shared" si="34"/>
        <v/>
      </c>
      <c r="AY139" s="21" t="str">
        <f>IFERROR(VLOOKUP((CONCATENATE(AM139,AX139)),Listados!$U$3:$V$11,2,FALSE),"")</f>
        <v/>
      </c>
      <c r="AZ139" s="48">
        <f t="shared" si="35"/>
        <v>100</v>
      </c>
      <c r="BA139" s="430">
        <f>AVERAGE(AZ139:AZ144)</f>
        <v>100</v>
      </c>
      <c r="BB139" s="432" t="str">
        <f>IF(BA139&lt;=50, "Débil", IF(BA139&lt;=99,"Moderado","Fuerte"))</f>
        <v>Fuerte</v>
      </c>
      <c r="BC139" s="169">
        <f>+IF(AND(W139="Preventivo",BB139="Fuerte"),2,IF(AND(W139="Preventivo",BB139="Moderado"),1,0))</f>
        <v>0</v>
      </c>
      <c r="BD139" s="64">
        <f>+IF(AND(W139="Detectivo/Correctivo",$BB139="Fuerte"),2,IF(AND(W139="Detectivo/Correctivo",$BB139="Moderado"),1,IF(AND(W139="Preventivo",$BB139="Fuerte"),1,0)))</f>
        <v>0</v>
      </c>
      <c r="BE139" s="169" t="e">
        <f>+N139-BC139</f>
        <v>#N/A</v>
      </c>
      <c r="BF139" s="169" t="e">
        <f>+P139-BD139</f>
        <v>#N/A</v>
      </c>
      <c r="BG139" s="421" t="e">
        <f>+VLOOKUP(MIN(BE139,BE140,BE141,BE142,BE143,BE144),Listados!$J$18:$K$24,2,TRUE)</f>
        <v>#N/A</v>
      </c>
      <c r="BH139" s="421" t="e">
        <f>+VLOOKUP(MIN(BF139,BF140,BF141,BF142,BF143,BF144),Listados!$J$27:$K$32,2,TRUE)</f>
        <v>#N/A</v>
      </c>
      <c r="BI139" s="421" t="e">
        <f>IF(AND(BG139&lt;&gt;"",BH139&lt;&gt;""),VLOOKUP(BG139&amp;BH139,Listados!$M$3:$N$27,2,FALSE),"")</f>
        <v>#N/A</v>
      </c>
      <c r="BJ139" s="644" t="e">
        <f>+IF($R139="Asumir el riesgo","NA","")</f>
        <v>#N/A</v>
      </c>
      <c r="BK139" s="644" t="e">
        <f>+IF($R139="Asumir el riesgo","NA","")</f>
        <v>#N/A</v>
      </c>
      <c r="BL139" s="644" t="e">
        <f>+IF($R139="Asumir el riesgo","NA","")</f>
        <v>#N/A</v>
      </c>
      <c r="BM139" s="644" t="e">
        <f>+IF($R139="Asumir el riesgo","NA","")</f>
        <v>#N/A</v>
      </c>
    </row>
    <row r="140" spans="1:65" ht="65.099999999999994" customHeight="1" thickBot="1">
      <c r="A140" s="405"/>
      <c r="B140" s="625"/>
      <c r="C140" s="440"/>
      <c r="D140" s="152"/>
      <c r="E140" s="152"/>
      <c r="F140" s="475"/>
      <c r="G140" s="443"/>
      <c r="H140" s="100"/>
      <c r="I140" s="128"/>
      <c r="J140" s="100"/>
      <c r="K140" s="147"/>
      <c r="L140" s="129"/>
      <c r="M140" s="446"/>
      <c r="N140" s="425"/>
      <c r="O140" s="428"/>
      <c r="P140" s="425"/>
      <c r="Q140" s="429"/>
      <c r="R140" s="422"/>
      <c r="S140" s="150"/>
      <c r="T140" s="198"/>
      <c r="U140" s="47" t="s">
        <v>627</v>
      </c>
      <c r="V140" s="172"/>
      <c r="W140" s="172"/>
      <c r="X140" s="172"/>
      <c r="Y140" s="95" t="str">
        <f t="shared" si="25"/>
        <v/>
      </c>
      <c r="Z140" s="172"/>
      <c r="AA140" s="95" t="str">
        <f t="shared" si="26"/>
        <v/>
      </c>
      <c r="AB140" s="150"/>
      <c r="AC140" s="95" t="str">
        <f t="shared" si="27"/>
        <v/>
      </c>
      <c r="AD140" s="150"/>
      <c r="AE140" s="95" t="str">
        <f t="shared" si="28"/>
        <v/>
      </c>
      <c r="AF140" s="150"/>
      <c r="AG140" s="95" t="str">
        <f t="shared" si="29"/>
        <v/>
      </c>
      <c r="AH140" s="150"/>
      <c r="AI140" s="95" t="str">
        <f t="shared" si="30"/>
        <v/>
      </c>
      <c r="AJ140" s="150"/>
      <c r="AK140" s="27" t="str">
        <f t="shared" si="31"/>
        <v/>
      </c>
      <c r="AL140" s="48" t="str">
        <f t="shared" si="32"/>
        <v/>
      </c>
      <c r="AM140" s="48" t="str">
        <f t="shared" si="33"/>
        <v/>
      </c>
      <c r="AN140" s="196"/>
      <c r="AO140" s="196"/>
      <c r="AP140" s="196"/>
      <c r="AQ140" s="196"/>
      <c r="AR140" s="196"/>
      <c r="AS140" s="196"/>
      <c r="AT140" s="196"/>
      <c r="AU140" s="197" t="str">
        <f>IFERROR(VLOOKUP(AT140,'Seguridad Información'!$I$61:$J$65,2,0),"")</f>
        <v/>
      </c>
      <c r="AV140" s="79"/>
      <c r="AW140" s="78" t="str">
        <f t="shared" si="24"/>
        <v/>
      </c>
      <c r="AX140" s="77" t="str">
        <f t="shared" si="34"/>
        <v/>
      </c>
      <c r="AY140" s="21" t="str">
        <f>IFERROR(VLOOKUP((CONCATENATE(AM140,AX140)),Listados!$U$3:$V$11,2,FALSE),"")</f>
        <v/>
      </c>
      <c r="AZ140" s="48">
        <f t="shared" si="35"/>
        <v>100</v>
      </c>
      <c r="BA140" s="431"/>
      <c r="BB140" s="433"/>
      <c r="BC140" s="169">
        <f>+IF(AND(W140="Preventivo",BB139="Fuerte"),2,IF(AND(W140="Preventivo",BB139="Moderado"),1,0))</f>
        <v>0</v>
      </c>
      <c r="BD140" s="64">
        <f>+IF(AND(W140="Detectivo/Correctivo",$BB139="Fuerte"),2,IF(AND(W140="Detectivo/Correctivo",$BB140="Moderado"),1,IF(AND(W140="Preventivo",$BB139="Fuerte"),1,0)))</f>
        <v>0</v>
      </c>
      <c r="BE140" s="169" t="e">
        <f>+N139-BC140</f>
        <v>#N/A</v>
      </c>
      <c r="BF140" s="169" t="e">
        <f>+P139-BD140</f>
        <v>#N/A</v>
      </c>
      <c r="BG140" s="422"/>
      <c r="BH140" s="422"/>
      <c r="BI140" s="422"/>
      <c r="BJ140" s="645"/>
      <c r="BK140" s="645"/>
      <c r="BL140" s="645"/>
      <c r="BM140" s="645"/>
    </row>
    <row r="141" spans="1:65" ht="65.099999999999994" customHeight="1" thickBot="1">
      <c r="A141" s="405"/>
      <c r="B141" s="625"/>
      <c r="C141" s="440"/>
      <c r="D141" s="152"/>
      <c r="E141" s="152"/>
      <c r="F141" s="475"/>
      <c r="G141" s="443"/>
      <c r="H141" s="100"/>
      <c r="I141" s="128"/>
      <c r="J141" s="100"/>
      <c r="K141" s="147"/>
      <c r="L141" s="129"/>
      <c r="M141" s="446"/>
      <c r="N141" s="425"/>
      <c r="O141" s="428"/>
      <c r="P141" s="425"/>
      <c r="Q141" s="429"/>
      <c r="R141" s="422"/>
      <c r="S141" s="150"/>
      <c r="T141" s="96"/>
      <c r="U141" s="47" t="s">
        <v>627</v>
      </c>
      <c r="V141" s="172"/>
      <c r="W141" s="172"/>
      <c r="X141" s="172"/>
      <c r="Y141" s="95" t="str">
        <f t="shared" si="25"/>
        <v/>
      </c>
      <c r="Z141" s="172"/>
      <c r="AA141" s="95" t="str">
        <f t="shared" si="26"/>
        <v/>
      </c>
      <c r="AB141" s="150"/>
      <c r="AC141" s="95" t="str">
        <f t="shared" si="27"/>
        <v/>
      </c>
      <c r="AD141" s="150"/>
      <c r="AE141" s="95" t="str">
        <f t="shared" si="28"/>
        <v/>
      </c>
      <c r="AF141" s="150"/>
      <c r="AG141" s="95" t="str">
        <f t="shared" si="29"/>
        <v/>
      </c>
      <c r="AH141" s="150"/>
      <c r="AI141" s="95" t="str">
        <f t="shared" si="30"/>
        <v/>
      </c>
      <c r="AJ141" s="150"/>
      <c r="AK141" s="27" t="str">
        <f t="shared" si="31"/>
        <v/>
      </c>
      <c r="AL141" s="48" t="str">
        <f t="shared" si="32"/>
        <v/>
      </c>
      <c r="AM141" s="48" t="str">
        <f t="shared" si="33"/>
        <v/>
      </c>
      <c r="AN141" s="196"/>
      <c r="AO141" s="196"/>
      <c r="AP141" s="196"/>
      <c r="AQ141" s="196"/>
      <c r="AR141" s="196"/>
      <c r="AS141" s="196"/>
      <c r="AT141" s="196"/>
      <c r="AU141" s="197" t="str">
        <f>IFERROR(VLOOKUP(AT141,'Seguridad Información'!$I$61:$J$65,2,0),"")</f>
        <v/>
      </c>
      <c r="AV141" s="79"/>
      <c r="AW141" s="78" t="str">
        <f t="shared" si="24"/>
        <v/>
      </c>
      <c r="AX141" s="77" t="str">
        <f t="shared" si="34"/>
        <v/>
      </c>
      <c r="AY141" s="21" t="str">
        <f>IFERROR(VLOOKUP((CONCATENATE(AM141,AX141)),Listados!$U$3:$V$11,2,FALSE),"")</f>
        <v/>
      </c>
      <c r="AZ141" s="48">
        <f t="shared" si="35"/>
        <v>100</v>
      </c>
      <c r="BA141" s="431"/>
      <c r="BB141" s="433"/>
      <c r="BC141" s="169">
        <f>+IF(AND(W141="Preventivo",BB139="Fuerte"),2,IF(AND(W141="Preventivo",BB139="Moderado"),1,0))</f>
        <v>0</v>
      </c>
      <c r="BD141" s="64">
        <f>+IF(AND(W141="Detectivo/Correctivo",$BB139="Fuerte"),2,IF(AND(W141="Detectivo/Correctivo",$BB141="Moderado"),1,IF(AND(W141="Preventivo",$BB139="Fuerte"),1,0)))</f>
        <v>0</v>
      </c>
      <c r="BE141" s="169" t="e">
        <f>+N139-BC141</f>
        <v>#N/A</v>
      </c>
      <c r="BF141" s="169" t="e">
        <f>+P139-BD141</f>
        <v>#N/A</v>
      </c>
      <c r="BG141" s="422"/>
      <c r="BH141" s="422"/>
      <c r="BI141" s="422"/>
      <c r="BJ141" s="645"/>
      <c r="BK141" s="645"/>
      <c r="BL141" s="645"/>
      <c r="BM141" s="645"/>
    </row>
    <row r="142" spans="1:65" ht="65.099999999999994" customHeight="1" thickBot="1">
      <c r="A142" s="405"/>
      <c r="B142" s="625"/>
      <c r="C142" s="440"/>
      <c r="D142" s="152"/>
      <c r="E142" s="152"/>
      <c r="F142" s="475"/>
      <c r="G142" s="443"/>
      <c r="H142" s="100"/>
      <c r="I142" s="128"/>
      <c r="J142" s="100"/>
      <c r="K142" s="147"/>
      <c r="L142" s="129"/>
      <c r="M142" s="446"/>
      <c r="N142" s="425"/>
      <c r="O142" s="428"/>
      <c r="P142" s="425"/>
      <c r="Q142" s="429"/>
      <c r="R142" s="422"/>
      <c r="S142" s="150"/>
      <c r="T142" s="97"/>
      <c r="U142" s="47" t="s">
        <v>627</v>
      </c>
      <c r="V142" s="172"/>
      <c r="W142" s="172"/>
      <c r="X142" s="172"/>
      <c r="Y142" s="95" t="str">
        <f t="shared" si="25"/>
        <v/>
      </c>
      <c r="Z142" s="172"/>
      <c r="AA142" s="95" t="str">
        <f t="shared" si="26"/>
        <v/>
      </c>
      <c r="AB142" s="150"/>
      <c r="AC142" s="95" t="str">
        <f t="shared" si="27"/>
        <v/>
      </c>
      <c r="AD142" s="150"/>
      <c r="AE142" s="95" t="str">
        <f t="shared" si="28"/>
        <v/>
      </c>
      <c r="AF142" s="150"/>
      <c r="AG142" s="95" t="str">
        <f t="shared" si="29"/>
        <v/>
      </c>
      <c r="AH142" s="150"/>
      <c r="AI142" s="95" t="str">
        <f t="shared" si="30"/>
        <v/>
      </c>
      <c r="AJ142" s="150"/>
      <c r="AK142" s="27" t="str">
        <f t="shared" si="31"/>
        <v/>
      </c>
      <c r="AL142" s="48" t="str">
        <f t="shared" si="32"/>
        <v/>
      </c>
      <c r="AM142" s="48" t="str">
        <f t="shared" si="33"/>
        <v/>
      </c>
      <c r="AN142" s="196"/>
      <c r="AO142" s="196"/>
      <c r="AP142" s="196"/>
      <c r="AQ142" s="196"/>
      <c r="AR142" s="196"/>
      <c r="AS142" s="196"/>
      <c r="AT142" s="196"/>
      <c r="AU142" s="197" t="str">
        <f>IFERROR(VLOOKUP(AT142,'Seguridad Información'!$I$61:$J$65,2,0),"")</f>
        <v/>
      </c>
      <c r="AV142" s="79"/>
      <c r="AW142" s="78" t="str">
        <f t="shared" si="24"/>
        <v/>
      </c>
      <c r="AX142" s="77" t="str">
        <f t="shared" si="34"/>
        <v/>
      </c>
      <c r="AY142" s="21" t="str">
        <f>IFERROR(VLOOKUP((CONCATENATE(AM142,AX142)),Listados!$U$3:$V$11,2,FALSE),"")</f>
        <v/>
      </c>
      <c r="AZ142" s="48">
        <f t="shared" si="35"/>
        <v>100</v>
      </c>
      <c r="BA142" s="431"/>
      <c r="BB142" s="433"/>
      <c r="BC142" s="169">
        <f>+IF(AND(W142="Preventivo",BB139="Fuerte"),2,IF(AND(W142="Preventivo",BB139="Moderado"),1,0))</f>
        <v>0</v>
      </c>
      <c r="BD142" s="64">
        <f>+IF(AND(W142="Detectivo/Correctivo",$BB139="Fuerte"),2,IF(AND(W142="Detectivo/Correctivo",$BB142="Moderado"),1,IF(AND(W142="Preventivo",$BB139="Fuerte"),1,0)))</f>
        <v>0</v>
      </c>
      <c r="BE142" s="169" t="e">
        <f>+N139-BC142</f>
        <v>#N/A</v>
      </c>
      <c r="BF142" s="169" t="e">
        <f>+P139-BD142</f>
        <v>#N/A</v>
      </c>
      <c r="BG142" s="422"/>
      <c r="BH142" s="422"/>
      <c r="BI142" s="422"/>
      <c r="BJ142" s="645"/>
      <c r="BK142" s="645"/>
      <c r="BL142" s="645"/>
      <c r="BM142" s="645"/>
    </row>
    <row r="143" spans="1:65" ht="65.099999999999994" customHeight="1" thickBot="1">
      <c r="A143" s="405"/>
      <c r="B143" s="625"/>
      <c r="C143" s="440"/>
      <c r="D143" s="109"/>
      <c r="E143" s="109"/>
      <c r="F143" s="475"/>
      <c r="G143" s="443"/>
      <c r="H143" s="100"/>
      <c r="I143" s="128"/>
      <c r="J143" s="100"/>
      <c r="K143" s="29"/>
      <c r="L143" s="129"/>
      <c r="M143" s="446"/>
      <c r="N143" s="425"/>
      <c r="O143" s="428"/>
      <c r="P143" s="425"/>
      <c r="Q143" s="429"/>
      <c r="R143" s="422"/>
      <c r="S143" s="150"/>
      <c r="T143" s="198"/>
      <c r="U143" s="47" t="s">
        <v>627</v>
      </c>
      <c r="V143" s="172"/>
      <c r="W143" s="172"/>
      <c r="X143" s="172"/>
      <c r="Y143" s="95" t="str">
        <f t="shared" si="25"/>
        <v/>
      </c>
      <c r="Z143" s="172"/>
      <c r="AA143" s="95" t="str">
        <f t="shared" si="26"/>
        <v/>
      </c>
      <c r="AB143" s="150"/>
      <c r="AC143" s="95" t="str">
        <f t="shared" si="27"/>
        <v/>
      </c>
      <c r="AD143" s="150"/>
      <c r="AE143" s="95" t="str">
        <f t="shared" si="28"/>
        <v/>
      </c>
      <c r="AF143" s="150"/>
      <c r="AG143" s="95" t="str">
        <f t="shared" si="29"/>
        <v/>
      </c>
      <c r="AH143" s="150"/>
      <c r="AI143" s="95" t="str">
        <f t="shared" si="30"/>
        <v/>
      </c>
      <c r="AJ143" s="150"/>
      <c r="AK143" s="27" t="str">
        <f t="shared" si="31"/>
        <v/>
      </c>
      <c r="AL143" s="48" t="str">
        <f t="shared" si="32"/>
        <v/>
      </c>
      <c r="AM143" s="48" t="str">
        <f t="shared" si="33"/>
        <v/>
      </c>
      <c r="AN143" s="196"/>
      <c r="AO143" s="196"/>
      <c r="AP143" s="196"/>
      <c r="AQ143" s="196"/>
      <c r="AR143" s="196"/>
      <c r="AS143" s="196"/>
      <c r="AT143" s="196"/>
      <c r="AU143" s="197" t="str">
        <f>IFERROR(VLOOKUP(AT143,'Seguridad Información'!$I$61:$J$65,2,0),"")</f>
        <v/>
      </c>
      <c r="AV143" s="79"/>
      <c r="AW143" s="78" t="str">
        <f t="shared" si="24"/>
        <v/>
      </c>
      <c r="AX143" s="77" t="str">
        <f t="shared" si="34"/>
        <v/>
      </c>
      <c r="AY143" s="21" t="str">
        <f>IFERROR(VLOOKUP((CONCATENATE(AM143,AX143)),Listados!$U$3:$V$11,2,FALSE),"")</f>
        <v/>
      </c>
      <c r="AZ143" s="48">
        <f t="shared" si="35"/>
        <v>100</v>
      </c>
      <c r="BA143" s="431"/>
      <c r="BB143" s="433"/>
      <c r="BC143" s="169">
        <f>+IF(AND(W143="Preventivo",BB139="Fuerte"),2,IF(AND(W143="Preventivo",BB139="Moderado"),1,0))</f>
        <v>0</v>
      </c>
      <c r="BD143" s="64">
        <f>+IF(AND(W143="Detectivo/Correctivo",$BB139="Fuerte"),2,IF(AND(W143="Detectivo/Correctivo",$BB143="Moderado"),1,IF(AND(W143="Preventivo",$BB139="Fuerte"),1,0)))</f>
        <v>0</v>
      </c>
      <c r="BE143" s="169" t="e">
        <f>+N139-BC143</f>
        <v>#N/A</v>
      </c>
      <c r="BF143" s="169" t="e">
        <f>+P139-BD143</f>
        <v>#N/A</v>
      </c>
      <c r="BG143" s="422"/>
      <c r="BH143" s="422"/>
      <c r="BI143" s="422"/>
      <c r="BJ143" s="645"/>
      <c r="BK143" s="645"/>
      <c r="BL143" s="645"/>
      <c r="BM143" s="645"/>
    </row>
    <row r="144" spans="1:65" ht="65.099999999999994" customHeight="1" thickBot="1">
      <c r="A144" s="406"/>
      <c r="B144" s="625"/>
      <c r="C144" s="441"/>
      <c r="D144" s="106"/>
      <c r="E144" s="106"/>
      <c r="F144" s="619"/>
      <c r="G144" s="444"/>
      <c r="H144" s="100"/>
      <c r="I144" s="128"/>
      <c r="J144" s="100"/>
      <c r="K144" s="31"/>
      <c r="L144" s="129"/>
      <c r="M144" s="446"/>
      <c r="N144" s="426"/>
      <c r="O144" s="428"/>
      <c r="P144" s="426"/>
      <c r="Q144" s="429"/>
      <c r="R144" s="423"/>
      <c r="S144" s="150"/>
      <c r="T144" s="98"/>
      <c r="U144" s="47" t="s">
        <v>627</v>
      </c>
      <c r="V144" s="172"/>
      <c r="W144" s="172"/>
      <c r="X144" s="172"/>
      <c r="Y144" s="95" t="str">
        <f t="shared" si="25"/>
        <v/>
      </c>
      <c r="Z144" s="172"/>
      <c r="AA144" s="95" t="str">
        <f t="shared" si="26"/>
        <v/>
      </c>
      <c r="AB144" s="150"/>
      <c r="AC144" s="95" t="str">
        <f t="shared" si="27"/>
        <v/>
      </c>
      <c r="AD144" s="150"/>
      <c r="AE144" s="95" t="str">
        <f t="shared" si="28"/>
        <v/>
      </c>
      <c r="AF144" s="150"/>
      <c r="AG144" s="95" t="str">
        <f t="shared" si="29"/>
        <v/>
      </c>
      <c r="AH144" s="150"/>
      <c r="AI144" s="95" t="str">
        <f t="shared" si="30"/>
        <v/>
      </c>
      <c r="AJ144" s="150"/>
      <c r="AK144" s="27" t="str">
        <f t="shared" si="31"/>
        <v/>
      </c>
      <c r="AL144" s="48" t="str">
        <f t="shared" si="32"/>
        <v/>
      </c>
      <c r="AM144" s="48" t="str">
        <f t="shared" si="33"/>
        <v/>
      </c>
      <c r="AN144" s="196"/>
      <c r="AO144" s="196"/>
      <c r="AP144" s="196"/>
      <c r="AQ144" s="196"/>
      <c r="AR144" s="196"/>
      <c r="AS144" s="196"/>
      <c r="AT144" s="196"/>
      <c r="AU144" s="197" t="str">
        <f>IFERROR(VLOOKUP(AT144,'Seguridad Información'!$I$61:$J$65,2,0),"")</f>
        <v/>
      </c>
      <c r="AV144" s="79"/>
      <c r="AW144" s="78" t="str">
        <f t="shared" si="24"/>
        <v/>
      </c>
      <c r="AX144" s="77" t="str">
        <f t="shared" si="34"/>
        <v/>
      </c>
      <c r="AY144" s="21" t="str">
        <f>IFERROR(VLOOKUP((CONCATENATE(AM144,AX144)),Listados!$U$3:$V$11,2,FALSE),"")</f>
        <v/>
      </c>
      <c r="AZ144" s="48">
        <f t="shared" si="35"/>
        <v>100</v>
      </c>
      <c r="BA144" s="432"/>
      <c r="BB144" s="433"/>
      <c r="BC144" s="169">
        <f>+IF(AND(W144="Preventivo",BB139="Fuerte"),2,IF(AND(W144="Preventivo",BB139="Moderado"),1,0))</f>
        <v>0</v>
      </c>
      <c r="BD144" s="64">
        <f>+IF(AND(W144="Detectivo/Correctivo",$BB139="Fuerte"),2,IF(AND(W144="Detectivo/Correctivo",$BB144="Moderado"),1,IF(AND(W144="Preventivo",$BB139="Fuerte"),1,0)))</f>
        <v>0</v>
      </c>
      <c r="BE144" s="169" t="e">
        <f>+N139-BC144</f>
        <v>#N/A</v>
      </c>
      <c r="BF144" s="169" t="e">
        <f>+P139-BD144</f>
        <v>#N/A</v>
      </c>
      <c r="BG144" s="423"/>
      <c r="BH144" s="423"/>
      <c r="BI144" s="423"/>
      <c r="BJ144" s="646"/>
      <c r="BK144" s="646"/>
      <c r="BL144" s="646"/>
      <c r="BM144" s="646"/>
    </row>
    <row r="145" spans="1:65" ht="65.099999999999994" customHeight="1" thickBot="1">
      <c r="A145" s="404">
        <v>24</v>
      </c>
      <c r="B145" s="628"/>
      <c r="C145" s="447" t="str">
        <f>IFERROR(VLOOKUP(B145,Listados!B$3:C$20,2,FALSE),"")</f>
        <v/>
      </c>
      <c r="D145" s="107"/>
      <c r="E145" s="107"/>
      <c r="F145" s="618"/>
      <c r="G145" s="448"/>
      <c r="H145" s="100"/>
      <c r="I145" s="128"/>
      <c r="J145" s="100"/>
      <c r="K145" s="103"/>
      <c r="L145" s="17"/>
      <c r="M145" s="445"/>
      <c r="N145" s="424" t="e">
        <f>+VLOOKUP(M145,Listados!$K$8:$L$12,2,0)</f>
        <v>#N/A</v>
      </c>
      <c r="O145" s="427"/>
      <c r="P145" s="424" t="e">
        <f>+VLOOKUP(O145,Listados!$K$13:$L$17,2,0)</f>
        <v>#N/A</v>
      </c>
      <c r="Q145" s="423" t="str">
        <f>IF(AND(M145&lt;&gt;"",O145&lt;&gt;""),VLOOKUP(M145&amp;O145,Listados!$M$3:$N$27,2,FALSE),"")</f>
        <v/>
      </c>
      <c r="R145" s="421" t="e">
        <f>+VLOOKUP(Q145,Listados!$P$3:$Q$6,2,FALSE)</f>
        <v>#N/A</v>
      </c>
      <c r="S145" s="150"/>
      <c r="T145" s="94"/>
      <c r="U145" s="47" t="s">
        <v>627</v>
      </c>
      <c r="V145" s="172"/>
      <c r="W145" s="172"/>
      <c r="X145" s="172"/>
      <c r="Y145" s="95" t="str">
        <f t="shared" si="25"/>
        <v/>
      </c>
      <c r="Z145" s="172"/>
      <c r="AA145" s="95" t="str">
        <f t="shared" si="26"/>
        <v/>
      </c>
      <c r="AB145" s="150"/>
      <c r="AC145" s="95" t="str">
        <f t="shared" si="27"/>
        <v/>
      </c>
      <c r="AD145" s="150"/>
      <c r="AE145" s="95" t="str">
        <f t="shared" si="28"/>
        <v/>
      </c>
      <c r="AF145" s="150"/>
      <c r="AG145" s="95" t="str">
        <f t="shared" si="29"/>
        <v/>
      </c>
      <c r="AH145" s="150"/>
      <c r="AI145" s="95" t="str">
        <f t="shared" si="30"/>
        <v/>
      </c>
      <c r="AJ145" s="150"/>
      <c r="AK145" s="27" t="str">
        <f t="shared" si="31"/>
        <v/>
      </c>
      <c r="AL145" s="48" t="str">
        <f t="shared" si="32"/>
        <v/>
      </c>
      <c r="AM145" s="48" t="str">
        <f t="shared" si="33"/>
        <v/>
      </c>
      <c r="AN145" s="196"/>
      <c r="AO145" s="196"/>
      <c r="AP145" s="196"/>
      <c r="AQ145" s="196"/>
      <c r="AR145" s="196"/>
      <c r="AS145" s="196"/>
      <c r="AT145" s="196"/>
      <c r="AU145" s="197" t="str">
        <f>IFERROR(VLOOKUP(AT145,'Seguridad Información'!$I$61:$J$65,2,0),"")</f>
        <v/>
      </c>
      <c r="AV145" s="79"/>
      <c r="AW145" s="78" t="str">
        <f t="shared" si="24"/>
        <v/>
      </c>
      <c r="AX145" s="77" t="str">
        <f t="shared" si="34"/>
        <v/>
      </c>
      <c r="AY145" s="21" t="str">
        <f>IFERROR(VLOOKUP((CONCATENATE(AM145,AX145)),Listados!$U$3:$V$11,2,FALSE),"")</f>
        <v/>
      </c>
      <c r="AZ145" s="48">
        <f t="shared" si="35"/>
        <v>100</v>
      </c>
      <c r="BA145" s="430">
        <f>AVERAGE(AZ145:AZ150)</f>
        <v>100</v>
      </c>
      <c r="BB145" s="432" t="str">
        <f>IF(BA145&lt;=50, "Débil", IF(BA145&lt;=99,"Moderado","Fuerte"))</f>
        <v>Fuerte</v>
      </c>
      <c r="BC145" s="169">
        <f>+IF(AND(W145="Preventivo",BB145="Fuerte"),2,IF(AND(W145="Preventivo",BB145="Moderado"),1,0))</f>
        <v>0</v>
      </c>
      <c r="BD145" s="64">
        <f>+IF(AND(W145="Detectivo/Correctivo",$BB145="Fuerte"),2,IF(AND(W145="Detectivo/Correctivo",$BB145="Moderado"),1,IF(AND(W145="Preventivo",$BB145="Fuerte"),1,0)))</f>
        <v>0</v>
      </c>
      <c r="BE145" s="169" t="e">
        <f>+N145-BC145</f>
        <v>#N/A</v>
      </c>
      <c r="BF145" s="169" t="e">
        <f>+P145-BD145</f>
        <v>#N/A</v>
      </c>
      <c r="BG145" s="421" t="e">
        <f>+VLOOKUP(MIN(BE145,BE146,BE147,BE148,BE149,BE150),Listados!$J$18:$K$24,2,TRUE)</f>
        <v>#N/A</v>
      </c>
      <c r="BH145" s="421" t="e">
        <f>+VLOOKUP(MIN(BF145,BF146,BF147,BF148,BF149,BF150),Listados!$J$27:$K$32,2,TRUE)</f>
        <v>#N/A</v>
      </c>
      <c r="BI145" s="421" t="e">
        <f>IF(AND(BG145&lt;&gt;"",BH145&lt;&gt;""),VLOOKUP(BG145&amp;BH145,Listados!$M$3:$N$27,2,FALSE),"")</f>
        <v>#N/A</v>
      </c>
      <c r="BJ145" s="644" t="e">
        <f>+IF($R145="Asumir el riesgo","NA","")</f>
        <v>#N/A</v>
      </c>
      <c r="BK145" s="644" t="e">
        <f>+IF($R145="Asumir el riesgo","NA","")</f>
        <v>#N/A</v>
      </c>
      <c r="BL145" s="644" t="e">
        <f>+IF($R145="Asumir el riesgo","NA","")</f>
        <v>#N/A</v>
      </c>
      <c r="BM145" s="644" t="e">
        <f>+IF($R145="Asumir el riesgo","NA","")</f>
        <v>#N/A</v>
      </c>
    </row>
    <row r="146" spans="1:65" ht="65.099999999999994" customHeight="1" thickBot="1">
      <c r="A146" s="405"/>
      <c r="B146" s="625"/>
      <c r="C146" s="440"/>
      <c r="D146" s="152"/>
      <c r="E146" s="152"/>
      <c r="F146" s="475"/>
      <c r="G146" s="443"/>
      <c r="H146" s="100"/>
      <c r="I146" s="128"/>
      <c r="J146" s="100"/>
      <c r="K146" s="147"/>
      <c r="L146" s="129"/>
      <c r="M146" s="446"/>
      <c r="N146" s="425"/>
      <c r="O146" s="428"/>
      <c r="P146" s="425"/>
      <c r="Q146" s="429"/>
      <c r="R146" s="422"/>
      <c r="S146" s="150"/>
      <c r="T146" s="198"/>
      <c r="U146" s="47" t="s">
        <v>627</v>
      </c>
      <c r="V146" s="172"/>
      <c r="W146" s="172"/>
      <c r="X146" s="172"/>
      <c r="Y146" s="95" t="str">
        <f t="shared" si="25"/>
        <v/>
      </c>
      <c r="Z146" s="172"/>
      <c r="AA146" s="95" t="str">
        <f t="shared" si="26"/>
        <v/>
      </c>
      <c r="AB146" s="150"/>
      <c r="AC146" s="95" t="str">
        <f t="shared" si="27"/>
        <v/>
      </c>
      <c r="AD146" s="150"/>
      <c r="AE146" s="95" t="str">
        <f t="shared" si="28"/>
        <v/>
      </c>
      <c r="AF146" s="150"/>
      <c r="AG146" s="95" t="str">
        <f t="shared" si="29"/>
        <v/>
      </c>
      <c r="AH146" s="150"/>
      <c r="AI146" s="95" t="str">
        <f t="shared" si="30"/>
        <v/>
      </c>
      <c r="AJ146" s="150"/>
      <c r="AK146" s="27" t="str">
        <f t="shared" si="31"/>
        <v/>
      </c>
      <c r="AL146" s="48" t="str">
        <f t="shared" si="32"/>
        <v/>
      </c>
      <c r="AM146" s="48" t="str">
        <f t="shared" si="33"/>
        <v/>
      </c>
      <c r="AN146" s="196"/>
      <c r="AO146" s="196"/>
      <c r="AP146" s="196"/>
      <c r="AQ146" s="196"/>
      <c r="AR146" s="196"/>
      <c r="AS146" s="196"/>
      <c r="AT146" s="196"/>
      <c r="AU146" s="197" t="str">
        <f>IFERROR(VLOOKUP(AT146,'Seguridad Información'!$I$61:$J$65,2,0),"")</f>
        <v/>
      </c>
      <c r="AV146" s="79"/>
      <c r="AW146" s="78" t="str">
        <f t="shared" si="24"/>
        <v/>
      </c>
      <c r="AX146" s="77" t="str">
        <f t="shared" si="34"/>
        <v/>
      </c>
      <c r="AY146" s="21" t="str">
        <f>IFERROR(VLOOKUP((CONCATENATE(AM146,AX146)),Listados!$U$3:$V$11,2,FALSE),"")</f>
        <v/>
      </c>
      <c r="AZ146" s="48">
        <f t="shared" si="35"/>
        <v>100</v>
      </c>
      <c r="BA146" s="431"/>
      <c r="BB146" s="433"/>
      <c r="BC146" s="169">
        <f>+IF(AND(W146="Preventivo",BB145="Fuerte"),2,IF(AND(W146="Preventivo",BB145="Moderado"),1,0))</f>
        <v>0</v>
      </c>
      <c r="BD146" s="64">
        <f>+IF(AND(W146="Detectivo/Correctivo",$BB145="Fuerte"),2,IF(AND(W146="Detectivo/Correctivo",$BB146="Moderado"),1,IF(AND(W146="Preventivo",$BB145="Fuerte"),1,0)))</f>
        <v>0</v>
      </c>
      <c r="BE146" s="169" t="e">
        <f>+N145-BC146</f>
        <v>#N/A</v>
      </c>
      <c r="BF146" s="169" t="e">
        <f>+P145-BD146</f>
        <v>#N/A</v>
      </c>
      <c r="BG146" s="422"/>
      <c r="BH146" s="422"/>
      <c r="BI146" s="422"/>
      <c r="BJ146" s="645"/>
      <c r="BK146" s="645"/>
      <c r="BL146" s="645"/>
      <c r="BM146" s="645"/>
    </row>
    <row r="147" spans="1:65" ht="65.099999999999994" customHeight="1" thickBot="1">
      <c r="A147" s="405"/>
      <c r="B147" s="625"/>
      <c r="C147" s="440"/>
      <c r="D147" s="152"/>
      <c r="E147" s="152"/>
      <c r="F147" s="475"/>
      <c r="G147" s="443"/>
      <c r="H147" s="100"/>
      <c r="I147" s="128"/>
      <c r="J147" s="100"/>
      <c r="K147" s="147"/>
      <c r="L147" s="129"/>
      <c r="M147" s="446"/>
      <c r="N147" s="425"/>
      <c r="O147" s="428"/>
      <c r="P147" s="425"/>
      <c r="Q147" s="429"/>
      <c r="R147" s="422"/>
      <c r="S147" s="150"/>
      <c r="T147" s="96"/>
      <c r="U147" s="47" t="s">
        <v>627</v>
      </c>
      <c r="V147" s="172"/>
      <c r="W147" s="172"/>
      <c r="X147" s="172"/>
      <c r="Y147" s="95" t="str">
        <f t="shared" si="25"/>
        <v/>
      </c>
      <c r="Z147" s="172"/>
      <c r="AA147" s="95" t="str">
        <f t="shared" si="26"/>
        <v/>
      </c>
      <c r="AB147" s="150"/>
      <c r="AC147" s="95" t="str">
        <f t="shared" si="27"/>
        <v/>
      </c>
      <c r="AD147" s="150"/>
      <c r="AE147" s="95" t="str">
        <f t="shared" si="28"/>
        <v/>
      </c>
      <c r="AF147" s="150"/>
      <c r="AG147" s="95" t="str">
        <f t="shared" si="29"/>
        <v/>
      </c>
      <c r="AH147" s="150"/>
      <c r="AI147" s="95" t="str">
        <f t="shared" si="30"/>
        <v/>
      </c>
      <c r="AJ147" s="150"/>
      <c r="AK147" s="27" t="str">
        <f t="shared" si="31"/>
        <v/>
      </c>
      <c r="AL147" s="48" t="str">
        <f t="shared" si="32"/>
        <v/>
      </c>
      <c r="AM147" s="48" t="str">
        <f t="shared" si="33"/>
        <v/>
      </c>
      <c r="AN147" s="196"/>
      <c r="AO147" s="196"/>
      <c r="AP147" s="196"/>
      <c r="AQ147" s="196"/>
      <c r="AR147" s="196"/>
      <c r="AS147" s="196"/>
      <c r="AT147" s="196"/>
      <c r="AU147" s="197" t="str">
        <f>IFERROR(VLOOKUP(AT147,'Seguridad Información'!$I$61:$J$65,2,0),"")</f>
        <v/>
      </c>
      <c r="AV147" s="79"/>
      <c r="AW147" s="78" t="str">
        <f t="shared" si="24"/>
        <v/>
      </c>
      <c r="AX147" s="77" t="str">
        <f t="shared" si="34"/>
        <v/>
      </c>
      <c r="AY147" s="21" t="str">
        <f>IFERROR(VLOOKUP((CONCATENATE(AM147,AX147)),Listados!$U$3:$V$11,2,FALSE),"")</f>
        <v/>
      </c>
      <c r="AZ147" s="48">
        <f t="shared" si="35"/>
        <v>100</v>
      </c>
      <c r="BA147" s="431"/>
      <c r="BB147" s="433"/>
      <c r="BC147" s="169">
        <f>+IF(AND(W147="Preventivo",BB145="Fuerte"),2,IF(AND(W147="Preventivo",BB145="Moderado"),1,0))</f>
        <v>0</v>
      </c>
      <c r="BD147" s="64">
        <f>+IF(AND(W147="Detectivo/Correctivo",$BB145="Fuerte"),2,IF(AND(W147="Detectivo/Correctivo",$BB147="Moderado"),1,IF(AND(W147="Preventivo",$BB145="Fuerte"),1,0)))</f>
        <v>0</v>
      </c>
      <c r="BE147" s="169" t="e">
        <f>+N145-BC147</f>
        <v>#N/A</v>
      </c>
      <c r="BF147" s="169" t="e">
        <f>+P145-BD147</f>
        <v>#N/A</v>
      </c>
      <c r="BG147" s="422"/>
      <c r="BH147" s="422"/>
      <c r="BI147" s="422"/>
      <c r="BJ147" s="645"/>
      <c r="BK147" s="645"/>
      <c r="BL147" s="645"/>
      <c r="BM147" s="645"/>
    </row>
    <row r="148" spans="1:65" ht="65.099999999999994" customHeight="1" thickBot="1">
      <c r="A148" s="405"/>
      <c r="B148" s="625"/>
      <c r="C148" s="440"/>
      <c r="D148" s="152"/>
      <c r="E148" s="152"/>
      <c r="F148" s="475"/>
      <c r="G148" s="443"/>
      <c r="H148" s="100"/>
      <c r="I148" s="128"/>
      <c r="J148" s="100"/>
      <c r="K148" s="147"/>
      <c r="L148" s="129"/>
      <c r="M148" s="446"/>
      <c r="N148" s="425"/>
      <c r="O148" s="428"/>
      <c r="P148" s="425"/>
      <c r="Q148" s="429"/>
      <c r="R148" s="422"/>
      <c r="S148" s="150"/>
      <c r="T148" s="97"/>
      <c r="U148" s="47" t="s">
        <v>627</v>
      </c>
      <c r="V148" s="172"/>
      <c r="W148" s="172"/>
      <c r="X148" s="172"/>
      <c r="Y148" s="95" t="str">
        <f t="shared" si="25"/>
        <v/>
      </c>
      <c r="Z148" s="172"/>
      <c r="AA148" s="95" t="str">
        <f t="shared" si="26"/>
        <v/>
      </c>
      <c r="AB148" s="150"/>
      <c r="AC148" s="95" t="str">
        <f t="shared" si="27"/>
        <v/>
      </c>
      <c r="AD148" s="150"/>
      <c r="AE148" s="95" t="str">
        <f t="shared" si="28"/>
        <v/>
      </c>
      <c r="AF148" s="150"/>
      <c r="AG148" s="95" t="str">
        <f t="shared" si="29"/>
        <v/>
      </c>
      <c r="AH148" s="150"/>
      <c r="AI148" s="95" t="str">
        <f t="shared" si="30"/>
        <v/>
      </c>
      <c r="AJ148" s="150"/>
      <c r="AK148" s="27" t="str">
        <f t="shared" si="31"/>
        <v/>
      </c>
      <c r="AL148" s="48" t="str">
        <f t="shared" si="32"/>
        <v/>
      </c>
      <c r="AM148" s="48" t="str">
        <f t="shared" si="33"/>
        <v/>
      </c>
      <c r="AN148" s="196"/>
      <c r="AO148" s="196"/>
      <c r="AP148" s="196"/>
      <c r="AQ148" s="196"/>
      <c r="AR148" s="196"/>
      <c r="AS148" s="196"/>
      <c r="AT148" s="196"/>
      <c r="AU148" s="197" t="str">
        <f>IFERROR(VLOOKUP(AT148,'Seguridad Información'!$I$61:$J$65,2,0),"")</f>
        <v/>
      </c>
      <c r="AV148" s="79"/>
      <c r="AW148" s="78" t="str">
        <f t="shared" si="24"/>
        <v/>
      </c>
      <c r="AX148" s="77" t="str">
        <f t="shared" si="34"/>
        <v/>
      </c>
      <c r="AY148" s="21" t="str">
        <f>IFERROR(VLOOKUP((CONCATENATE(AM148,AX148)),Listados!$U$3:$V$11,2,FALSE),"")</f>
        <v/>
      </c>
      <c r="AZ148" s="48">
        <f t="shared" si="35"/>
        <v>100</v>
      </c>
      <c r="BA148" s="431"/>
      <c r="BB148" s="433"/>
      <c r="BC148" s="169">
        <f>+IF(AND(W148="Preventivo",BB145="Fuerte"),2,IF(AND(W148="Preventivo",BB145="Moderado"),1,0))</f>
        <v>0</v>
      </c>
      <c r="BD148" s="64">
        <f>+IF(AND(W148="Detectivo/Correctivo",$BB145="Fuerte"),2,IF(AND(W148="Detectivo/Correctivo",$BB148="Moderado"),1,IF(AND(W148="Preventivo",$BB145="Fuerte"),1,0)))</f>
        <v>0</v>
      </c>
      <c r="BE148" s="169" t="e">
        <f>+N145-BC148</f>
        <v>#N/A</v>
      </c>
      <c r="BF148" s="169" t="e">
        <f>+P145-BD148</f>
        <v>#N/A</v>
      </c>
      <c r="BG148" s="422"/>
      <c r="BH148" s="422"/>
      <c r="BI148" s="422"/>
      <c r="BJ148" s="645"/>
      <c r="BK148" s="645"/>
      <c r="BL148" s="645"/>
      <c r="BM148" s="645"/>
    </row>
    <row r="149" spans="1:65" ht="65.099999999999994" customHeight="1" thickBot="1">
      <c r="A149" s="405"/>
      <c r="B149" s="625"/>
      <c r="C149" s="440"/>
      <c r="D149" s="109"/>
      <c r="E149" s="109"/>
      <c r="F149" s="475"/>
      <c r="G149" s="443"/>
      <c r="H149" s="100"/>
      <c r="I149" s="128"/>
      <c r="J149" s="100"/>
      <c r="K149" s="29"/>
      <c r="L149" s="129"/>
      <c r="M149" s="446"/>
      <c r="N149" s="425"/>
      <c r="O149" s="428"/>
      <c r="P149" s="425"/>
      <c r="Q149" s="429"/>
      <c r="R149" s="422"/>
      <c r="S149" s="150"/>
      <c r="T149" s="198"/>
      <c r="U149" s="47" t="s">
        <v>627</v>
      </c>
      <c r="V149" s="172"/>
      <c r="W149" s="172"/>
      <c r="X149" s="172"/>
      <c r="Y149" s="95" t="str">
        <f t="shared" si="25"/>
        <v/>
      </c>
      <c r="Z149" s="172"/>
      <c r="AA149" s="95" t="str">
        <f t="shared" si="26"/>
        <v/>
      </c>
      <c r="AB149" s="150"/>
      <c r="AC149" s="95" t="str">
        <f t="shared" si="27"/>
        <v/>
      </c>
      <c r="AD149" s="150"/>
      <c r="AE149" s="95" t="str">
        <f t="shared" si="28"/>
        <v/>
      </c>
      <c r="AF149" s="150"/>
      <c r="AG149" s="95" t="str">
        <f t="shared" si="29"/>
        <v/>
      </c>
      <c r="AH149" s="150"/>
      <c r="AI149" s="95" t="str">
        <f t="shared" si="30"/>
        <v/>
      </c>
      <c r="AJ149" s="150"/>
      <c r="AK149" s="27" t="str">
        <f t="shared" si="31"/>
        <v/>
      </c>
      <c r="AL149" s="48" t="str">
        <f t="shared" si="32"/>
        <v/>
      </c>
      <c r="AM149" s="48" t="str">
        <f t="shared" si="33"/>
        <v/>
      </c>
      <c r="AN149" s="196"/>
      <c r="AO149" s="196"/>
      <c r="AP149" s="196"/>
      <c r="AQ149" s="196"/>
      <c r="AR149" s="196"/>
      <c r="AS149" s="196"/>
      <c r="AT149" s="196"/>
      <c r="AU149" s="197" t="str">
        <f>IFERROR(VLOOKUP(AT149,'Seguridad Información'!$I$61:$J$65,2,0),"")</f>
        <v/>
      </c>
      <c r="AV149" s="79"/>
      <c r="AW149" s="78" t="str">
        <f t="shared" si="24"/>
        <v/>
      </c>
      <c r="AX149" s="77" t="str">
        <f t="shared" si="34"/>
        <v/>
      </c>
      <c r="AY149" s="21" t="str">
        <f>IFERROR(VLOOKUP((CONCATENATE(AM149,AX149)),Listados!$U$3:$V$11,2,FALSE),"")</f>
        <v/>
      </c>
      <c r="AZ149" s="48">
        <f t="shared" si="35"/>
        <v>100</v>
      </c>
      <c r="BA149" s="431"/>
      <c r="BB149" s="433"/>
      <c r="BC149" s="169">
        <f>+IF(AND(W149="Preventivo",BB145="Fuerte"),2,IF(AND(W149="Preventivo",BB145="Moderado"),1,0))</f>
        <v>0</v>
      </c>
      <c r="BD149" s="64">
        <f>+IF(AND(W149="Detectivo/Correctivo",$BB145="Fuerte"),2,IF(AND(W149="Detectivo/Correctivo",$BB149="Moderado"),1,IF(AND(W149="Preventivo",$BB145="Fuerte"),1,0)))</f>
        <v>0</v>
      </c>
      <c r="BE149" s="169" t="e">
        <f>+N145-BC149</f>
        <v>#N/A</v>
      </c>
      <c r="BF149" s="169" t="e">
        <f>+P145-BD149</f>
        <v>#N/A</v>
      </c>
      <c r="BG149" s="422"/>
      <c r="BH149" s="422"/>
      <c r="BI149" s="422"/>
      <c r="BJ149" s="645"/>
      <c r="BK149" s="645"/>
      <c r="BL149" s="645"/>
      <c r="BM149" s="645"/>
    </row>
    <row r="150" spans="1:65" ht="65.099999999999994" customHeight="1" thickBot="1">
      <c r="A150" s="406"/>
      <c r="B150" s="625"/>
      <c r="C150" s="441"/>
      <c r="D150" s="106"/>
      <c r="E150" s="106"/>
      <c r="F150" s="619"/>
      <c r="G150" s="444"/>
      <c r="H150" s="100"/>
      <c r="I150" s="128"/>
      <c r="J150" s="100"/>
      <c r="K150" s="31"/>
      <c r="L150" s="129"/>
      <c r="M150" s="446"/>
      <c r="N150" s="426"/>
      <c r="O150" s="428"/>
      <c r="P150" s="426"/>
      <c r="Q150" s="429"/>
      <c r="R150" s="423"/>
      <c r="S150" s="150"/>
      <c r="T150" s="98"/>
      <c r="U150" s="47" t="s">
        <v>627</v>
      </c>
      <c r="V150" s="172"/>
      <c r="W150" s="172"/>
      <c r="X150" s="172"/>
      <c r="Y150" s="95" t="str">
        <f t="shared" si="25"/>
        <v/>
      </c>
      <c r="Z150" s="172"/>
      <c r="AA150" s="95" t="str">
        <f t="shared" si="26"/>
        <v/>
      </c>
      <c r="AB150" s="150"/>
      <c r="AC150" s="95" t="str">
        <f t="shared" si="27"/>
        <v/>
      </c>
      <c r="AD150" s="150"/>
      <c r="AE150" s="95" t="str">
        <f t="shared" si="28"/>
        <v/>
      </c>
      <c r="AF150" s="150"/>
      <c r="AG150" s="95" t="str">
        <f t="shared" si="29"/>
        <v/>
      </c>
      <c r="AH150" s="150"/>
      <c r="AI150" s="95" t="str">
        <f t="shared" si="30"/>
        <v/>
      </c>
      <c r="AJ150" s="150"/>
      <c r="AK150" s="27" t="str">
        <f t="shared" si="31"/>
        <v/>
      </c>
      <c r="AL150" s="48" t="str">
        <f t="shared" si="32"/>
        <v/>
      </c>
      <c r="AM150" s="48" t="str">
        <f t="shared" si="33"/>
        <v/>
      </c>
      <c r="AN150" s="196"/>
      <c r="AO150" s="196"/>
      <c r="AP150" s="196"/>
      <c r="AQ150" s="196"/>
      <c r="AR150" s="196"/>
      <c r="AS150" s="196"/>
      <c r="AT150" s="196"/>
      <c r="AU150" s="197" t="str">
        <f>IFERROR(VLOOKUP(AT150,'Seguridad Información'!$I$61:$J$65,2,0),"")</f>
        <v/>
      </c>
      <c r="AV150" s="79"/>
      <c r="AW150" s="78" t="str">
        <f t="shared" si="24"/>
        <v/>
      </c>
      <c r="AX150" s="77" t="str">
        <f t="shared" si="34"/>
        <v/>
      </c>
      <c r="AY150" s="21" t="str">
        <f>IFERROR(VLOOKUP((CONCATENATE(AM150,AX150)),Listados!$U$3:$V$11,2,FALSE),"")</f>
        <v/>
      </c>
      <c r="AZ150" s="48">
        <f t="shared" si="35"/>
        <v>100</v>
      </c>
      <c r="BA150" s="432"/>
      <c r="BB150" s="433"/>
      <c r="BC150" s="169">
        <f>+IF(AND(W150="Preventivo",BB145="Fuerte"),2,IF(AND(W150="Preventivo",BB145="Moderado"),1,0))</f>
        <v>0</v>
      </c>
      <c r="BD150" s="64">
        <f>+IF(AND(W150="Detectivo/Correctivo",$BB145="Fuerte"),2,IF(AND(W150="Detectivo/Correctivo",$BB150="Moderado"),1,IF(AND(W150="Preventivo",$BB145="Fuerte"),1,0)))</f>
        <v>0</v>
      </c>
      <c r="BE150" s="169" t="e">
        <f>+N145-BC150</f>
        <v>#N/A</v>
      </c>
      <c r="BF150" s="169" t="e">
        <f>+P145-BD150</f>
        <v>#N/A</v>
      </c>
      <c r="BG150" s="423"/>
      <c r="BH150" s="423"/>
      <c r="BI150" s="423"/>
      <c r="BJ150" s="646"/>
      <c r="BK150" s="646"/>
      <c r="BL150" s="646"/>
      <c r="BM150" s="646"/>
    </row>
    <row r="151" spans="1:65" ht="65.099999999999994" customHeight="1" thickBot="1">
      <c r="A151" s="404">
        <v>25</v>
      </c>
      <c r="B151" s="628"/>
      <c r="C151" s="447" t="str">
        <f>IFERROR(VLOOKUP(B151,Listados!B$3:C$20,2,FALSE),"")</f>
        <v/>
      </c>
      <c r="D151" s="107"/>
      <c r="E151" s="107"/>
      <c r="F151" s="618"/>
      <c r="G151" s="448"/>
      <c r="H151" s="100"/>
      <c r="I151" s="128"/>
      <c r="J151" s="100"/>
      <c r="K151" s="103"/>
      <c r="L151" s="17"/>
      <c r="M151" s="445"/>
      <c r="N151" s="424" t="e">
        <f>+VLOOKUP(M151,Listados!$K$8:$L$12,2,0)</f>
        <v>#N/A</v>
      </c>
      <c r="O151" s="427"/>
      <c r="P151" s="424" t="e">
        <f>+VLOOKUP(O151,Listados!$K$13:$L$17,2,0)</f>
        <v>#N/A</v>
      </c>
      <c r="Q151" s="423" t="str">
        <f>IF(AND(M151&lt;&gt;"",O151&lt;&gt;""),VLOOKUP(M151&amp;O151,Listados!$M$3:$N$27,2,FALSE),"")</f>
        <v/>
      </c>
      <c r="R151" s="421" t="e">
        <f>+VLOOKUP(Q151,Listados!$P$3:$Q$6,2,FALSE)</f>
        <v>#N/A</v>
      </c>
      <c r="S151" s="150"/>
      <c r="T151" s="94"/>
      <c r="U151" s="47" t="s">
        <v>627</v>
      </c>
      <c r="V151" s="172"/>
      <c r="W151" s="172"/>
      <c r="X151" s="172"/>
      <c r="Y151" s="95" t="str">
        <f t="shared" si="25"/>
        <v/>
      </c>
      <c r="Z151" s="172"/>
      <c r="AA151" s="95" t="str">
        <f t="shared" si="26"/>
        <v/>
      </c>
      <c r="AB151" s="150"/>
      <c r="AC151" s="95" t="str">
        <f t="shared" si="27"/>
        <v/>
      </c>
      <c r="AD151" s="150"/>
      <c r="AE151" s="95" t="str">
        <f t="shared" si="28"/>
        <v/>
      </c>
      <c r="AF151" s="150"/>
      <c r="AG151" s="95" t="str">
        <f t="shared" si="29"/>
        <v/>
      </c>
      <c r="AH151" s="150"/>
      <c r="AI151" s="95" t="str">
        <f t="shared" si="30"/>
        <v/>
      </c>
      <c r="AJ151" s="150"/>
      <c r="AK151" s="27" t="str">
        <f t="shared" si="31"/>
        <v/>
      </c>
      <c r="AL151" s="48" t="str">
        <f t="shared" si="32"/>
        <v/>
      </c>
      <c r="AM151" s="48" t="str">
        <f t="shared" si="33"/>
        <v/>
      </c>
      <c r="AN151" s="196"/>
      <c r="AO151" s="196"/>
      <c r="AP151" s="196"/>
      <c r="AQ151" s="196"/>
      <c r="AR151" s="196"/>
      <c r="AS151" s="196"/>
      <c r="AT151" s="196"/>
      <c r="AU151" s="197" t="str">
        <f>IFERROR(VLOOKUP(AT151,'Seguridad Información'!$I$61:$J$65,2,0),"")</f>
        <v/>
      </c>
      <c r="AV151" s="79"/>
      <c r="AW151" s="78" t="str">
        <f t="shared" si="24"/>
        <v/>
      </c>
      <c r="AX151" s="77" t="str">
        <f t="shared" si="34"/>
        <v/>
      </c>
      <c r="AY151" s="21" t="str">
        <f>IFERROR(VLOOKUP((CONCATENATE(AM151,AX151)),Listados!$U$3:$V$11,2,FALSE),"")</f>
        <v/>
      </c>
      <c r="AZ151" s="48">
        <f t="shared" si="35"/>
        <v>100</v>
      </c>
      <c r="BA151" s="430">
        <f>AVERAGE(AZ151:AZ156)</f>
        <v>100</v>
      </c>
      <c r="BB151" s="432" t="str">
        <f>IF(BA151&lt;=50, "Débil", IF(BA151&lt;=99,"Moderado","Fuerte"))</f>
        <v>Fuerte</v>
      </c>
      <c r="BC151" s="169">
        <f>+IF(AND(W151="Preventivo",BB151="Fuerte"),2,IF(AND(W151="Preventivo",BB151="Moderado"),1,0))</f>
        <v>0</v>
      </c>
      <c r="BD151" s="64">
        <f>+IF(AND(W151="Detectivo/Correctivo",$BB151="Fuerte"),2,IF(AND(W151="Detectivo/Correctivo",$BB151="Moderado"),1,IF(AND(W151="Preventivo",$BB151="Fuerte"),1,0)))</f>
        <v>0</v>
      </c>
      <c r="BE151" s="169" t="e">
        <f>+N151-BC151</f>
        <v>#N/A</v>
      </c>
      <c r="BF151" s="169" t="e">
        <f>+P151-BD151</f>
        <v>#N/A</v>
      </c>
      <c r="BG151" s="421" t="e">
        <f>+VLOOKUP(MIN(BE151,BE152,BE153,BE154,BE155,BE156),Listados!$J$18:$K$24,2,TRUE)</f>
        <v>#N/A</v>
      </c>
      <c r="BH151" s="421" t="e">
        <f>+VLOOKUP(MIN(BF151,BF152,BF153,BF154,BF155,BF156),Listados!$J$27:$K$32,2,TRUE)</f>
        <v>#N/A</v>
      </c>
      <c r="BI151" s="421" t="e">
        <f>IF(AND(BG151&lt;&gt;"",BH151&lt;&gt;""),VLOOKUP(BG151&amp;BH151,Listados!$M$3:$N$27,2,FALSE),"")</f>
        <v>#N/A</v>
      </c>
      <c r="BJ151" s="644" t="e">
        <f>+IF($R151="Asumir el riesgo","NA","")</f>
        <v>#N/A</v>
      </c>
      <c r="BK151" s="644" t="e">
        <f>+IF($R151="Asumir el riesgo","NA","")</f>
        <v>#N/A</v>
      </c>
      <c r="BL151" s="644" t="e">
        <f>+IF($R151="Asumir el riesgo","NA","")</f>
        <v>#N/A</v>
      </c>
      <c r="BM151" s="644" t="e">
        <f>+IF($R151="Asumir el riesgo","NA","")</f>
        <v>#N/A</v>
      </c>
    </row>
    <row r="152" spans="1:65" ht="65.099999999999994" customHeight="1" thickBot="1">
      <c r="A152" s="405"/>
      <c r="B152" s="625"/>
      <c r="C152" s="440"/>
      <c r="D152" s="152"/>
      <c r="E152" s="152"/>
      <c r="F152" s="475"/>
      <c r="G152" s="443"/>
      <c r="H152" s="100"/>
      <c r="I152" s="128"/>
      <c r="J152" s="100"/>
      <c r="K152" s="147"/>
      <c r="L152" s="129"/>
      <c r="M152" s="446"/>
      <c r="N152" s="425"/>
      <c r="O152" s="428"/>
      <c r="P152" s="425"/>
      <c r="Q152" s="429"/>
      <c r="R152" s="422"/>
      <c r="S152" s="150"/>
      <c r="T152" s="198"/>
      <c r="U152" s="47" t="s">
        <v>627</v>
      </c>
      <c r="V152" s="172"/>
      <c r="W152" s="172"/>
      <c r="X152" s="172"/>
      <c r="Y152" s="95" t="str">
        <f t="shared" si="25"/>
        <v/>
      </c>
      <c r="Z152" s="172"/>
      <c r="AA152" s="95" t="str">
        <f t="shared" si="26"/>
        <v/>
      </c>
      <c r="AB152" s="150"/>
      <c r="AC152" s="95" t="str">
        <f t="shared" si="27"/>
        <v/>
      </c>
      <c r="AD152" s="150"/>
      <c r="AE152" s="95" t="str">
        <f t="shared" si="28"/>
        <v/>
      </c>
      <c r="AF152" s="150"/>
      <c r="AG152" s="95" t="str">
        <f t="shared" si="29"/>
        <v/>
      </c>
      <c r="AH152" s="150"/>
      <c r="AI152" s="95" t="str">
        <f t="shared" si="30"/>
        <v/>
      </c>
      <c r="AJ152" s="150"/>
      <c r="AK152" s="27" t="str">
        <f t="shared" si="31"/>
        <v/>
      </c>
      <c r="AL152" s="48" t="str">
        <f t="shared" si="32"/>
        <v/>
      </c>
      <c r="AM152" s="48" t="str">
        <f t="shared" si="33"/>
        <v/>
      </c>
      <c r="AN152" s="196"/>
      <c r="AO152" s="196"/>
      <c r="AP152" s="196"/>
      <c r="AQ152" s="196"/>
      <c r="AR152" s="196"/>
      <c r="AS152" s="196"/>
      <c r="AT152" s="196"/>
      <c r="AU152" s="197" t="str">
        <f>IFERROR(VLOOKUP(AT152,'Seguridad Información'!$I$61:$J$65,2,0),"")</f>
        <v/>
      </c>
      <c r="AV152" s="79"/>
      <c r="AW152" s="78" t="str">
        <f t="shared" si="24"/>
        <v/>
      </c>
      <c r="AX152" s="77" t="str">
        <f t="shared" si="34"/>
        <v/>
      </c>
      <c r="AY152" s="21" t="str">
        <f>IFERROR(VLOOKUP((CONCATENATE(AM152,AX152)),Listados!$U$3:$V$11,2,FALSE),"")</f>
        <v/>
      </c>
      <c r="AZ152" s="48">
        <f t="shared" si="35"/>
        <v>100</v>
      </c>
      <c r="BA152" s="431"/>
      <c r="BB152" s="433"/>
      <c r="BC152" s="169">
        <f>+IF(AND(W152="Preventivo",BB151="Fuerte"),2,IF(AND(W152="Preventivo",BB151="Moderado"),1,0))</f>
        <v>0</v>
      </c>
      <c r="BD152" s="64">
        <f>+IF(AND(W152="Detectivo/Correctivo",$BB151="Fuerte"),2,IF(AND(W152="Detectivo/Correctivo",$BB152="Moderado"),1,IF(AND(W152="Preventivo",$BB151="Fuerte"),1,0)))</f>
        <v>0</v>
      </c>
      <c r="BE152" s="169" t="e">
        <f>+N151-BC152</f>
        <v>#N/A</v>
      </c>
      <c r="BF152" s="169" t="e">
        <f>+P151-BD152</f>
        <v>#N/A</v>
      </c>
      <c r="BG152" s="422"/>
      <c r="BH152" s="422"/>
      <c r="BI152" s="422"/>
      <c r="BJ152" s="645"/>
      <c r="BK152" s="645"/>
      <c r="BL152" s="645"/>
      <c r="BM152" s="645"/>
    </row>
    <row r="153" spans="1:65" ht="65.099999999999994" customHeight="1" thickBot="1">
      <c r="A153" s="405"/>
      <c r="B153" s="625"/>
      <c r="C153" s="440"/>
      <c r="D153" s="152"/>
      <c r="E153" s="152"/>
      <c r="F153" s="475"/>
      <c r="G153" s="443"/>
      <c r="H153" s="100"/>
      <c r="I153" s="128"/>
      <c r="J153" s="100"/>
      <c r="K153" s="147"/>
      <c r="L153" s="129"/>
      <c r="M153" s="446"/>
      <c r="N153" s="425"/>
      <c r="O153" s="428"/>
      <c r="P153" s="425"/>
      <c r="Q153" s="429"/>
      <c r="R153" s="422"/>
      <c r="S153" s="150"/>
      <c r="T153" s="96"/>
      <c r="U153" s="47" t="s">
        <v>627</v>
      </c>
      <c r="V153" s="172"/>
      <c r="W153" s="172"/>
      <c r="X153" s="172"/>
      <c r="Y153" s="95" t="str">
        <f t="shared" si="25"/>
        <v/>
      </c>
      <c r="Z153" s="172"/>
      <c r="AA153" s="95" t="str">
        <f t="shared" si="26"/>
        <v/>
      </c>
      <c r="AB153" s="150"/>
      <c r="AC153" s="95" t="str">
        <f t="shared" si="27"/>
        <v/>
      </c>
      <c r="AD153" s="150"/>
      <c r="AE153" s="95" t="str">
        <f t="shared" si="28"/>
        <v/>
      </c>
      <c r="AF153" s="150"/>
      <c r="AG153" s="95" t="str">
        <f t="shared" si="29"/>
        <v/>
      </c>
      <c r="AH153" s="150"/>
      <c r="AI153" s="95" t="str">
        <f t="shared" si="30"/>
        <v/>
      </c>
      <c r="AJ153" s="150"/>
      <c r="AK153" s="27" t="str">
        <f t="shared" si="31"/>
        <v/>
      </c>
      <c r="AL153" s="48" t="str">
        <f t="shared" si="32"/>
        <v/>
      </c>
      <c r="AM153" s="48" t="str">
        <f t="shared" si="33"/>
        <v/>
      </c>
      <c r="AN153" s="196"/>
      <c r="AO153" s="196"/>
      <c r="AP153" s="196"/>
      <c r="AQ153" s="196"/>
      <c r="AR153" s="196"/>
      <c r="AS153" s="196"/>
      <c r="AT153" s="196"/>
      <c r="AU153" s="197" t="str">
        <f>IFERROR(VLOOKUP(AT153,'Seguridad Información'!$I$61:$J$65,2,0),"")</f>
        <v/>
      </c>
      <c r="AV153" s="79"/>
      <c r="AW153" s="78" t="str">
        <f t="shared" si="24"/>
        <v/>
      </c>
      <c r="AX153" s="77" t="str">
        <f t="shared" si="34"/>
        <v/>
      </c>
      <c r="AY153" s="21" t="str">
        <f>IFERROR(VLOOKUP((CONCATENATE(AM153,AX153)),Listados!$U$3:$V$11,2,FALSE),"")</f>
        <v/>
      </c>
      <c r="AZ153" s="48">
        <f t="shared" si="35"/>
        <v>100</v>
      </c>
      <c r="BA153" s="431"/>
      <c r="BB153" s="433"/>
      <c r="BC153" s="169">
        <f>+IF(AND(W153="Preventivo",BB151="Fuerte"),2,IF(AND(W153="Preventivo",BB151="Moderado"),1,0))</f>
        <v>0</v>
      </c>
      <c r="BD153" s="64">
        <f>+IF(AND(W153="Detectivo/Correctivo",$BB151="Fuerte"),2,IF(AND(W153="Detectivo/Correctivo",$BB153="Moderado"),1,IF(AND(W153="Preventivo",$BB151="Fuerte"),1,0)))</f>
        <v>0</v>
      </c>
      <c r="BE153" s="169" t="e">
        <f>+N151-BC153</f>
        <v>#N/A</v>
      </c>
      <c r="BF153" s="169" t="e">
        <f>+P151-BD153</f>
        <v>#N/A</v>
      </c>
      <c r="BG153" s="422"/>
      <c r="BH153" s="422"/>
      <c r="BI153" s="422"/>
      <c r="BJ153" s="645"/>
      <c r="BK153" s="645"/>
      <c r="BL153" s="645"/>
      <c r="BM153" s="645"/>
    </row>
    <row r="154" spans="1:65" ht="65.099999999999994" customHeight="1" thickBot="1">
      <c r="A154" s="405"/>
      <c r="B154" s="625"/>
      <c r="C154" s="440"/>
      <c r="D154" s="152"/>
      <c r="E154" s="152"/>
      <c r="F154" s="475"/>
      <c r="G154" s="443"/>
      <c r="H154" s="100"/>
      <c r="I154" s="128"/>
      <c r="J154" s="100"/>
      <c r="K154" s="147"/>
      <c r="L154" s="129"/>
      <c r="M154" s="446"/>
      <c r="N154" s="425"/>
      <c r="O154" s="428"/>
      <c r="P154" s="425"/>
      <c r="Q154" s="429"/>
      <c r="R154" s="422"/>
      <c r="S154" s="150"/>
      <c r="T154" s="97"/>
      <c r="U154" s="47" t="s">
        <v>627</v>
      </c>
      <c r="V154" s="172"/>
      <c r="W154" s="172"/>
      <c r="X154" s="172"/>
      <c r="Y154" s="95" t="str">
        <f t="shared" si="25"/>
        <v/>
      </c>
      <c r="Z154" s="172"/>
      <c r="AA154" s="95" t="str">
        <f t="shared" si="26"/>
        <v/>
      </c>
      <c r="AB154" s="150"/>
      <c r="AC154" s="95" t="str">
        <f t="shared" si="27"/>
        <v/>
      </c>
      <c r="AD154" s="150"/>
      <c r="AE154" s="95" t="str">
        <f t="shared" si="28"/>
        <v/>
      </c>
      <c r="AF154" s="150"/>
      <c r="AG154" s="95" t="str">
        <f t="shared" si="29"/>
        <v/>
      </c>
      <c r="AH154" s="150"/>
      <c r="AI154" s="95" t="str">
        <f t="shared" si="30"/>
        <v/>
      </c>
      <c r="AJ154" s="150"/>
      <c r="AK154" s="27" t="str">
        <f t="shared" si="31"/>
        <v/>
      </c>
      <c r="AL154" s="48" t="str">
        <f t="shared" si="32"/>
        <v/>
      </c>
      <c r="AM154" s="48" t="str">
        <f t="shared" si="33"/>
        <v/>
      </c>
      <c r="AN154" s="196"/>
      <c r="AO154" s="196"/>
      <c r="AP154" s="196"/>
      <c r="AQ154" s="196"/>
      <c r="AR154" s="196"/>
      <c r="AS154" s="196"/>
      <c r="AT154" s="196"/>
      <c r="AU154" s="197" t="str">
        <f>IFERROR(VLOOKUP(AT154,'Seguridad Información'!$I$61:$J$65,2,0),"")</f>
        <v/>
      </c>
      <c r="AV154" s="79"/>
      <c r="AW154" s="78" t="str">
        <f t="shared" si="24"/>
        <v/>
      </c>
      <c r="AX154" s="77" t="str">
        <f t="shared" si="34"/>
        <v/>
      </c>
      <c r="AY154" s="21" t="str">
        <f>IFERROR(VLOOKUP((CONCATENATE(AM154,AX154)),Listados!$U$3:$V$11,2,FALSE),"")</f>
        <v/>
      </c>
      <c r="AZ154" s="48">
        <f t="shared" si="35"/>
        <v>100</v>
      </c>
      <c r="BA154" s="431"/>
      <c r="BB154" s="433"/>
      <c r="BC154" s="169">
        <f>+IF(AND(W154="Preventivo",BB151="Fuerte"),2,IF(AND(W154="Preventivo",BB151="Moderado"),1,0))</f>
        <v>0</v>
      </c>
      <c r="BD154" s="64">
        <f>+IF(AND(W154="Detectivo/Correctivo",$BB151="Fuerte"),2,IF(AND(W154="Detectivo/Correctivo",$BB154="Moderado"),1,IF(AND(W154="Preventivo",$BB151="Fuerte"),1,0)))</f>
        <v>0</v>
      </c>
      <c r="BE154" s="169" t="e">
        <f>+N151-BC154</f>
        <v>#N/A</v>
      </c>
      <c r="BF154" s="169" t="e">
        <f>+P151-BD154</f>
        <v>#N/A</v>
      </c>
      <c r="BG154" s="422"/>
      <c r="BH154" s="422"/>
      <c r="BI154" s="422"/>
      <c r="BJ154" s="645"/>
      <c r="BK154" s="645"/>
      <c r="BL154" s="645"/>
      <c r="BM154" s="645"/>
    </row>
    <row r="155" spans="1:65" ht="65.099999999999994" customHeight="1" thickBot="1">
      <c r="A155" s="405"/>
      <c r="B155" s="625"/>
      <c r="C155" s="440"/>
      <c r="D155" s="109"/>
      <c r="E155" s="109"/>
      <c r="F155" s="475"/>
      <c r="G155" s="443"/>
      <c r="H155" s="100"/>
      <c r="I155" s="128"/>
      <c r="J155" s="100"/>
      <c r="K155" s="29"/>
      <c r="L155" s="129"/>
      <c r="M155" s="446"/>
      <c r="N155" s="425"/>
      <c r="O155" s="428"/>
      <c r="P155" s="425"/>
      <c r="Q155" s="429"/>
      <c r="R155" s="422"/>
      <c r="S155" s="150"/>
      <c r="T155" s="198"/>
      <c r="U155" s="47" t="s">
        <v>627</v>
      </c>
      <c r="V155" s="172"/>
      <c r="W155" s="172"/>
      <c r="X155" s="172"/>
      <c r="Y155" s="95" t="str">
        <f t="shared" si="25"/>
        <v/>
      </c>
      <c r="Z155" s="172"/>
      <c r="AA155" s="95" t="str">
        <f t="shared" si="26"/>
        <v/>
      </c>
      <c r="AB155" s="150"/>
      <c r="AC155" s="95" t="str">
        <f t="shared" si="27"/>
        <v/>
      </c>
      <c r="AD155" s="150"/>
      <c r="AE155" s="95" t="str">
        <f t="shared" si="28"/>
        <v/>
      </c>
      <c r="AF155" s="150"/>
      <c r="AG155" s="95" t="str">
        <f t="shared" si="29"/>
        <v/>
      </c>
      <c r="AH155" s="150"/>
      <c r="AI155" s="95" t="str">
        <f t="shared" si="30"/>
        <v/>
      </c>
      <c r="AJ155" s="150"/>
      <c r="AK155" s="27" t="str">
        <f t="shared" si="31"/>
        <v/>
      </c>
      <c r="AL155" s="48" t="str">
        <f t="shared" si="32"/>
        <v/>
      </c>
      <c r="AM155" s="48" t="str">
        <f t="shared" si="33"/>
        <v/>
      </c>
      <c r="AN155" s="196"/>
      <c r="AO155" s="196"/>
      <c r="AP155" s="196"/>
      <c r="AQ155" s="196"/>
      <c r="AR155" s="196"/>
      <c r="AS155" s="196"/>
      <c r="AT155" s="196"/>
      <c r="AU155" s="197" t="str">
        <f>IFERROR(VLOOKUP(AT155,'Seguridad Información'!$I$61:$J$65,2,0),"")</f>
        <v/>
      </c>
      <c r="AV155" s="79"/>
      <c r="AW155" s="78" t="str">
        <f t="shared" si="24"/>
        <v/>
      </c>
      <c r="AX155" s="77" t="str">
        <f t="shared" si="34"/>
        <v/>
      </c>
      <c r="AY155" s="21" t="str">
        <f>IFERROR(VLOOKUP((CONCATENATE(AM155,AX155)),Listados!$U$3:$V$11,2,FALSE),"")</f>
        <v/>
      </c>
      <c r="AZ155" s="48">
        <f t="shared" si="35"/>
        <v>100</v>
      </c>
      <c r="BA155" s="431"/>
      <c r="BB155" s="433"/>
      <c r="BC155" s="169">
        <f>+IF(AND(W155="Preventivo",BB151="Fuerte"),2,IF(AND(W155="Preventivo",BB151="Moderado"),1,0))</f>
        <v>0</v>
      </c>
      <c r="BD155" s="64">
        <f>+IF(AND(W155="Detectivo/Correctivo",$BB151="Fuerte"),2,IF(AND(W155="Detectivo/Correctivo",$BB155="Moderado"),1,IF(AND(W155="Preventivo",$BB151="Fuerte"),1,0)))</f>
        <v>0</v>
      </c>
      <c r="BE155" s="169" t="e">
        <f>+N151-BC155</f>
        <v>#N/A</v>
      </c>
      <c r="BF155" s="169" t="e">
        <f>+P151-BD155</f>
        <v>#N/A</v>
      </c>
      <c r="BG155" s="422"/>
      <c r="BH155" s="422"/>
      <c r="BI155" s="422"/>
      <c r="BJ155" s="645"/>
      <c r="BK155" s="645"/>
      <c r="BL155" s="645"/>
      <c r="BM155" s="645"/>
    </row>
    <row r="156" spans="1:65" ht="65.099999999999994" customHeight="1" thickBot="1">
      <c r="A156" s="406"/>
      <c r="B156" s="625"/>
      <c r="C156" s="441"/>
      <c r="D156" s="106"/>
      <c r="E156" s="106"/>
      <c r="F156" s="619"/>
      <c r="G156" s="444"/>
      <c r="H156" s="100"/>
      <c r="I156" s="128"/>
      <c r="J156" s="100"/>
      <c r="K156" s="31"/>
      <c r="L156" s="129"/>
      <c r="M156" s="446"/>
      <c r="N156" s="426"/>
      <c r="O156" s="428"/>
      <c r="P156" s="426"/>
      <c r="Q156" s="429"/>
      <c r="R156" s="423"/>
      <c r="S156" s="150"/>
      <c r="T156" s="98"/>
      <c r="U156" s="47" t="s">
        <v>627</v>
      </c>
      <c r="V156" s="172"/>
      <c r="W156" s="172"/>
      <c r="X156" s="172"/>
      <c r="Y156" s="95" t="str">
        <f t="shared" si="25"/>
        <v/>
      </c>
      <c r="Z156" s="172"/>
      <c r="AA156" s="95" t="str">
        <f t="shared" si="26"/>
        <v/>
      </c>
      <c r="AB156" s="150"/>
      <c r="AC156" s="95" t="str">
        <f t="shared" si="27"/>
        <v/>
      </c>
      <c r="AD156" s="150"/>
      <c r="AE156" s="95" t="str">
        <f t="shared" si="28"/>
        <v/>
      </c>
      <c r="AF156" s="150"/>
      <c r="AG156" s="95" t="str">
        <f t="shared" si="29"/>
        <v/>
      </c>
      <c r="AH156" s="150"/>
      <c r="AI156" s="95" t="str">
        <f t="shared" si="30"/>
        <v/>
      </c>
      <c r="AJ156" s="150"/>
      <c r="AK156" s="27" t="str">
        <f t="shared" si="31"/>
        <v/>
      </c>
      <c r="AL156" s="48" t="str">
        <f t="shared" si="32"/>
        <v/>
      </c>
      <c r="AM156" s="48" t="str">
        <f t="shared" si="33"/>
        <v/>
      </c>
      <c r="AN156" s="196"/>
      <c r="AO156" s="196"/>
      <c r="AP156" s="196"/>
      <c r="AQ156" s="196"/>
      <c r="AR156" s="196"/>
      <c r="AS156" s="196"/>
      <c r="AT156" s="196"/>
      <c r="AU156" s="197" t="str">
        <f>IFERROR(VLOOKUP(AT156,'Seguridad Información'!$I$61:$J$65,2,0),"")</f>
        <v/>
      </c>
      <c r="AV156" s="79"/>
      <c r="AW156" s="78" t="str">
        <f t="shared" si="24"/>
        <v/>
      </c>
      <c r="AX156" s="77" t="str">
        <f t="shared" si="34"/>
        <v/>
      </c>
      <c r="AY156" s="21" t="str">
        <f>IFERROR(VLOOKUP((CONCATENATE(AM156,AX156)),Listados!$U$3:$V$11,2,FALSE),"")</f>
        <v/>
      </c>
      <c r="AZ156" s="48">
        <f t="shared" si="35"/>
        <v>100</v>
      </c>
      <c r="BA156" s="432"/>
      <c r="BB156" s="433"/>
      <c r="BC156" s="169">
        <f>+IF(AND(W156="Preventivo",BB151="Fuerte"),2,IF(AND(W156="Preventivo",BB151="Moderado"),1,0))</f>
        <v>0</v>
      </c>
      <c r="BD156" s="64">
        <f>+IF(AND(W156="Detectivo/Correctivo",$BB151="Fuerte"),2,IF(AND(W156="Detectivo/Correctivo",$BB156="Moderado"),1,IF(AND(W156="Preventivo",$BB151="Fuerte"),1,0)))</f>
        <v>0</v>
      </c>
      <c r="BE156" s="169" t="e">
        <f>+N151-BC156</f>
        <v>#N/A</v>
      </c>
      <c r="BF156" s="169" t="e">
        <f>+P151-BD156</f>
        <v>#N/A</v>
      </c>
      <c r="BG156" s="423"/>
      <c r="BH156" s="423"/>
      <c r="BI156" s="423"/>
      <c r="BJ156" s="646"/>
      <c r="BK156" s="646"/>
      <c r="BL156" s="646"/>
      <c r="BM156" s="646"/>
    </row>
    <row r="157" spans="1:65" ht="65.099999999999994" customHeight="1" thickBot="1">
      <c r="A157" s="404">
        <v>26</v>
      </c>
      <c r="B157" s="628"/>
      <c r="C157" s="447" t="str">
        <f>IFERROR(VLOOKUP(B157,Listados!B$3:C$20,2,FALSE),"")</f>
        <v/>
      </c>
      <c r="D157" s="107"/>
      <c r="E157" s="107"/>
      <c r="F157" s="618"/>
      <c r="G157" s="448"/>
      <c r="H157" s="100"/>
      <c r="I157" s="128"/>
      <c r="J157" s="100"/>
      <c r="K157" s="103"/>
      <c r="L157" s="17"/>
      <c r="M157" s="445"/>
      <c r="N157" s="424" t="e">
        <f>+VLOOKUP(M157,Listados!$K$8:$L$12,2,0)</f>
        <v>#N/A</v>
      </c>
      <c r="O157" s="427"/>
      <c r="P157" s="424" t="e">
        <f>+VLOOKUP(O157,Listados!$K$13:$L$17,2,0)</f>
        <v>#N/A</v>
      </c>
      <c r="Q157" s="423" t="str">
        <f>IF(AND(M157&lt;&gt;"",O157&lt;&gt;""),VLOOKUP(M157&amp;O157,Listados!$M$3:$N$27,2,FALSE),"")</f>
        <v/>
      </c>
      <c r="R157" s="421" t="e">
        <f>+VLOOKUP(Q157,Listados!$P$3:$Q$6,2,FALSE)</f>
        <v>#N/A</v>
      </c>
      <c r="S157" s="150"/>
      <c r="T157" s="94"/>
      <c r="U157" s="47" t="s">
        <v>627</v>
      </c>
      <c r="V157" s="172"/>
      <c r="W157" s="172"/>
      <c r="X157" s="172"/>
      <c r="Y157" s="95" t="str">
        <f t="shared" si="25"/>
        <v/>
      </c>
      <c r="Z157" s="172"/>
      <c r="AA157" s="95" t="str">
        <f t="shared" si="26"/>
        <v/>
      </c>
      <c r="AB157" s="150"/>
      <c r="AC157" s="95" t="str">
        <f t="shared" si="27"/>
        <v/>
      </c>
      <c r="AD157" s="150"/>
      <c r="AE157" s="95" t="str">
        <f t="shared" si="28"/>
        <v/>
      </c>
      <c r="AF157" s="150"/>
      <c r="AG157" s="95" t="str">
        <f t="shared" si="29"/>
        <v/>
      </c>
      <c r="AH157" s="150"/>
      <c r="AI157" s="95" t="str">
        <f t="shared" si="30"/>
        <v/>
      </c>
      <c r="AJ157" s="150"/>
      <c r="AK157" s="27" t="str">
        <f t="shared" si="31"/>
        <v/>
      </c>
      <c r="AL157" s="48" t="str">
        <f t="shared" si="32"/>
        <v/>
      </c>
      <c r="AM157" s="48" t="str">
        <f t="shared" si="33"/>
        <v/>
      </c>
      <c r="AN157" s="196"/>
      <c r="AO157" s="196"/>
      <c r="AP157" s="196"/>
      <c r="AQ157" s="196"/>
      <c r="AR157" s="196"/>
      <c r="AS157" s="196"/>
      <c r="AT157" s="196"/>
      <c r="AU157" s="197" t="str">
        <f>IFERROR(VLOOKUP(AT157,'Seguridad Información'!$I$61:$J$65,2,0),"")</f>
        <v/>
      </c>
      <c r="AV157" s="79"/>
      <c r="AW157" s="78" t="str">
        <f t="shared" si="24"/>
        <v/>
      </c>
      <c r="AX157" s="77" t="str">
        <f t="shared" si="34"/>
        <v/>
      </c>
      <c r="AY157" s="21" t="str">
        <f>IFERROR(VLOOKUP((CONCATENATE(AM157,AX157)),Listados!$U$3:$V$11,2,FALSE),"")</f>
        <v/>
      </c>
      <c r="AZ157" s="48">
        <f t="shared" si="35"/>
        <v>100</v>
      </c>
      <c r="BA157" s="430">
        <f>AVERAGE(AZ157:AZ162)</f>
        <v>100</v>
      </c>
      <c r="BB157" s="432" t="str">
        <f>IF(BA157&lt;=50, "Débil", IF(BA157&lt;=99,"Moderado","Fuerte"))</f>
        <v>Fuerte</v>
      </c>
      <c r="BC157" s="169">
        <f>+IF(AND(W157="Preventivo",BB157="Fuerte"),2,IF(AND(W157="Preventivo",BB157="Moderado"),1,0))</f>
        <v>0</v>
      </c>
      <c r="BD157" s="64">
        <f>+IF(AND(W157="Detectivo/Correctivo",$BB157="Fuerte"),2,IF(AND(W157="Detectivo/Correctivo",$BB157="Moderado"),1,IF(AND(W157="Preventivo",$BB157="Fuerte"),1,0)))</f>
        <v>0</v>
      </c>
      <c r="BE157" s="169" t="e">
        <f>+N157-BC157</f>
        <v>#N/A</v>
      </c>
      <c r="BF157" s="169" t="e">
        <f>+P157-BD157</f>
        <v>#N/A</v>
      </c>
      <c r="BG157" s="421" t="e">
        <f>+VLOOKUP(MIN(BE157,BE158,BE159,BE160,BE161,BE162),Listados!$J$18:$K$24,2,TRUE)</f>
        <v>#N/A</v>
      </c>
      <c r="BH157" s="421" t="e">
        <f>+VLOOKUP(MIN(BF157,BF158,BF159,BF160,BF161,BF162),Listados!$J$27:$K$32,2,TRUE)</f>
        <v>#N/A</v>
      </c>
      <c r="BI157" s="421" t="e">
        <f>IF(AND(BG157&lt;&gt;"",BH157&lt;&gt;""),VLOOKUP(BG157&amp;BH157,Listados!$M$3:$N$27,2,FALSE),"")</f>
        <v>#N/A</v>
      </c>
      <c r="BJ157" s="644" t="e">
        <f>+IF($R157="Asumir el riesgo","NA","")</f>
        <v>#N/A</v>
      </c>
      <c r="BK157" s="644" t="e">
        <f>+IF($R157="Asumir el riesgo","NA","")</f>
        <v>#N/A</v>
      </c>
      <c r="BL157" s="644" t="e">
        <f>+IF($R157="Asumir el riesgo","NA","")</f>
        <v>#N/A</v>
      </c>
      <c r="BM157" s="644" t="e">
        <f>+IF($R157="Asumir el riesgo","NA","")</f>
        <v>#N/A</v>
      </c>
    </row>
    <row r="158" spans="1:65" ht="65.099999999999994" customHeight="1" thickBot="1">
      <c r="A158" s="405"/>
      <c r="B158" s="625"/>
      <c r="C158" s="440"/>
      <c r="D158" s="152"/>
      <c r="E158" s="152"/>
      <c r="F158" s="475"/>
      <c r="G158" s="443"/>
      <c r="H158" s="100"/>
      <c r="I158" s="128"/>
      <c r="J158" s="100"/>
      <c r="K158" s="147"/>
      <c r="L158" s="129"/>
      <c r="M158" s="446"/>
      <c r="N158" s="425"/>
      <c r="O158" s="428"/>
      <c r="P158" s="425"/>
      <c r="Q158" s="429"/>
      <c r="R158" s="422"/>
      <c r="S158" s="150"/>
      <c r="T158" s="198"/>
      <c r="U158" s="47" t="s">
        <v>627</v>
      </c>
      <c r="V158" s="172"/>
      <c r="W158" s="172"/>
      <c r="X158" s="172"/>
      <c r="Y158" s="95" t="str">
        <f t="shared" si="25"/>
        <v/>
      </c>
      <c r="Z158" s="172"/>
      <c r="AA158" s="95" t="str">
        <f t="shared" si="26"/>
        <v/>
      </c>
      <c r="AB158" s="150"/>
      <c r="AC158" s="95" t="str">
        <f t="shared" si="27"/>
        <v/>
      </c>
      <c r="AD158" s="150"/>
      <c r="AE158" s="95" t="str">
        <f t="shared" si="28"/>
        <v/>
      </c>
      <c r="AF158" s="150"/>
      <c r="AG158" s="95" t="str">
        <f t="shared" si="29"/>
        <v/>
      </c>
      <c r="AH158" s="150"/>
      <c r="AI158" s="95" t="str">
        <f t="shared" si="30"/>
        <v/>
      </c>
      <c r="AJ158" s="150"/>
      <c r="AK158" s="27" t="str">
        <f t="shared" si="31"/>
        <v/>
      </c>
      <c r="AL158" s="48" t="str">
        <f t="shared" si="32"/>
        <v/>
      </c>
      <c r="AM158" s="48" t="str">
        <f t="shared" si="33"/>
        <v/>
      </c>
      <c r="AN158" s="196"/>
      <c r="AO158" s="196"/>
      <c r="AP158" s="196"/>
      <c r="AQ158" s="196"/>
      <c r="AR158" s="196"/>
      <c r="AS158" s="196"/>
      <c r="AT158" s="196"/>
      <c r="AU158" s="197" t="str">
        <f>IFERROR(VLOOKUP(AT158,'Seguridad Información'!$I$61:$J$65,2,0),"")</f>
        <v/>
      </c>
      <c r="AV158" s="79"/>
      <c r="AW158" s="78" t="str">
        <f t="shared" si="24"/>
        <v/>
      </c>
      <c r="AX158" s="77" t="str">
        <f t="shared" si="34"/>
        <v/>
      </c>
      <c r="AY158" s="21" t="str">
        <f>IFERROR(VLOOKUP((CONCATENATE(AM158,AX158)),Listados!$U$3:$V$11,2,FALSE),"")</f>
        <v/>
      </c>
      <c r="AZ158" s="48">
        <f t="shared" si="35"/>
        <v>100</v>
      </c>
      <c r="BA158" s="431"/>
      <c r="BB158" s="433"/>
      <c r="BC158" s="169">
        <f>+IF(AND(W158="Preventivo",BB157="Fuerte"),2,IF(AND(W158="Preventivo",BB157="Moderado"),1,0))</f>
        <v>0</v>
      </c>
      <c r="BD158" s="64">
        <f>+IF(AND(W158="Detectivo/Correctivo",$BB157="Fuerte"),2,IF(AND(W158="Detectivo/Correctivo",$BB158="Moderado"),1,IF(AND(W158="Preventivo",$BB157="Fuerte"),1,0)))</f>
        <v>0</v>
      </c>
      <c r="BE158" s="169" t="e">
        <f>+N157-BC158</f>
        <v>#N/A</v>
      </c>
      <c r="BF158" s="169" t="e">
        <f>+P157-BD158</f>
        <v>#N/A</v>
      </c>
      <c r="BG158" s="422"/>
      <c r="BH158" s="422"/>
      <c r="BI158" s="422"/>
      <c r="BJ158" s="645"/>
      <c r="BK158" s="645"/>
      <c r="BL158" s="645"/>
      <c r="BM158" s="645"/>
    </row>
    <row r="159" spans="1:65" ht="65.099999999999994" customHeight="1" thickBot="1">
      <c r="A159" s="405"/>
      <c r="B159" s="625"/>
      <c r="C159" s="440"/>
      <c r="D159" s="152"/>
      <c r="E159" s="152"/>
      <c r="F159" s="475"/>
      <c r="G159" s="443"/>
      <c r="H159" s="100"/>
      <c r="I159" s="128"/>
      <c r="J159" s="100"/>
      <c r="K159" s="147"/>
      <c r="L159" s="129"/>
      <c r="M159" s="446"/>
      <c r="N159" s="425"/>
      <c r="O159" s="428"/>
      <c r="P159" s="425"/>
      <c r="Q159" s="429"/>
      <c r="R159" s="422"/>
      <c r="S159" s="150"/>
      <c r="T159" s="96"/>
      <c r="U159" s="47" t="s">
        <v>627</v>
      </c>
      <c r="V159" s="172"/>
      <c r="W159" s="172"/>
      <c r="X159" s="172"/>
      <c r="Y159" s="95" t="str">
        <f t="shared" si="25"/>
        <v/>
      </c>
      <c r="Z159" s="172"/>
      <c r="AA159" s="95" t="str">
        <f t="shared" si="26"/>
        <v/>
      </c>
      <c r="AB159" s="150"/>
      <c r="AC159" s="95" t="str">
        <f t="shared" si="27"/>
        <v/>
      </c>
      <c r="AD159" s="150"/>
      <c r="AE159" s="95" t="str">
        <f t="shared" si="28"/>
        <v/>
      </c>
      <c r="AF159" s="150"/>
      <c r="AG159" s="95" t="str">
        <f t="shared" si="29"/>
        <v/>
      </c>
      <c r="AH159" s="150"/>
      <c r="AI159" s="95" t="str">
        <f t="shared" si="30"/>
        <v/>
      </c>
      <c r="AJ159" s="150"/>
      <c r="AK159" s="27" t="str">
        <f t="shared" si="31"/>
        <v/>
      </c>
      <c r="AL159" s="48" t="str">
        <f t="shared" si="32"/>
        <v/>
      </c>
      <c r="AM159" s="48" t="str">
        <f t="shared" si="33"/>
        <v/>
      </c>
      <c r="AN159" s="196"/>
      <c r="AO159" s="196"/>
      <c r="AP159" s="196"/>
      <c r="AQ159" s="196"/>
      <c r="AR159" s="196"/>
      <c r="AS159" s="196"/>
      <c r="AT159" s="196"/>
      <c r="AU159" s="197" t="str">
        <f>IFERROR(VLOOKUP(AT159,'Seguridad Información'!$I$61:$J$65,2,0),"")</f>
        <v/>
      </c>
      <c r="AV159" s="79"/>
      <c r="AW159" s="78" t="str">
        <f t="shared" si="24"/>
        <v/>
      </c>
      <c r="AX159" s="77" t="str">
        <f t="shared" si="34"/>
        <v/>
      </c>
      <c r="AY159" s="21" t="str">
        <f>IFERROR(VLOOKUP((CONCATENATE(AM159,AX159)),Listados!$U$3:$V$11,2,FALSE),"")</f>
        <v/>
      </c>
      <c r="AZ159" s="48">
        <f t="shared" si="35"/>
        <v>100</v>
      </c>
      <c r="BA159" s="431"/>
      <c r="BB159" s="433"/>
      <c r="BC159" s="169">
        <f>+IF(AND(W159="Preventivo",BB157="Fuerte"),2,IF(AND(W159="Preventivo",BB157="Moderado"),1,0))</f>
        <v>0</v>
      </c>
      <c r="BD159" s="64">
        <f>+IF(AND(W159="Detectivo/Correctivo",$BB157="Fuerte"),2,IF(AND(W159="Detectivo/Correctivo",$BB159="Moderado"),1,IF(AND(W159="Preventivo",$BB157="Fuerte"),1,0)))</f>
        <v>0</v>
      </c>
      <c r="BE159" s="169" t="e">
        <f>+N157-BC159</f>
        <v>#N/A</v>
      </c>
      <c r="BF159" s="169" t="e">
        <f>+P157-BD159</f>
        <v>#N/A</v>
      </c>
      <c r="BG159" s="422"/>
      <c r="BH159" s="422"/>
      <c r="BI159" s="422"/>
      <c r="BJ159" s="645"/>
      <c r="BK159" s="645"/>
      <c r="BL159" s="645"/>
      <c r="BM159" s="645"/>
    </row>
    <row r="160" spans="1:65" ht="65.099999999999994" customHeight="1" thickBot="1">
      <c r="A160" s="405"/>
      <c r="B160" s="625"/>
      <c r="C160" s="440"/>
      <c r="D160" s="152"/>
      <c r="E160" s="152"/>
      <c r="F160" s="475"/>
      <c r="G160" s="443"/>
      <c r="H160" s="100"/>
      <c r="I160" s="128"/>
      <c r="J160" s="100"/>
      <c r="K160" s="147"/>
      <c r="L160" s="129"/>
      <c r="M160" s="446"/>
      <c r="N160" s="425"/>
      <c r="O160" s="428"/>
      <c r="P160" s="425"/>
      <c r="Q160" s="429"/>
      <c r="R160" s="422"/>
      <c r="S160" s="150"/>
      <c r="T160" s="97"/>
      <c r="U160" s="47" t="s">
        <v>627</v>
      </c>
      <c r="V160" s="172"/>
      <c r="W160" s="172"/>
      <c r="X160" s="172"/>
      <c r="Y160" s="95" t="str">
        <f t="shared" si="25"/>
        <v/>
      </c>
      <c r="Z160" s="172"/>
      <c r="AA160" s="95" t="str">
        <f t="shared" si="26"/>
        <v/>
      </c>
      <c r="AB160" s="150"/>
      <c r="AC160" s="95" t="str">
        <f t="shared" si="27"/>
        <v/>
      </c>
      <c r="AD160" s="150"/>
      <c r="AE160" s="95" t="str">
        <f t="shared" si="28"/>
        <v/>
      </c>
      <c r="AF160" s="150"/>
      <c r="AG160" s="95" t="str">
        <f t="shared" si="29"/>
        <v/>
      </c>
      <c r="AH160" s="150"/>
      <c r="AI160" s="95" t="str">
        <f t="shared" si="30"/>
        <v/>
      </c>
      <c r="AJ160" s="150"/>
      <c r="AK160" s="27" t="str">
        <f t="shared" si="31"/>
        <v/>
      </c>
      <c r="AL160" s="48" t="str">
        <f t="shared" si="32"/>
        <v/>
      </c>
      <c r="AM160" s="48" t="str">
        <f t="shared" si="33"/>
        <v/>
      </c>
      <c r="AN160" s="196"/>
      <c r="AO160" s="196"/>
      <c r="AP160" s="196"/>
      <c r="AQ160" s="196"/>
      <c r="AR160" s="196"/>
      <c r="AS160" s="196"/>
      <c r="AT160" s="196"/>
      <c r="AU160" s="197" t="str">
        <f>IFERROR(VLOOKUP(AT160,'Seguridad Información'!$I$61:$J$65,2,0),"")</f>
        <v/>
      </c>
      <c r="AV160" s="79"/>
      <c r="AW160" s="78" t="str">
        <f t="shared" si="24"/>
        <v/>
      </c>
      <c r="AX160" s="77" t="str">
        <f t="shared" si="34"/>
        <v/>
      </c>
      <c r="AY160" s="21" t="str">
        <f>IFERROR(VLOOKUP((CONCATENATE(AM160,AX160)),Listados!$U$3:$V$11,2,FALSE),"")</f>
        <v/>
      </c>
      <c r="AZ160" s="48">
        <f t="shared" si="35"/>
        <v>100</v>
      </c>
      <c r="BA160" s="431"/>
      <c r="BB160" s="433"/>
      <c r="BC160" s="169">
        <f>+IF(AND(W160="Preventivo",BB157="Fuerte"),2,IF(AND(W160="Preventivo",BB157="Moderado"),1,0))</f>
        <v>0</v>
      </c>
      <c r="BD160" s="64">
        <f>+IF(AND(W160="Detectivo/Correctivo",$BB157="Fuerte"),2,IF(AND(W160="Detectivo/Correctivo",$BB160="Moderado"),1,IF(AND(W160="Preventivo",$BB157="Fuerte"),1,0)))</f>
        <v>0</v>
      </c>
      <c r="BE160" s="169" t="e">
        <f>+N157-BC160</f>
        <v>#N/A</v>
      </c>
      <c r="BF160" s="169" t="e">
        <f>+P157-BD160</f>
        <v>#N/A</v>
      </c>
      <c r="BG160" s="422"/>
      <c r="BH160" s="422"/>
      <c r="BI160" s="422"/>
      <c r="BJ160" s="645"/>
      <c r="BK160" s="645"/>
      <c r="BL160" s="645"/>
      <c r="BM160" s="645"/>
    </row>
    <row r="161" spans="1:65" ht="65.099999999999994" customHeight="1" thickBot="1">
      <c r="A161" s="405"/>
      <c r="B161" s="625"/>
      <c r="C161" s="440"/>
      <c r="D161" s="109"/>
      <c r="E161" s="109"/>
      <c r="F161" s="475"/>
      <c r="G161" s="443"/>
      <c r="H161" s="100"/>
      <c r="I161" s="128"/>
      <c r="J161" s="100"/>
      <c r="K161" s="29"/>
      <c r="L161" s="129"/>
      <c r="M161" s="446"/>
      <c r="N161" s="425"/>
      <c r="O161" s="428"/>
      <c r="P161" s="425"/>
      <c r="Q161" s="429"/>
      <c r="R161" s="422"/>
      <c r="S161" s="150"/>
      <c r="T161" s="198"/>
      <c r="U161" s="47" t="s">
        <v>627</v>
      </c>
      <c r="V161" s="172"/>
      <c r="W161" s="172"/>
      <c r="X161" s="172"/>
      <c r="Y161" s="95" t="str">
        <f t="shared" si="25"/>
        <v/>
      </c>
      <c r="Z161" s="172"/>
      <c r="AA161" s="95" t="str">
        <f t="shared" si="26"/>
        <v/>
      </c>
      <c r="AB161" s="150"/>
      <c r="AC161" s="95" t="str">
        <f t="shared" si="27"/>
        <v/>
      </c>
      <c r="AD161" s="150"/>
      <c r="AE161" s="95" t="str">
        <f t="shared" si="28"/>
        <v/>
      </c>
      <c r="AF161" s="150"/>
      <c r="AG161" s="95" t="str">
        <f t="shared" si="29"/>
        <v/>
      </c>
      <c r="AH161" s="150"/>
      <c r="AI161" s="95" t="str">
        <f t="shared" si="30"/>
        <v/>
      </c>
      <c r="AJ161" s="150"/>
      <c r="AK161" s="27" t="str">
        <f t="shared" si="31"/>
        <v/>
      </c>
      <c r="AL161" s="48" t="str">
        <f t="shared" si="32"/>
        <v/>
      </c>
      <c r="AM161" s="48" t="str">
        <f t="shared" si="33"/>
        <v/>
      </c>
      <c r="AN161" s="196"/>
      <c r="AO161" s="196"/>
      <c r="AP161" s="196"/>
      <c r="AQ161" s="196"/>
      <c r="AR161" s="196"/>
      <c r="AS161" s="196"/>
      <c r="AT161" s="196"/>
      <c r="AU161" s="197" t="str">
        <f>IFERROR(VLOOKUP(AT161,'Seguridad Información'!$I$61:$J$65,2,0),"")</f>
        <v/>
      </c>
      <c r="AV161" s="79"/>
      <c r="AW161" s="78" t="str">
        <f t="shared" si="24"/>
        <v/>
      </c>
      <c r="AX161" s="77" t="str">
        <f t="shared" si="34"/>
        <v/>
      </c>
      <c r="AY161" s="21" t="str">
        <f>IFERROR(VLOOKUP((CONCATENATE(AM161,AX161)),Listados!$U$3:$V$11,2,FALSE),"")</f>
        <v/>
      </c>
      <c r="AZ161" s="48">
        <f t="shared" si="35"/>
        <v>100</v>
      </c>
      <c r="BA161" s="431"/>
      <c r="BB161" s="433"/>
      <c r="BC161" s="169">
        <f>+IF(AND(W161="Preventivo",BB157="Fuerte"),2,IF(AND(W161="Preventivo",BB157="Moderado"),1,0))</f>
        <v>0</v>
      </c>
      <c r="BD161" s="64">
        <f>+IF(AND(W161="Detectivo/Correctivo",$BB157="Fuerte"),2,IF(AND(W161="Detectivo/Correctivo",$BB161="Moderado"),1,IF(AND(W161="Preventivo",$BB157="Fuerte"),1,0)))</f>
        <v>0</v>
      </c>
      <c r="BE161" s="169" t="e">
        <f>+N157-BC161</f>
        <v>#N/A</v>
      </c>
      <c r="BF161" s="169" t="e">
        <f>+P157-BD161</f>
        <v>#N/A</v>
      </c>
      <c r="BG161" s="422"/>
      <c r="BH161" s="422"/>
      <c r="BI161" s="422"/>
      <c r="BJ161" s="645"/>
      <c r="BK161" s="645"/>
      <c r="BL161" s="645"/>
      <c r="BM161" s="645"/>
    </row>
    <row r="162" spans="1:65" ht="65.099999999999994" customHeight="1" thickBot="1">
      <c r="A162" s="406"/>
      <c r="B162" s="625"/>
      <c r="C162" s="441"/>
      <c r="D162" s="106"/>
      <c r="E162" s="106"/>
      <c r="F162" s="619"/>
      <c r="G162" s="444"/>
      <c r="H162" s="100"/>
      <c r="I162" s="128"/>
      <c r="J162" s="100"/>
      <c r="K162" s="31"/>
      <c r="L162" s="129"/>
      <c r="M162" s="446"/>
      <c r="N162" s="426"/>
      <c r="O162" s="428"/>
      <c r="P162" s="426"/>
      <c r="Q162" s="429"/>
      <c r="R162" s="423"/>
      <c r="S162" s="150"/>
      <c r="T162" s="98"/>
      <c r="U162" s="47" t="s">
        <v>627</v>
      </c>
      <c r="V162" s="172"/>
      <c r="W162" s="172"/>
      <c r="X162" s="172"/>
      <c r="Y162" s="95" t="str">
        <f t="shared" si="25"/>
        <v/>
      </c>
      <c r="Z162" s="172"/>
      <c r="AA162" s="95" t="str">
        <f t="shared" si="26"/>
        <v/>
      </c>
      <c r="AB162" s="150"/>
      <c r="AC162" s="95" t="str">
        <f t="shared" si="27"/>
        <v/>
      </c>
      <c r="AD162" s="150"/>
      <c r="AE162" s="95" t="str">
        <f t="shared" si="28"/>
        <v/>
      </c>
      <c r="AF162" s="150"/>
      <c r="AG162" s="95" t="str">
        <f t="shared" si="29"/>
        <v/>
      </c>
      <c r="AH162" s="150"/>
      <c r="AI162" s="95" t="str">
        <f t="shared" si="30"/>
        <v/>
      </c>
      <c r="AJ162" s="150"/>
      <c r="AK162" s="27" t="str">
        <f t="shared" si="31"/>
        <v/>
      </c>
      <c r="AL162" s="48" t="str">
        <f t="shared" si="32"/>
        <v/>
      </c>
      <c r="AM162" s="48" t="str">
        <f t="shared" si="33"/>
        <v/>
      </c>
      <c r="AN162" s="196"/>
      <c r="AO162" s="196"/>
      <c r="AP162" s="196"/>
      <c r="AQ162" s="196"/>
      <c r="AR162" s="196"/>
      <c r="AS162" s="196"/>
      <c r="AT162" s="196"/>
      <c r="AU162" s="197" t="str">
        <f>IFERROR(VLOOKUP(AT162,'Seguridad Información'!$I$61:$J$65,2,0),"")</f>
        <v/>
      </c>
      <c r="AV162" s="79"/>
      <c r="AW162" s="78" t="str">
        <f t="shared" si="24"/>
        <v/>
      </c>
      <c r="AX162" s="77" t="str">
        <f t="shared" si="34"/>
        <v/>
      </c>
      <c r="AY162" s="21" t="str">
        <f>IFERROR(VLOOKUP((CONCATENATE(AM162,AX162)),Listados!$U$3:$V$11,2,FALSE),"")</f>
        <v/>
      </c>
      <c r="AZ162" s="48">
        <f t="shared" si="35"/>
        <v>100</v>
      </c>
      <c r="BA162" s="432"/>
      <c r="BB162" s="433"/>
      <c r="BC162" s="169">
        <f>+IF(AND(W162="Preventivo",BB157="Fuerte"),2,IF(AND(W162="Preventivo",BB157="Moderado"),1,0))</f>
        <v>0</v>
      </c>
      <c r="BD162" s="64">
        <f>+IF(AND(W162="Detectivo/Correctivo",$BB157="Fuerte"),2,IF(AND(W162="Detectivo/Correctivo",$BB162="Moderado"),1,IF(AND(W162="Preventivo",$BB157="Fuerte"),1,0)))</f>
        <v>0</v>
      </c>
      <c r="BE162" s="169" t="e">
        <f>+N157-BC162</f>
        <v>#N/A</v>
      </c>
      <c r="BF162" s="169" t="e">
        <f>+P157-BD162</f>
        <v>#N/A</v>
      </c>
      <c r="BG162" s="423"/>
      <c r="BH162" s="423"/>
      <c r="BI162" s="423"/>
      <c r="BJ162" s="646"/>
      <c r="BK162" s="646"/>
      <c r="BL162" s="646"/>
      <c r="BM162" s="646"/>
    </row>
    <row r="163" spans="1:65" ht="65.099999999999994" customHeight="1" thickBot="1">
      <c r="A163" s="404">
        <v>27</v>
      </c>
      <c r="B163" s="628"/>
      <c r="C163" s="447" t="str">
        <f>IFERROR(VLOOKUP(B163,Listados!B$3:C$20,2,FALSE),"")</f>
        <v/>
      </c>
      <c r="D163" s="107"/>
      <c r="E163" s="107"/>
      <c r="F163" s="618"/>
      <c r="G163" s="448"/>
      <c r="H163" s="100"/>
      <c r="I163" s="128"/>
      <c r="J163" s="100"/>
      <c r="K163" s="103"/>
      <c r="L163" s="17"/>
      <c r="M163" s="445"/>
      <c r="N163" s="424" t="e">
        <f>+VLOOKUP(M163,Listados!$K$8:$L$12,2,0)</f>
        <v>#N/A</v>
      </c>
      <c r="O163" s="427"/>
      <c r="P163" s="424" t="e">
        <f>+VLOOKUP(O163,Listados!$K$13:$L$17,2,0)</f>
        <v>#N/A</v>
      </c>
      <c r="Q163" s="423" t="str">
        <f>IF(AND(M163&lt;&gt;"",O163&lt;&gt;""),VLOOKUP(M163&amp;O163,Listados!$M$3:$N$27,2,FALSE),"")</f>
        <v/>
      </c>
      <c r="R163" s="421" t="e">
        <f>+VLOOKUP(Q163,Listados!$P$3:$Q$6,2,FALSE)</f>
        <v>#N/A</v>
      </c>
      <c r="S163" s="150"/>
      <c r="T163" s="94"/>
      <c r="U163" s="47" t="s">
        <v>627</v>
      </c>
      <c r="V163" s="172"/>
      <c r="W163" s="172"/>
      <c r="X163" s="172"/>
      <c r="Y163" s="95" t="str">
        <f t="shared" si="25"/>
        <v/>
      </c>
      <c r="Z163" s="172"/>
      <c r="AA163" s="95" t="str">
        <f t="shared" si="26"/>
        <v/>
      </c>
      <c r="AB163" s="150"/>
      <c r="AC163" s="95" t="str">
        <f t="shared" si="27"/>
        <v/>
      </c>
      <c r="AD163" s="150"/>
      <c r="AE163" s="95" t="str">
        <f t="shared" si="28"/>
        <v/>
      </c>
      <c r="AF163" s="150"/>
      <c r="AG163" s="95" t="str">
        <f t="shared" si="29"/>
        <v/>
      </c>
      <c r="AH163" s="150"/>
      <c r="AI163" s="95" t="str">
        <f t="shared" si="30"/>
        <v/>
      </c>
      <c r="AJ163" s="150"/>
      <c r="AK163" s="27" t="str">
        <f t="shared" si="31"/>
        <v/>
      </c>
      <c r="AL163" s="48" t="str">
        <f t="shared" si="32"/>
        <v/>
      </c>
      <c r="AM163" s="48" t="str">
        <f t="shared" si="33"/>
        <v/>
      </c>
      <c r="AN163" s="196"/>
      <c r="AO163" s="196"/>
      <c r="AP163" s="196"/>
      <c r="AQ163" s="196"/>
      <c r="AR163" s="196"/>
      <c r="AS163" s="196"/>
      <c r="AT163" s="196"/>
      <c r="AU163" s="197" t="str">
        <f>IFERROR(VLOOKUP(AT163,'Seguridad Información'!$I$61:$J$65,2,0),"")</f>
        <v/>
      </c>
      <c r="AV163" s="79"/>
      <c r="AW163" s="78" t="str">
        <f t="shared" si="24"/>
        <v/>
      </c>
      <c r="AX163" s="77" t="str">
        <f t="shared" si="34"/>
        <v/>
      </c>
      <c r="AY163" s="21" t="str">
        <f>IFERROR(VLOOKUP((CONCATENATE(AM163,AX163)),Listados!$U$3:$V$11,2,FALSE),"")</f>
        <v/>
      </c>
      <c r="AZ163" s="48">
        <f t="shared" si="35"/>
        <v>100</v>
      </c>
      <c r="BA163" s="430">
        <f>AVERAGE(AZ163:AZ168)</f>
        <v>100</v>
      </c>
      <c r="BB163" s="432" t="str">
        <f>IF(BA163&lt;=50, "Débil", IF(BA163&lt;=99,"Moderado","Fuerte"))</f>
        <v>Fuerte</v>
      </c>
      <c r="BC163" s="169">
        <f>+IF(AND(W163="Preventivo",BB163="Fuerte"),2,IF(AND(W163="Preventivo",BB163="Moderado"),1,0))</f>
        <v>0</v>
      </c>
      <c r="BD163" s="64">
        <f>+IF(AND(W163="Detectivo/Correctivo",$BB163="Fuerte"),2,IF(AND(W163="Detectivo/Correctivo",$BB163="Moderado"),1,IF(AND(W163="Preventivo",$BB163="Fuerte"),1,0)))</f>
        <v>0</v>
      </c>
      <c r="BE163" s="169" t="e">
        <f>+N163-BC163</f>
        <v>#N/A</v>
      </c>
      <c r="BF163" s="169" t="e">
        <f>+P163-BD163</f>
        <v>#N/A</v>
      </c>
      <c r="BG163" s="421" t="e">
        <f>+VLOOKUP(MIN(BE163,BE164,BE165,BE166,BE167,BE168),Listados!$J$18:$K$24,2,TRUE)</f>
        <v>#N/A</v>
      </c>
      <c r="BH163" s="421" t="e">
        <f>+VLOOKUP(MIN(BF163,BF164,BF165,BF166,BF167,BF168),Listados!$J$27:$K$32,2,TRUE)</f>
        <v>#N/A</v>
      </c>
      <c r="BI163" s="421" t="e">
        <f>IF(AND(BG163&lt;&gt;"",BH163&lt;&gt;""),VLOOKUP(BG163&amp;BH163,Listados!$M$3:$N$27,2,FALSE),"")</f>
        <v>#N/A</v>
      </c>
      <c r="BJ163" s="644" t="e">
        <f>+IF($R163="Asumir el riesgo","NA","")</f>
        <v>#N/A</v>
      </c>
      <c r="BK163" s="644" t="e">
        <f>+IF($R163="Asumir el riesgo","NA","")</f>
        <v>#N/A</v>
      </c>
      <c r="BL163" s="644" t="e">
        <f>+IF($R163="Asumir el riesgo","NA","")</f>
        <v>#N/A</v>
      </c>
      <c r="BM163" s="644" t="e">
        <f>+IF($R163="Asumir el riesgo","NA","")</f>
        <v>#N/A</v>
      </c>
    </row>
    <row r="164" spans="1:65" ht="65.099999999999994" customHeight="1" thickBot="1">
      <c r="A164" s="405"/>
      <c r="B164" s="625"/>
      <c r="C164" s="440"/>
      <c r="D164" s="152"/>
      <c r="E164" s="152"/>
      <c r="F164" s="475"/>
      <c r="G164" s="443"/>
      <c r="H164" s="100"/>
      <c r="I164" s="128"/>
      <c r="J164" s="100"/>
      <c r="K164" s="147"/>
      <c r="L164" s="129"/>
      <c r="M164" s="446"/>
      <c r="N164" s="425"/>
      <c r="O164" s="428"/>
      <c r="P164" s="425"/>
      <c r="Q164" s="429"/>
      <c r="R164" s="422"/>
      <c r="S164" s="150"/>
      <c r="T164" s="198"/>
      <c r="U164" s="47" t="s">
        <v>627</v>
      </c>
      <c r="V164" s="172"/>
      <c r="W164" s="172"/>
      <c r="X164" s="172"/>
      <c r="Y164" s="95" t="str">
        <f t="shared" si="25"/>
        <v/>
      </c>
      <c r="Z164" s="172"/>
      <c r="AA164" s="95" t="str">
        <f t="shared" si="26"/>
        <v/>
      </c>
      <c r="AB164" s="150"/>
      <c r="AC164" s="95" t="str">
        <f t="shared" si="27"/>
        <v/>
      </c>
      <c r="AD164" s="150"/>
      <c r="AE164" s="95" t="str">
        <f t="shared" si="28"/>
        <v/>
      </c>
      <c r="AF164" s="150"/>
      <c r="AG164" s="95" t="str">
        <f t="shared" si="29"/>
        <v/>
      </c>
      <c r="AH164" s="150"/>
      <c r="AI164" s="95" t="str">
        <f t="shared" si="30"/>
        <v/>
      </c>
      <c r="AJ164" s="150"/>
      <c r="AK164" s="27" t="str">
        <f t="shared" si="31"/>
        <v/>
      </c>
      <c r="AL164" s="48" t="str">
        <f t="shared" si="32"/>
        <v/>
      </c>
      <c r="AM164" s="48" t="str">
        <f t="shared" si="33"/>
        <v/>
      </c>
      <c r="AN164" s="196"/>
      <c r="AO164" s="196"/>
      <c r="AP164" s="196"/>
      <c r="AQ164" s="196"/>
      <c r="AR164" s="196"/>
      <c r="AS164" s="196"/>
      <c r="AT164" s="196"/>
      <c r="AU164" s="197" t="str">
        <f>IFERROR(VLOOKUP(AT164,'Seguridad Información'!$I$61:$J$65,2,0),"")</f>
        <v/>
      </c>
      <c r="AV164" s="79"/>
      <c r="AW164" s="78" t="str">
        <f t="shared" si="24"/>
        <v/>
      </c>
      <c r="AX164" s="77" t="str">
        <f t="shared" si="34"/>
        <v/>
      </c>
      <c r="AY164" s="21" t="str">
        <f>IFERROR(VLOOKUP((CONCATENATE(AM164,AX164)),Listados!$U$3:$V$11,2,FALSE),"")</f>
        <v/>
      </c>
      <c r="AZ164" s="48">
        <f t="shared" si="35"/>
        <v>100</v>
      </c>
      <c r="BA164" s="431"/>
      <c r="BB164" s="433"/>
      <c r="BC164" s="169">
        <f>+IF(AND(W164="Preventivo",BB163="Fuerte"),2,IF(AND(W164="Preventivo",BB163="Moderado"),1,0))</f>
        <v>0</v>
      </c>
      <c r="BD164" s="64">
        <f>+IF(AND(W164="Detectivo/Correctivo",$BB163="Fuerte"),2,IF(AND(W164="Detectivo/Correctivo",$BB164="Moderado"),1,IF(AND(W164="Preventivo",$BB163="Fuerte"),1,0)))</f>
        <v>0</v>
      </c>
      <c r="BE164" s="169" t="e">
        <f>+N163-BC164</f>
        <v>#N/A</v>
      </c>
      <c r="BF164" s="169" t="e">
        <f>+P163-BD164</f>
        <v>#N/A</v>
      </c>
      <c r="BG164" s="422"/>
      <c r="BH164" s="422"/>
      <c r="BI164" s="422"/>
      <c r="BJ164" s="645"/>
      <c r="BK164" s="645"/>
      <c r="BL164" s="645"/>
      <c r="BM164" s="645"/>
    </row>
    <row r="165" spans="1:65" ht="65.099999999999994" customHeight="1" thickBot="1">
      <c r="A165" s="405"/>
      <c r="B165" s="625"/>
      <c r="C165" s="440"/>
      <c r="D165" s="152"/>
      <c r="E165" s="152"/>
      <c r="F165" s="475"/>
      <c r="G165" s="443"/>
      <c r="H165" s="100"/>
      <c r="I165" s="128"/>
      <c r="J165" s="100"/>
      <c r="K165" s="147"/>
      <c r="L165" s="129"/>
      <c r="M165" s="446"/>
      <c r="N165" s="425"/>
      <c r="O165" s="428"/>
      <c r="P165" s="425"/>
      <c r="Q165" s="429"/>
      <c r="R165" s="422"/>
      <c r="S165" s="150"/>
      <c r="T165" s="96"/>
      <c r="U165" s="47" t="s">
        <v>627</v>
      </c>
      <c r="V165" s="172"/>
      <c r="W165" s="172"/>
      <c r="X165" s="172"/>
      <c r="Y165" s="95" t="str">
        <f t="shared" si="25"/>
        <v/>
      </c>
      <c r="Z165" s="172"/>
      <c r="AA165" s="95" t="str">
        <f t="shared" si="26"/>
        <v/>
      </c>
      <c r="AB165" s="150"/>
      <c r="AC165" s="95" t="str">
        <f t="shared" si="27"/>
        <v/>
      </c>
      <c r="AD165" s="150"/>
      <c r="AE165" s="95" t="str">
        <f t="shared" si="28"/>
        <v/>
      </c>
      <c r="AF165" s="150"/>
      <c r="AG165" s="95" t="str">
        <f t="shared" si="29"/>
        <v/>
      </c>
      <c r="AH165" s="150"/>
      <c r="AI165" s="95" t="str">
        <f t="shared" si="30"/>
        <v/>
      </c>
      <c r="AJ165" s="150"/>
      <c r="AK165" s="27" t="str">
        <f t="shared" si="31"/>
        <v/>
      </c>
      <c r="AL165" s="48" t="str">
        <f t="shared" si="32"/>
        <v/>
      </c>
      <c r="AM165" s="48" t="str">
        <f t="shared" si="33"/>
        <v/>
      </c>
      <c r="AN165" s="196"/>
      <c r="AO165" s="196"/>
      <c r="AP165" s="196"/>
      <c r="AQ165" s="196"/>
      <c r="AR165" s="196"/>
      <c r="AS165" s="196"/>
      <c r="AT165" s="196"/>
      <c r="AU165" s="197" t="str">
        <f>IFERROR(VLOOKUP(AT165,'Seguridad Información'!$I$61:$J$65,2,0),"")</f>
        <v/>
      </c>
      <c r="AV165" s="79"/>
      <c r="AW165" s="78" t="str">
        <f t="shared" si="24"/>
        <v/>
      </c>
      <c r="AX165" s="77" t="str">
        <f t="shared" si="34"/>
        <v/>
      </c>
      <c r="AY165" s="21" t="str">
        <f>IFERROR(VLOOKUP((CONCATENATE(AM165,AX165)),Listados!$U$3:$V$11,2,FALSE),"")</f>
        <v/>
      </c>
      <c r="AZ165" s="48">
        <f t="shared" si="35"/>
        <v>100</v>
      </c>
      <c r="BA165" s="431"/>
      <c r="BB165" s="433"/>
      <c r="BC165" s="169">
        <f>+IF(AND(W165="Preventivo",BB163="Fuerte"),2,IF(AND(W165="Preventivo",BB163="Moderado"),1,0))</f>
        <v>0</v>
      </c>
      <c r="BD165" s="64">
        <f>+IF(AND(W165="Detectivo/Correctivo",$BB163="Fuerte"),2,IF(AND(W165="Detectivo/Correctivo",$BB165="Moderado"),1,IF(AND(W165="Preventivo",$BB163="Fuerte"),1,0)))</f>
        <v>0</v>
      </c>
      <c r="BE165" s="169" t="e">
        <f>+N163-BC165</f>
        <v>#N/A</v>
      </c>
      <c r="BF165" s="169" t="e">
        <f>+P163-BD165</f>
        <v>#N/A</v>
      </c>
      <c r="BG165" s="422"/>
      <c r="BH165" s="422"/>
      <c r="BI165" s="422"/>
      <c r="BJ165" s="645"/>
      <c r="BK165" s="645"/>
      <c r="BL165" s="645"/>
      <c r="BM165" s="645"/>
    </row>
    <row r="166" spans="1:65" ht="65.099999999999994" customHeight="1" thickBot="1">
      <c r="A166" s="405"/>
      <c r="B166" s="625"/>
      <c r="C166" s="440"/>
      <c r="D166" s="152"/>
      <c r="E166" s="152"/>
      <c r="F166" s="475"/>
      <c r="G166" s="443"/>
      <c r="H166" s="100"/>
      <c r="I166" s="128"/>
      <c r="J166" s="100"/>
      <c r="K166" s="147"/>
      <c r="L166" s="129"/>
      <c r="M166" s="446"/>
      <c r="N166" s="425"/>
      <c r="O166" s="428"/>
      <c r="P166" s="425"/>
      <c r="Q166" s="429"/>
      <c r="R166" s="422"/>
      <c r="S166" s="150"/>
      <c r="T166" s="97"/>
      <c r="U166" s="47" t="s">
        <v>627</v>
      </c>
      <c r="V166" s="172"/>
      <c r="W166" s="172"/>
      <c r="X166" s="172"/>
      <c r="Y166" s="95" t="str">
        <f t="shared" si="25"/>
        <v/>
      </c>
      <c r="Z166" s="172"/>
      <c r="AA166" s="95" t="str">
        <f t="shared" si="26"/>
        <v/>
      </c>
      <c r="AB166" s="150"/>
      <c r="AC166" s="95" t="str">
        <f t="shared" si="27"/>
        <v/>
      </c>
      <c r="AD166" s="150"/>
      <c r="AE166" s="95" t="str">
        <f t="shared" si="28"/>
        <v/>
      </c>
      <c r="AF166" s="150"/>
      <c r="AG166" s="95" t="str">
        <f t="shared" si="29"/>
        <v/>
      </c>
      <c r="AH166" s="150"/>
      <c r="AI166" s="95" t="str">
        <f t="shared" si="30"/>
        <v/>
      </c>
      <c r="AJ166" s="150"/>
      <c r="AK166" s="27" t="str">
        <f t="shared" si="31"/>
        <v/>
      </c>
      <c r="AL166" s="48" t="str">
        <f t="shared" si="32"/>
        <v/>
      </c>
      <c r="AM166" s="48" t="str">
        <f t="shared" si="33"/>
        <v/>
      </c>
      <c r="AN166" s="196"/>
      <c r="AO166" s="196"/>
      <c r="AP166" s="196"/>
      <c r="AQ166" s="196"/>
      <c r="AR166" s="196"/>
      <c r="AS166" s="196"/>
      <c r="AT166" s="196"/>
      <c r="AU166" s="197" t="str">
        <f>IFERROR(VLOOKUP(AT166,'Seguridad Información'!$I$61:$J$65,2,0),"")</f>
        <v/>
      </c>
      <c r="AV166" s="79"/>
      <c r="AW166" s="78" t="str">
        <f t="shared" si="24"/>
        <v/>
      </c>
      <c r="AX166" s="77" t="str">
        <f t="shared" si="34"/>
        <v/>
      </c>
      <c r="AY166" s="21" t="str">
        <f>IFERROR(VLOOKUP((CONCATENATE(AM166,AX166)),Listados!$U$3:$V$11,2,FALSE),"")</f>
        <v/>
      </c>
      <c r="AZ166" s="48">
        <f t="shared" si="35"/>
        <v>100</v>
      </c>
      <c r="BA166" s="431"/>
      <c r="BB166" s="433"/>
      <c r="BC166" s="169">
        <f>+IF(AND(W166="Preventivo",BB163="Fuerte"),2,IF(AND(W166="Preventivo",BB163="Moderado"),1,0))</f>
        <v>0</v>
      </c>
      <c r="BD166" s="64">
        <f>+IF(AND(W166="Detectivo/Correctivo",$BB163="Fuerte"),2,IF(AND(W166="Detectivo/Correctivo",$BB166="Moderado"),1,IF(AND(W166="Preventivo",$BB163="Fuerte"),1,0)))</f>
        <v>0</v>
      </c>
      <c r="BE166" s="169" t="e">
        <f>+N163-BC166</f>
        <v>#N/A</v>
      </c>
      <c r="BF166" s="169" t="e">
        <f>+P163-BD166</f>
        <v>#N/A</v>
      </c>
      <c r="BG166" s="422"/>
      <c r="BH166" s="422"/>
      <c r="BI166" s="422"/>
      <c r="BJ166" s="645"/>
      <c r="BK166" s="645"/>
      <c r="BL166" s="645"/>
      <c r="BM166" s="645"/>
    </row>
    <row r="167" spans="1:65" ht="65.099999999999994" customHeight="1" thickBot="1">
      <c r="A167" s="405"/>
      <c r="B167" s="625"/>
      <c r="C167" s="440"/>
      <c r="D167" s="109"/>
      <c r="E167" s="109"/>
      <c r="F167" s="475"/>
      <c r="G167" s="443"/>
      <c r="H167" s="100"/>
      <c r="I167" s="128"/>
      <c r="J167" s="100"/>
      <c r="K167" s="29"/>
      <c r="L167" s="129"/>
      <c r="M167" s="446"/>
      <c r="N167" s="425"/>
      <c r="O167" s="428"/>
      <c r="P167" s="425"/>
      <c r="Q167" s="429"/>
      <c r="R167" s="422"/>
      <c r="S167" s="150"/>
      <c r="T167" s="198"/>
      <c r="U167" s="47" t="s">
        <v>627</v>
      </c>
      <c r="V167" s="172"/>
      <c r="W167" s="172"/>
      <c r="X167" s="172"/>
      <c r="Y167" s="95" t="str">
        <f t="shared" si="25"/>
        <v/>
      </c>
      <c r="Z167" s="172"/>
      <c r="AA167" s="95" t="str">
        <f t="shared" si="26"/>
        <v/>
      </c>
      <c r="AB167" s="150"/>
      <c r="AC167" s="95" t="str">
        <f t="shared" si="27"/>
        <v/>
      </c>
      <c r="AD167" s="150"/>
      <c r="AE167" s="95" t="str">
        <f t="shared" si="28"/>
        <v/>
      </c>
      <c r="AF167" s="150"/>
      <c r="AG167" s="95" t="str">
        <f t="shared" si="29"/>
        <v/>
      </c>
      <c r="AH167" s="150"/>
      <c r="AI167" s="95" t="str">
        <f t="shared" si="30"/>
        <v/>
      </c>
      <c r="AJ167" s="150"/>
      <c r="AK167" s="27" t="str">
        <f t="shared" si="31"/>
        <v/>
      </c>
      <c r="AL167" s="48" t="str">
        <f t="shared" si="32"/>
        <v/>
      </c>
      <c r="AM167" s="48" t="str">
        <f t="shared" si="33"/>
        <v/>
      </c>
      <c r="AN167" s="196"/>
      <c r="AO167" s="196"/>
      <c r="AP167" s="196"/>
      <c r="AQ167" s="196"/>
      <c r="AR167" s="196"/>
      <c r="AS167" s="196"/>
      <c r="AT167" s="196"/>
      <c r="AU167" s="197" t="str">
        <f>IFERROR(VLOOKUP(AT167,'Seguridad Información'!$I$61:$J$65,2,0),"")</f>
        <v/>
      </c>
      <c r="AV167" s="79"/>
      <c r="AW167" s="78" t="str">
        <f t="shared" si="24"/>
        <v/>
      </c>
      <c r="AX167" s="77" t="str">
        <f t="shared" si="34"/>
        <v/>
      </c>
      <c r="AY167" s="21" t="str">
        <f>IFERROR(VLOOKUP((CONCATENATE(AM167,AX167)),Listados!$U$3:$V$11,2,FALSE),"")</f>
        <v/>
      </c>
      <c r="AZ167" s="48">
        <f t="shared" si="35"/>
        <v>100</v>
      </c>
      <c r="BA167" s="431"/>
      <c r="BB167" s="433"/>
      <c r="BC167" s="169">
        <f>+IF(AND(W167="Preventivo",BB163="Fuerte"),2,IF(AND(W167="Preventivo",BB163="Moderado"),1,0))</f>
        <v>0</v>
      </c>
      <c r="BD167" s="64">
        <f>+IF(AND(W167="Detectivo/Correctivo",$BB163="Fuerte"),2,IF(AND(W167="Detectivo/Correctivo",$BB167="Moderado"),1,IF(AND(W167="Preventivo",$BB163="Fuerte"),1,0)))</f>
        <v>0</v>
      </c>
      <c r="BE167" s="169" t="e">
        <f>+N163-BC167</f>
        <v>#N/A</v>
      </c>
      <c r="BF167" s="169" t="e">
        <f>+P163-BD167</f>
        <v>#N/A</v>
      </c>
      <c r="BG167" s="422"/>
      <c r="BH167" s="422"/>
      <c r="BI167" s="422"/>
      <c r="BJ167" s="645"/>
      <c r="BK167" s="645"/>
      <c r="BL167" s="645"/>
      <c r="BM167" s="645"/>
    </row>
    <row r="168" spans="1:65" ht="65.099999999999994" customHeight="1" thickBot="1">
      <c r="A168" s="406"/>
      <c r="B168" s="625"/>
      <c r="C168" s="441"/>
      <c r="D168" s="106"/>
      <c r="E168" s="106"/>
      <c r="F168" s="619"/>
      <c r="G168" s="444"/>
      <c r="H168" s="100"/>
      <c r="I168" s="128"/>
      <c r="J168" s="100"/>
      <c r="K168" s="31"/>
      <c r="L168" s="129"/>
      <c r="M168" s="446"/>
      <c r="N168" s="426"/>
      <c r="O168" s="428"/>
      <c r="P168" s="426"/>
      <c r="Q168" s="429"/>
      <c r="R168" s="423"/>
      <c r="S168" s="150"/>
      <c r="T168" s="98"/>
      <c r="U168" s="47" t="s">
        <v>627</v>
      </c>
      <c r="V168" s="172"/>
      <c r="W168" s="172"/>
      <c r="X168" s="172"/>
      <c r="Y168" s="95" t="str">
        <f t="shared" si="25"/>
        <v/>
      </c>
      <c r="Z168" s="172"/>
      <c r="AA168" s="95" t="str">
        <f t="shared" si="26"/>
        <v/>
      </c>
      <c r="AB168" s="150"/>
      <c r="AC168" s="95" t="str">
        <f t="shared" si="27"/>
        <v/>
      </c>
      <c r="AD168" s="150"/>
      <c r="AE168" s="95" t="str">
        <f t="shared" si="28"/>
        <v/>
      </c>
      <c r="AF168" s="150"/>
      <c r="AG168" s="95" t="str">
        <f t="shared" si="29"/>
        <v/>
      </c>
      <c r="AH168" s="150"/>
      <c r="AI168" s="95" t="str">
        <f t="shared" si="30"/>
        <v/>
      </c>
      <c r="AJ168" s="150"/>
      <c r="AK168" s="27" t="str">
        <f t="shared" si="31"/>
        <v/>
      </c>
      <c r="AL168" s="48" t="str">
        <f t="shared" si="32"/>
        <v/>
      </c>
      <c r="AM168" s="48" t="str">
        <f t="shared" si="33"/>
        <v/>
      </c>
      <c r="AN168" s="196"/>
      <c r="AO168" s="196"/>
      <c r="AP168" s="196"/>
      <c r="AQ168" s="196"/>
      <c r="AR168" s="196"/>
      <c r="AS168" s="196"/>
      <c r="AT168" s="196"/>
      <c r="AU168" s="197" t="str">
        <f>IFERROR(VLOOKUP(AT168,'Seguridad Información'!$I$61:$J$65,2,0),"")</f>
        <v/>
      </c>
      <c r="AV168" s="79"/>
      <c r="AW168" s="78" t="str">
        <f t="shared" si="24"/>
        <v/>
      </c>
      <c r="AX168" s="77" t="str">
        <f t="shared" si="34"/>
        <v/>
      </c>
      <c r="AY168" s="21" t="str">
        <f>IFERROR(VLOOKUP((CONCATENATE(AM168,AX168)),Listados!$U$3:$V$11,2,FALSE),"")</f>
        <v/>
      </c>
      <c r="AZ168" s="48">
        <f t="shared" si="35"/>
        <v>100</v>
      </c>
      <c r="BA168" s="432"/>
      <c r="BB168" s="433"/>
      <c r="BC168" s="169">
        <f>+IF(AND(W168="Preventivo",BB163="Fuerte"),2,IF(AND(W168="Preventivo",BB163="Moderado"),1,0))</f>
        <v>0</v>
      </c>
      <c r="BD168" s="64">
        <f>+IF(AND(W168="Detectivo/Correctivo",$BB163="Fuerte"),2,IF(AND(W168="Detectivo/Correctivo",$BB168="Moderado"),1,IF(AND(W168="Preventivo",$BB163="Fuerte"),1,0)))</f>
        <v>0</v>
      </c>
      <c r="BE168" s="169" t="e">
        <f>+N163-BC168</f>
        <v>#N/A</v>
      </c>
      <c r="BF168" s="169" t="e">
        <f>+P163-BD168</f>
        <v>#N/A</v>
      </c>
      <c r="BG168" s="423"/>
      <c r="BH168" s="423"/>
      <c r="BI168" s="423"/>
      <c r="BJ168" s="646"/>
      <c r="BK168" s="646"/>
      <c r="BL168" s="646"/>
      <c r="BM168" s="646"/>
    </row>
    <row r="169" spans="1:65" ht="65.099999999999994" customHeight="1" thickBot="1">
      <c r="A169" s="404">
        <v>28</v>
      </c>
      <c r="B169" s="628"/>
      <c r="C169" s="447" t="str">
        <f>IFERROR(VLOOKUP(B169,Listados!B$3:C$20,2,FALSE),"")</f>
        <v/>
      </c>
      <c r="D169" s="107"/>
      <c r="E169" s="107"/>
      <c r="F169" s="618"/>
      <c r="G169" s="448"/>
      <c r="H169" s="100"/>
      <c r="I169" s="128"/>
      <c r="J169" s="100"/>
      <c r="K169" s="103"/>
      <c r="L169" s="17"/>
      <c r="M169" s="445"/>
      <c r="N169" s="424" t="e">
        <f>+VLOOKUP(M169,Listados!$K$8:$L$12,2,0)</f>
        <v>#N/A</v>
      </c>
      <c r="O169" s="427"/>
      <c r="P169" s="424" t="e">
        <f>+VLOOKUP(O169,Listados!$K$13:$L$17,2,0)</f>
        <v>#N/A</v>
      </c>
      <c r="Q169" s="423" t="str">
        <f>IF(AND(M169&lt;&gt;"",O169&lt;&gt;""),VLOOKUP(M169&amp;O169,Listados!$M$3:$N$27,2,FALSE),"")</f>
        <v/>
      </c>
      <c r="R169" s="421" t="e">
        <f>+VLOOKUP(Q169,Listados!$P$3:$Q$6,2,FALSE)</f>
        <v>#N/A</v>
      </c>
      <c r="S169" s="150"/>
      <c r="T169" s="94"/>
      <c r="U169" s="47" t="s">
        <v>627</v>
      </c>
      <c r="V169" s="172"/>
      <c r="W169" s="172"/>
      <c r="X169" s="172"/>
      <c r="Y169" s="95" t="str">
        <f t="shared" si="25"/>
        <v/>
      </c>
      <c r="Z169" s="172"/>
      <c r="AA169" s="95" t="str">
        <f t="shared" si="26"/>
        <v/>
      </c>
      <c r="AB169" s="150"/>
      <c r="AC169" s="95" t="str">
        <f t="shared" si="27"/>
        <v/>
      </c>
      <c r="AD169" s="150"/>
      <c r="AE169" s="95" t="str">
        <f t="shared" si="28"/>
        <v/>
      </c>
      <c r="AF169" s="150"/>
      <c r="AG169" s="95" t="str">
        <f t="shared" si="29"/>
        <v/>
      </c>
      <c r="AH169" s="150"/>
      <c r="AI169" s="95" t="str">
        <f t="shared" si="30"/>
        <v/>
      </c>
      <c r="AJ169" s="150"/>
      <c r="AK169" s="27" t="str">
        <f t="shared" si="31"/>
        <v/>
      </c>
      <c r="AL169" s="48" t="str">
        <f t="shared" si="32"/>
        <v/>
      </c>
      <c r="AM169" s="48" t="str">
        <f t="shared" si="33"/>
        <v/>
      </c>
      <c r="AN169" s="196"/>
      <c r="AO169" s="196"/>
      <c r="AP169" s="196"/>
      <c r="AQ169" s="196"/>
      <c r="AR169" s="196"/>
      <c r="AS169" s="196"/>
      <c r="AT169" s="196"/>
      <c r="AU169" s="197" t="str">
        <f>IFERROR(VLOOKUP(AT169,'Seguridad Información'!$I$61:$J$65,2,0),"")</f>
        <v/>
      </c>
      <c r="AV169" s="79"/>
      <c r="AW169" s="78" t="str">
        <f t="shared" si="24"/>
        <v/>
      </c>
      <c r="AX169" s="77" t="str">
        <f t="shared" si="34"/>
        <v/>
      </c>
      <c r="AY169" s="21" t="str">
        <f>IFERROR(VLOOKUP((CONCATENATE(AM169,AX169)),Listados!$U$3:$V$11,2,FALSE),"")</f>
        <v/>
      </c>
      <c r="AZ169" s="48">
        <f t="shared" si="35"/>
        <v>100</v>
      </c>
      <c r="BA169" s="430">
        <f>AVERAGE(AZ169:AZ174)</f>
        <v>100</v>
      </c>
      <c r="BB169" s="432" t="str">
        <f>IF(BA169&lt;=50, "Débil", IF(BA169&lt;=99,"Moderado","Fuerte"))</f>
        <v>Fuerte</v>
      </c>
      <c r="BC169" s="169">
        <f>+IF(AND(W169="Preventivo",BB169="Fuerte"),2,IF(AND(W169="Preventivo",BB169="Moderado"),1,0))</f>
        <v>0</v>
      </c>
      <c r="BD169" s="64">
        <f>+IF(AND(W169="Detectivo/Correctivo",$BB169="Fuerte"),2,IF(AND(W169="Detectivo/Correctivo",$BB169="Moderado"),1,IF(AND(W169="Preventivo",$BB169="Fuerte"),1,0)))</f>
        <v>0</v>
      </c>
      <c r="BE169" s="169" t="e">
        <f>+N169-BC169</f>
        <v>#N/A</v>
      </c>
      <c r="BF169" s="169" t="e">
        <f>+P169-BD169</f>
        <v>#N/A</v>
      </c>
      <c r="BG169" s="421" t="e">
        <f>+VLOOKUP(MIN(BE169,BE170,BE171,BE172,BE173,BE174),Listados!$J$18:$K$24,2,TRUE)</f>
        <v>#N/A</v>
      </c>
      <c r="BH169" s="421" t="e">
        <f>+VLOOKUP(MIN(BF169,BF170,BF171,BF172,BF173,BF174),Listados!$J$27:$K$32,2,TRUE)</f>
        <v>#N/A</v>
      </c>
      <c r="BI169" s="421" t="e">
        <f>IF(AND(BG169&lt;&gt;"",BH169&lt;&gt;""),VLOOKUP(BG169&amp;BH169,Listados!$M$3:$N$27,2,FALSE),"")</f>
        <v>#N/A</v>
      </c>
      <c r="BJ169" s="644" t="e">
        <f>+IF($R169="Asumir el riesgo","NA","")</f>
        <v>#N/A</v>
      </c>
      <c r="BK169" s="644" t="e">
        <f>+IF($R169="Asumir el riesgo","NA","")</f>
        <v>#N/A</v>
      </c>
      <c r="BL169" s="644" t="e">
        <f>+IF($R169="Asumir el riesgo","NA","")</f>
        <v>#N/A</v>
      </c>
      <c r="BM169" s="644" t="e">
        <f>+IF($R169="Asumir el riesgo","NA","")</f>
        <v>#N/A</v>
      </c>
    </row>
    <row r="170" spans="1:65" ht="65.099999999999994" customHeight="1" thickBot="1">
      <c r="A170" s="405"/>
      <c r="B170" s="625"/>
      <c r="C170" s="440"/>
      <c r="D170" s="152"/>
      <c r="E170" s="152"/>
      <c r="F170" s="475"/>
      <c r="G170" s="443"/>
      <c r="H170" s="100"/>
      <c r="I170" s="128"/>
      <c r="J170" s="100"/>
      <c r="K170" s="147"/>
      <c r="L170" s="129"/>
      <c r="M170" s="446"/>
      <c r="N170" s="425"/>
      <c r="O170" s="428"/>
      <c r="P170" s="425"/>
      <c r="Q170" s="429"/>
      <c r="R170" s="422"/>
      <c r="S170" s="150"/>
      <c r="T170" s="198"/>
      <c r="U170" s="47" t="s">
        <v>627</v>
      </c>
      <c r="V170" s="172"/>
      <c r="W170" s="172"/>
      <c r="X170" s="172"/>
      <c r="Y170" s="95" t="str">
        <f t="shared" si="25"/>
        <v/>
      </c>
      <c r="Z170" s="172"/>
      <c r="AA170" s="95" t="str">
        <f t="shared" si="26"/>
        <v/>
      </c>
      <c r="AB170" s="150"/>
      <c r="AC170" s="95" t="str">
        <f t="shared" si="27"/>
        <v/>
      </c>
      <c r="AD170" s="150"/>
      <c r="AE170" s="95" t="str">
        <f t="shared" si="28"/>
        <v/>
      </c>
      <c r="AF170" s="150"/>
      <c r="AG170" s="95" t="str">
        <f t="shared" si="29"/>
        <v/>
      </c>
      <c r="AH170" s="150"/>
      <c r="AI170" s="95" t="str">
        <f t="shared" si="30"/>
        <v/>
      </c>
      <c r="AJ170" s="150"/>
      <c r="AK170" s="27" t="str">
        <f t="shared" si="31"/>
        <v/>
      </c>
      <c r="AL170" s="48" t="str">
        <f t="shared" si="32"/>
        <v/>
      </c>
      <c r="AM170" s="48" t="str">
        <f t="shared" si="33"/>
        <v/>
      </c>
      <c r="AN170" s="196"/>
      <c r="AO170" s="196"/>
      <c r="AP170" s="196"/>
      <c r="AQ170" s="196"/>
      <c r="AR170" s="196"/>
      <c r="AS170" s="196"/>
      <c r="AT170" s="196"/>
      <c r="AU170" s="197" t="str">
        <f>IFERROR(VLOOKUP(AT170,'Seguridad Información'!$I$61:$J$65,2,0),"")</f>
        <v/>
      </c>
      <c r="AV170" s="79"/>
      <c r="AW170" s="78" t="str">
        <f t="shared" si="24"/>
        <v/>
      </c>
      <c r="AX170" s="77" t="str">
        <f t="shared" si="34"/>
        <v/>
      </c>
      <c r="AY170" s="21" t="str">
        <f>IFERROR(VLOOKUP((CONCATENATE(AM170,AX170)),Listados!$U$3:$V$11,2,FALSE),"")</f>
        <v/>
      </c>
      <c r="AZ170" s="48">
        <f t="shared" si="35"/>
        <v>100</v>
      </c>
      <c r="BA170" s="431"/>
      <c r="BB170" s="433"/>
      <c r="BC170" s="169">
        <f>+IF(AND(W170="Preventivo",BB169="Fuerte"),2,IF(AND(W170="Preventivo",BB169="Moderado"),1,0))</f>
        <v>0</v>
      </c>
      <c r="BD170" s="64">
        <f>+IF(AND(W170="Detectivo/Correctivo",$BB169="Fuerte"),2,IF(AND(W170="Detectivo/Correctivo",$BB170="Moderado"),1,IF(AND(W170="Preventivo",$BB169="Fuerte"),1,0)))</f>
        <v>0</v>
      </c>
      <c r="BE170" s="169" t="e">
        <f>+N169-BC170</f>
        <v>#N/A</v>
      </c>
      <c r="BF170" s="169" t="e">
        <f>+P169-BD170</f>
        <v>#N/A</v>
      </c>
      <c r="BG170" s="422"/>
      <c r="BH170" s="422"/>
      <c r="BI170" s="422"/>
      <c r="BJ170" s="645"/>
      <c r="BK170" s="645"/>
      <c r="BL170" s="645"/>
      <c r="BM170" s="645"/>
    </row>
    <row r="171" spans="1:65" ht="65.099999999999994" customHeight="1" thickBot="1">
      <c r="A171" s="405"/>
      <c r="B171" s="625"/>
      <c r="C171" s="440"/>
      <c r="D171" s="152"/>
      <c r="E171" s="152"/>
      <c r="F171" s="475"/>
      <c r="G171" s="443"/>
      <c r="H171" s="100"/>
      <c r="I171" s="128"/>
      <c r="J171" s="100"/>
      <c r="K171" s="147"/>
      <c r="L171" s="129"/>
      <c r="M171" s="446"/>
      <c r="N171" s="425"/>
      <c r="O171" s="428"/>
      <c r="P171" s="425"/>
      <c r="Q171" s="429"/>
      <c r="R171" s="422"/>
      <c r="S171" s="150"/>
      <c r="T171" s="96"/>
      <c r="U171" s="47" t="s">
        <v>627</v>
      </c>
      <c r="V171" s="172"/>
      <c r="W171" s="172"/>
      <c r="X171" s="172"/>
      <c r="Y171" s="95" t="str">
        <f t="shared" si="25"/>
        <v/>
      </c>
      <c r="Z171" s="172"/>
      <c r="AA171" s="95" t="str">
        <f t="shared" si="26"/>
        <v/>
      </c>
      <c r="AB171" s="150"/>
      <c r="AC171" s="95" t="str">
        <f t="shared" si="27"/>
        <v/>
      </c>
      <c r="AD171" s="150"/>
      <c r="AE171" s="95" t="str">
        <f t="shared" si="28"/>
        <v/>
      </c>
      <c r="AF171" s="150"/>
      <c r="AG171" s="95" t="str">
        <f t="shared" si="29"/>
        <v/>
      </c>
      <c r="AH171" s="150"/>
      <c r="AI171" s="95" t="str">
        <f t="shared" si="30"/>
        <v/>
      </c>
      <c r="AJ171" s="150"/>
      <c r="AK171" s="27" t="str">
        <f t="shared" si="31"/>
        <v/>
      </c>
      <c r="AL171" s="48" t="str">
        <f t="shared" si="32"/>
        <v/>
      </c>
      <c r="AM171" s="48" t="str">
        <f t="shared" si="33"/>
        <v/>
      </c>
      <c r="AN171" s="196"/>
      <c r="AO171" s="196"/>
      <c r="AP171" s="196"/>
      <c r="AQ171" s="196"/>
      <c r="AR171" s="196"/>
      <c r="AS171" s="196"/>
      <c r="AT171" s="196"/>
      <c r="AU171" s="197" t="str">
        <f>IFERROR(VLOOKUP(AT171,'Seguridad Información'!$I$61:$J$65,2,0),"")</f>
        <v/>
      </c>
      <c r="AV171" s="79"/>
      <c r="AW171" s="78" t="str">
        <f t="shared" si="24"/>
        <v/>
      </c>
      <c r="AX171" s="77" t="str">
        <f t="shared" si="34"/>
        <v/>
      </c>
      <c r="AY171" s="21" t="str">
        <f>IFERROR(VLOOKUP((CONCATENATE(AM171,AX171)),Listados!$U$3:$V$11,2,FALSE),"")</f>
        <v/>
      </c>
      <c r="AZ171" s="48">
        <f t="shared" si="35"/>
        <v>100</v>
      </c>
      <c r="BA171" s="431"/>
      <c r="BB171" s="433"/>
      <c r="BC171" s="169">
        <f>+IF(AND(W171="Preventivo",BB169="Fuerte"),2,IF(AND(W171="Preventivo",BB169="Moderado"),1,0))</f>
        <v>0</v>
      </c>
      <c r="BD171" s="64">
        <f>+IF(AND(W171="Detectivo/Correctivo",$BB169="Fuerte"),2,IF(AND(W171="Detectivo/Correctivo",$BB171="Moderado"),1,IF(AND(W171="Preventivo",$BB169="Fuerte"),1,0)))</f>
        <v>0</v>
      </c>
      <c r="BE171" s="169" t="e">
        <f>+N169-BC171</f>
        <v>#N/A</v>
      </c>
      <c r="BF171" s="169" t="e">
        <f>+P169-BD171</f>
        <v>#N/A</v>
      </c>
      <c r="BG171" s="422"/>
      <c r="BH171" s="422"/>
      <c r="BI171" s="422"/>
      <c r="BJ171" s="645"/>
      <c r="BK171" s="645"/>
      <c r="BL171" s="645"/>
      <c r="BM171" s="645"/>
    </row>
    <row r="172" spans="1:65" ht="65.099999999999994" customHeight="1" thickBot="1">
      <c r="A172" s="405"/>
      <c r="B172" s="625"/>
      <c r="C172" s="440"/>
      <c r="D172" s="152"/>
      <c r="E172" s="152"/>
      <c r="F172" s="475"/>
      <c r="G172" s="443"/>
      <c r="H172" s="100"/>
      <c r="I172" s="128"/>
      <c r="J172" s="100"/>
      <c r="K172" s="147"/>
      <c r="L172" s="129"/>
      <c r="M172" s="446"/>
      <c r="N172" s="425"/>
      <c r="O172" s="428"/>
      <c r="P172" s="425"/>
      <c r="Q172" s="429"/>
      <c r="R172" s="422"/>
      <c r="S172" s="150"/>
      <c r="T172" s="97"/>
      <c r="U172" s="47" t="s">
        <v>627</v>
      </c>
      <c r="V172" s="172"/>
      <c r="W172" s="172"/>
      <c r="X172" s="172"/>
      <c r="Y172" s="95" t="str">
        <f t="shared" si="25"/>
        <v/>
      </c>
      <c r="Z172" s="172"/>
      <c r="AA172" s="95" t="str">
        <f t="shared" si="26"/>
        <v/>
      </c>
      <c r="AB172" s="150"/>
      <c r="AC172" s="95" t="str">
        <f t="shared" si="27"/>
        <v/>
      </c>
      <c r="AD172" s="150"/>
      <c r="AE172" s="95" t="str">
        <f t="shared" si="28"/>
        <v/>
      </c>
      <c r="AF172" s="150"/>
      <c r="AG172" s="95" t="str">
        <f t="shared" si="29"/>
        <v/>
      </c>
      <c r="AH172" s="150"/>
      <c r="AI172" s="95" t="str">
        <f t="shared" si="30"/>
        <v/>
      </c>
      <c r="AJ172" s="150"/>
      <c r="AK172" s="27" t="str">
        <f t="shared" si="31"/>
        <v/>
      </c>
      <c r="AL172" s="48" t="str">
        <f t="shared" si="32"/>
        <v/>
      </c>
      <c r="AM172" s="48" t="str">
        <f t="shared" si="33"/>
        <v/>
      </c>
      <c r="AN172" s="196"/>
      <c r="AO172" s="196"/>
      <c r="AP172" s="196"/>
      <c r="AQ172" s="196"/>
      <c r="AR172" s="196"/>
      <c r="AS172" s="196"/>
      <c r="AT172" s="196"/>
      <c r="AU172" s="197" t="str">
        <f>IFERROR(VLOOKUP(AT172,'Seguridad Información'!$I$61:$J$65,2,0),"")</f>
        <v/>
      </c>
      <c r="AV172" s="79"/>
      <c r="AW172" s="78" t="str">
        <f t="shared" si="24"/>
        <v/>
      </c>
      <c r="AX172" s="77" t="str">
        <f t="shared" si="34"/>
        <v/>
      </c>
      <c r="AY172" s="21" t="str">
        <f>IFERROR(VLOOKUP((CONCATENATE(AM172,AX172)),Listados!$U$3:$V$11,2,FALSE),"")</f>
        <v/>
      </c>
      <c r="AZ172" s="48">
        <f t="shared" si="35"/>
        <v>100</v>
      </c>
      <c r="BA172" s="431"/>
      <c r="BB172" s="433"/>
      <c r="BC172" s="169">
        <f>+IF(AND(W172="Preventivo",BB169="Fuerte"),2,IF(AND(W172="Preventivo",BB169="Moderado"),1,0))</f>
        <v>0</v>
      </c>
      <c r="BD172" s="64">
        <f>+IF(AND(W172="Detectivo/Correctivo",$BB169="Fuerte"),2,IF(AND(W172="Detectivo/Correctivo",$BB172="Moderado"),1,IF(AND(W172="Preventivo",$BB169="Fuerte"),1,0)))</f>
        <v>0</v>
      </c>
      <c r="BE172" s="169" t="e">
        <f>+N169-BC172</f>
        <v>#N/A</v>
      </c>
      <c r="BF172" s="169" t="e">
        <f>+P169-BD172</f>
        <v>#N/A</v>
      </c>
      <c r="BG172" s="422"/>
      <c r="BH172" s="422"/>
      <c r="BI172" s="422"/>
      <c r="BJ172" s="645"/>
      <c r="BK172" s="645"/>
      <c r="BL172" s="645"/>
      <c r="BM172" s="645"/>
    </row>
    <row r="173" spans="1:65" ht="65.099999999999994" customHeight="1" thickBot="1">
      <c r="A173" s="405"/>
      <c r="B173" s="625"/>
      <c r="C173" s="440"/>
      <c r="D173" s="109"/>
      <c r="E173" s="109"/>
      <c r="F173" s="475"/>
      <c r="G173" s="443"/>
      <c r="H173" s="100"/>
      <c r="I173" s="128"/>
      <c r="J173" s="100"/>
      <c r="K173" s="29"/>
      <c r="L173" s="129"/>
      <c r="M173" s="446"/>
      <c r="N173" s="425"/>
      <c r="O173" s="428"/>
      <c r="P173" s="425"/>
      <c r="Q173" s="429"/>
      <c r="R173" s="422"/>
      <c r="S173" s="150"/>
      <c r="T173" s="198"/>
      <c r="U173" s="47" t="s">
        <v>627</v>
      </c>
      <c r="V173" s="172"/>
      <c r="W173" s="172"/>
      <c r="X173" s="172"/>
      <c r="Y173" s="95" t="str">
        <f t="shared" si="25"/>
        <v/>
      </c>
      <c r="Z173" s="172"/>
      <c r="AA173" s="95" t="str">
        <f t="shared" si="26"/>
        <v/>
      </c>
      <c r="AB173" s="150"/>
      <c r="AC173" s="95" t="str">
        <f t="shared" si="27"/>
        <v/>
      </c>
      <c r="AD173" s="150"/>
      <c r="AE173" s="95" t="str">
        <f t="shared" si="28"/>
        <v/>
      </c>
      <c r="AF173" s="150"/>
      <c r="AG173" s="95" t="str">
        <f t="shared" si="29"/>
        <v/>
      </c>
      <c r="AH173" s="150"/>
      <c r="AI173" s="95" t="str">
        <f t="shared" si="30"/>
        <v/>
      </c>
      <c r="AJ173" s="150"/>
      <c r="AK173" s="27" t="str">
        <f t="shared" si="31"/>
        <v/>
      </c>
      <c r="AL173" s="48" t="str">
        <f t="shared" si="32"/>
        <v/>
      </c>
      <c r="AM173" s="48" t="str">
        <f t="shared" si="33"/>
        <v/>
      </c>
      <c r="AN173" s="196"/>
      <c r="AO173" s="196"/>
      <c r="AP173" s="196"/>
      <c r="AQ173" s="196"/>
      <c r="AR173" s="196"/>
      <c r="AS173" s="196"/>
      <c r="AT173" s="196"/>
      <c r="AU173" s="197" t="str">
        <f>IFERROR(VLOOKUP(AT173,'Seguridad Información'!$I$61:$J$65,2,0),"")</f>
        <v/>
      </c>
      <c r="AV173" s="79"/>
      <c r="AW173" s="78" t="str">
        <f t="shared" si="24"/>
        <v/>
      </c>
      <c r="AX173" s="77" t="str">
        <f t="shared" si="34"/>
        <v/>
      </c>
      <c r="AY173" s="21" t="str">
        <f>IFERROR(VLOOKUP((CONCATENATE(AM173,AX173)),Listados!$U$3:$V$11,2,FALSE),"")</f>
        <v/>
      </c>
      <c r="AZ173" s="48">
        <f t="shared" si="35"/>
        <v>100</v>
      </c>
      <c r="BA173" s="431"/>
      <c r="BB173" s="433"/>
      <c r="BC173" s="169">
        <f>+IF(AND(W173="Preventivo",BB169="Fuerte"),2,IF(AND(W173="Preventivo",BB169="Moderado"),1,0))</f>
        <v>0</v>
      </c>
      <c r="BD173" s="64">
        <f>+IF(AND(W173="Detectivo/Correctivo",$BB169="Fuerte"),2,IF(AND(W173="Detectivo/Correctivo",$BB173="Moderado"),1,IF(AND(W173="Preventivo",$BB169="Fuerte"),1,0)))</f>
        <v>0</v>
      </c>
      <c r="BE173" s="169" t="e">
        <f>+N169-BC173</f>
        <v>#N/A</v>
      </c>
      <c r="BF173" s="169" t="e">
        <f>+P169-BD173</f>
        <v>#N/A</v>
      </c>
      <c r="BG173" s="422"/>
      <c r="BH173" s="422"/>
      <c r="BI173" s="422"/>
      <c r="BJ173" s="645"/>
      <c r="BK173" s="645"/>
      <c r="BL173" s="645"/>
      <c r="BM173" s="645"/>
    </row>
    <row r="174" spans="1:65" ht="65.099999999999994" customHeight="1" thickBot="1">
      <c r="A174" s="406"/>
      <c r="B174" s="625"/>
      <c r="C174" s="441"/>
      <c r="D174" s="106"/>
      <c r="E174" s="106"/>
      <c r="F174" s="619"/>
      <c r="G174" s="444"/>
      <c r="H174" s="100"/>
      <c r="I174" s="128"/>
      <c r="J174" s="100"/>
      <c r="K174" s="31"/>
      <c r="L174" s="129"/>
      <c r="M174" s="446"/>
      <c r="N174" s="426"/>
      <c r="O174" s="428"/>
      <c r="P174" s="426"/>
      <c r="Q174" s="429"/>
      <c r="R174" s="423"/>
      <c r="S174" s="150"/>
      <c r="T174" s="98"/>
      <c r="U174" s="47" t="s">
        <v>627</v>
      </c>
      <c r="V174" s="172"/>
      <c r="W174" s="172"/>
      <c r="X174" s="172"/>
      <c r="Y174" s="95" t="str">
        <f t="shared" si="25"/>
        <v/>
      </c>
      <c r="Z174" s="172"/>
      <c r="AA174" s="95" t="str">
        <f t="shared" si="26"/>
        <v/>
      </c>
      <c r="AB174" s="150"/>
      <c r="AC174" s="95" t="str">
        <f t="shared" si="27"/>
        <v/>
      </c>
      <c r="AD174" s="150"/>
      <c r="AE174" s="95" t="str">
        <f t="shared" si="28"/>
        <v/>
      </c>
      <c r="AF174" s="150"/>
      <c r="AG174" s="95" t="str">
        <f t="shared" si="29"/>
        <v/>
      </c>
      <c r="AH174" s="150"/>
      <c r="AI174" s="95" t="str">
        <f t="shared" si="30"/>
        <v/>
      </c>
      <c r="AJ174" s="150"/>
      <c r="AK174" s="27" t="str">
        <f t="shared" si="31"/>
        <v/>
      </c>
      <c r="AL174" s="48" t="str">
        <f t="shared" si="32"/>
        <v/>
      </c>
      <c r="AM174" s="48" t="str">
        <f t="shared" si="33"/>
        <v/>
      </c>
      <c r="AN174" s="196"/>
      <c r="AO174" s="196"/>
      <c r="AP174" s="196"/>
      <c r="AQ174" s="196"/>
      <c r="AR174" s="196"/>
      <c r="AS174" s="196"/>
      <c r="AT174" s="196"/>
      <c r="AU174" s="197" t="str">
        <f>IFERROR(VLOOKUP(AT174,'Seguridad Información'!$I$61:$J$65,2,0),"")</f>
        <v/>
      </c>
      <c r="AV174" s="79"/>
      <c r="AW174" s="78" t="str">
        <f t="shared" si="24"/>
        <v/>
      </c>
      <c r="AX174" s="77" t="str">
        <f t="shared" si="34"/>
        <v/>
      </c>
      <c r="AY174" s="21" t="str">
        <f>IFERROR(VLOOKUP((CONCATENATE(AM174,AX174)),Listados!$U$3:$V$11,2,FALSE),"")</f>
        <v/>
      </c>
      <c r="AZ174" s="48">
        <f t="shared" si="35"/>
        <v>100</v>
      </c>
      <c r="BA174" s="432"/>
      <c r="BB174" s="433"/>
      <c r="BC174" s="169">
        <f>+IF(AND(W174="Preventivo",BB169="Fuerte"),2,IF(AND(W174="Preventivo",BB169="Moderado"),1,0))</f>
        <v>0</v>
      </c>
      <c r="BD174" s="64">
        <f>+IF(AND(W174="Detectivo/Correctivo",$BB169="Fuerte"),2,IF(AND(W174="Detectivo/Correctivo",$BB174="Moderado"),1,IF(AND(W174="Preventivo",$BB169="Fuerte"),1,0)))</f>
        <v>0</v>
      </c>
      <c r="BE174" s="169" t="e">
        <f>+N169-BC174</f>
        <v>#N/A</v>
      </c>
      <c r="BF174" s="169" t="e">
        <f>+P169-BD174</f>
        <v>#N/A</v>
      </c>
      <c r="BG174" s="423"/>
      <c r="BH174" s="423"/>
      <c r="BI174" s="423"/>
      <c r="BJ174" s="646"/>
      <c r="BK174" s="646"/>
      <c r="BL174" s="646"/>
      <c r="BM174" s="646"/>
    </row>
    <row r="175" spans="1:65" ht="65.099999999999994" customHeight="1" thickBot="1">
      <c r="A175" s="404">
        <v>29</v>
      </c>
      <c r="B175" s="628"/>
      <c r="C175" s="447" t="str">
        <f>IFERROR(VLOOKUP(B175,Listados!B$3:C$20,2,FALSE),"")</f>
        <v/>
      </c>
      <c r="D175" s="107"/>
      <c r="E175" s="107"/>
      <c r="F175" s="618"/>
      <c r="G175" s="448"/>
      <c r="H175" s="100"/>
      <c r="I175" s="128"/>
      <c r="J175" s="100"/>
      <c r="K175" s="103"/>
      <c r="L175" s="17"/>
      <c r="M175" s="445"/>
      <c r="N175" s="424" t="e">
        <f>+VLOOKUP(M175,Listados!$K$8:$L$12,2,0)</f>
        <v>#N/A</v>
      </c>
      <c r="O175" s="427"/>
      <c r="P175" s="424" t="e">
        <f>+VLOOKUP(O175,Listados!$K$13:$L$17,2,0)</f>
        <v>#N/A</v>
      </c>
      <c r="Q175" s="423" t="str">
        <f>IF(AND(M175&lt;&gt;"",O175&lt;&gt;""),VLOOKUP(M175&amp;O175,Listados!$M$3:$N$27,2,FALSE),"")</f>
        <v/>
      </c>
      <c r="R175" s="421" t="e">
        <f>+VLOOKUP(Q175,Listados!$P$3:$Q$6,2,FALSE)</f>
        <v>#N/A</v>
      </c>
      <c r="S175" s="150"/>
      <c r="T175" s="94"/>
      <c r="U175" s="47" t="s">
        <v>627</v>
      </c>
      <c r="V175" s="172"/>
      <c r="W175" s="172"/>
      <c r="X175" s="172"/>
      <c r="Y175" s="95" t="str">
        <f t="shared" si="25"/>
        <v/>
      </c>
      <c r="Z175" s="172"/>
      <c r="AA175" s="95" t="str">
        <f t="shared" si="26"/>
        <v/>
      </c>
      <c r="AB175" s="150"/>
      <c r="AC175" s="95" t="str">
        <f t="shared" si="27"/>
        <v/>
      </c>
      <c r="AD175" s="150"/>
      <c r="AE175" s="95" t="str">
        <f t="shared" si="28"/>
        <v/>
      </c>
      <c r="AF175" s="150"/>
      <c r="AG175" s="95" t="str">
        <f t="shared" si="29"/>
        <v/>
      </c>
      <c r="AH175" s="150"/>
      <c r="AI175" s="95" t="str">
        <f t="shared" si="30"/>
        <v/>
      </c>
      <c r="AJ175" s="150"/>
      <c r="AK175" s="27" t="str">
        <f t="shared" si="31"/>
        <v/>
      </c>
      <c r="AL175" s="48" t="str">
        <f t="shared" si="32"/>
        <v/>
      </c>
      <c r="AM175" s="48" t="str">
        <f t="shared" si="33"/>
        <v/>
      </c>
      <c r="AN175" s="196"/>
      <c r="AO175" s="196"/>
      <c r="AP175" s="196"/>
      <c r="AQ175" s="196"/>
      <c r="AR175" s="196"/>
      <c r="AS175" s="196"/>
      <c r="AT175" s="196"/>
      <c r="AU175" s="197" t="str">
        <f>IFERROR(VLOOKUP(AT175,'Seguridad Información'!$I$61:$J$65,2,0),"")</f>
        <v/>
      </c>
      <c r="AV175" s="79"/>
      <c r="AW175" s="78" t="str">
        <f t="shared" si="24"/>
        <v/>
      </c>
      <c r="AX175" s="77" t="str">
        <f t="shared" si="34"/>
        <v/>
      </c>
      <c r="AY175" s="21" t="str">
        <f>IFERROR(VLOOKUP((CONCATENATE(AM175,AX175)),Listados!$U$3:$V$11,2,FALSE),"")</f>
        <v/>
      </c>
      <c r="AZ175" s="48">
        <f t="shared" si="35"/>
        <v>100</v>
      </c>
      <c r="BA175" s="430">
        <f>AVERAGE(AZ175:AZ180)</f>
        <v>100</v>
      </c>
      <c r="BB175" s="432" t="str">
        <f>IF(BA175&lt;=50, "Débil", IF(BA175&lt;=99,"Moderado","Fuerte"))</f>
        <v>Fuerte</v>
      </c>
      <c r="BC175" s="169">
        <f>+IF(AND(W175="Preventivo",BB175="Fuerte"),2,IF(AND(W175="Preventivo",BB175="Moderado"),1,0))</f>
        <v>0</v>
      </c>
      <c r="BD175" s="64">
        <f>+IF(AND(W175="Detectivo/Correctivo",$BB175="Fuerte"),2,IF(AND(W175="Detectivo/Correctivo",$BB175="Moderado"),1,IF(AND(W175="Preventivo",$BB175="Fuerte"),1,0)))</f>
        <v>0</v>
      </c>
      <c r="BE175" s="169" t="e">
        <f>+N175-BC175</f>
        <v>#N/A</v>
      </c>
      <c r="BF175" s="169" t="e">
        <f>+P175-BD175</f>
        <v>#N/A</v>
      </c>
      <c r="BG175" s="421" t="e">
        <f>+VLOOKUP(MIN(BE175,BE176,BE177,BE178,BE179,BE180),Listados!$J$18:$K$24,2,TRUE)</f>
        <v>#N/A</v>
      </c>
      <c r="BH175" s="421" t="e">
        <f>+VLOOKUP(MIN(BF175,BF176,BF177,BF178,BF179,BF180),Listados!$J$27:$K$32,2,TRUE)</f>
        <v>#N/A</v>
      </c>
      <c r="BI175" s="421" t="e">
        <f>IF(AND(BG175&lt;&gt;"",BH175&lt;&gt;""),VLOOKUP(BG175&amp;BH175,Listados!$M$3:$N$27,2,FALSE),"")</f>
        <v>#N/A</v>
      </c>
      <c r="BJ175" s="644" t="e">
        <f>+IF($R175="Asumir el riesgo","NA","")</f>
        <v>#N/A</v>
      </c>
      <c r="BK175" s="644" t="e">
        <f>+IF($R175="Asumir el riesgo","NA","")</f>
        <v>#N/A</v>
      </c>
      <c r="BL175" s="644" t="e">
        <f>+IF($R175="Asumir el riesgo","NA","")</f>
        <v>#N/A</v>
      </c>
      <c r="BM175" s="644" t="e">
        <f>+IF($R175="Asumir el riesgo","NA","")</f>
        <v>#N/A</v>
      </c>
    </row>
    <row r="176" spans="1:65" ht="65.099999999999994" customHeight="1" thickBot="1">
      <c r="A176" s="405"/>
      <c r="B176" s="625"/>
      <c r="C176" s="440"/>
      <c r="D176" s="152"/>
      <c r="E176" s="152"/>
      <c r="F176" s="475"/>
      <c r="G176" s="443"/>
      <c r="H176" s="100"/>
      <c r="I176" s="128"/>
      <c r="J176" s="100"/>
      <c r="K176" s="147"/>
      <c r="L176" s="129"/>
      <c r="M176" s="446"/>
      <c r="N176" s="425"/>
      <c r="O176" s="428"/>
      <c r="P176" s="425"/>
      <c r="Q176" s="429"/>
      <c r="R176" s="422"/>
      <c r="S176" s="150"/>
      <c r="T176" s="198"/>
      <c r="U176" s="47" t="s">
        <v>627</v>
      </c>
      <c r="V176" s="172"/>
      <c r="W176" s="172"/>
      <c r="X176" s="172"/>
      <c r="Y176" s="95" t="str">
        <f t="shared" si="25"/>
        <v/>
      </c>
      <c r="Z176" s="172"/>
      <c r="AA176" s="95" t="str">
        <f t="shared" si="26"/>
        <v/>
      </c>
      <c r="AB176" s="150"/>
      <c r="AC176" s="95" t="str">
        <f t="shared" si="27"/>
        <v/>
      </c>
      <c r="AD176" s="150"/>
      <c r="AE176" s="95" t="str">
        <f t="shared" si="28"/>
        <v/>
      </c>
      <c r="AF176" s="150"/>
      <c r="AG176" s="95" t="str">
        <f t="shared" si="29"/>
        <v/>
      </c>
      <c r="AH176" s="150"/>
      <c r="AI176" s="95" t="str">
        <f t="shared" si="30"/>
        <v/>
      </c>
      <c r="AJ176" s="150"/>
      <c r="AK176" s="27" t="str">
        <f t="shared" si="31"/>
        <v/>
      </c>
      <c r="AL176" s="48" t="str">
        <f t="shared" si="32"/>
        <v/>
      </c>
      <c r="AM176" s="48" t="str">
        <f t="shared" si="33"/>
        <v/>
      </c>
      <c r="AN176" s="196"/>
      <c r="AO176" s="196"/>
      <c r="AP176" s="196"/>
      <c r="AQ176" s="196"/>
      <c r="AR176" s="196"/>
      <c r="AS176" s="196"/>
      <c r="AT176" s="196"/>
      <c r="AU176" s="197" t="str">
        <f>IFERROR(VLOOKUP(AT176,'Seguridad Información'!$I$61:$J$65,2,0),"")</f>
        <v/>
      </c>
      <c r="AV176" s="79"/>
      <c r="AW176" s="78" t="str">
        <f t="shared" si="24"/>
        <v/>
      </c>
      <c r="AX176" s="77" t="str">
        <f t="shared" si="34"/>
        <v/>
      </c>
      <c r="AY176" s="21" t="str">
        <f>IFERROR(VLOOKUP((CONCATENATE(AM176,AX176)),Listados!$U$3:$V$11,2,FALSE),"")</f>
        <v/>
      </c>
      <c r="AZ176" s="48">
        <f t="shared" si="35"/>
        <v>100</v>
      </c>
      <c r="BA176" s="431"/>
      <c r="BB176" s="433"/>
      <c r="BC176" s="169">
        <f>+IF(AND(W176="Preventivo",BB175="Fuerte"),2,IF(AND(W176="Preventivo",BB175="Moderado"),1,0))</f>
        <v>0</v>
      </c>
      <c r="BD176" s="64">
        <f>+IF(AND(W176="Detectivo/Correctivo",$BB175="Fuerte"),2,IF(AND(W176="Detectivo/Correctivo",$BB176="Moderado"),1,IF(AND(W176="Preventivo",$BB175="Fuerte"),1,0)))</f>
        <v>0</v>
      </c>
      <c r="BE176" s="169" t="e">
        <f>+N175-BC176</f>
        <v>#N/A</v>
      </c>
      <c r="BF176" s="169" t="e">
        <f>+P175-BD176</f>
        <v>#N/A</v>
      </c>
      <c r="BG176" s="422"/>
      <c r="BH176" s="422"/>
      <c r="BI176" s="422"/>
      <c r="BJ176" s="645"/>
      <c r="BK176" s="645"/>
      <c r="BL176" s="645"/>
      <c r="BM176" s="645"/>
    </row>
    <row r="177" spans="1:65" ht="65.099999999999994" customHeight="1" thickBot="1">
      <c r="A177" s="405"/>
      <c r="B177" s="625"/>
      <c r="C177" s="440"/>
      <c r="D177" s="152"/>
      <c r="E177" s="152"/>
      <c r="F177" s="475"/>
      <c r="G177" s="443"/>
      <c r="H177" s="100"/>
      <c r="I177" s="128"/>
      <c r="J177" s="100"/>
      <c r="K177" s="147"/>
      <c r="L177" s="129"/>
      <c r="M177" s="446"/>
      <c r="N177" s="425"/>
      <c r="O177" s="428"/>
      <c r="P177" s="425"/>
      <c r="Q177" s="429"/>
      <c r="R177" s="422"/>
      <c r="S177" s="150"/>
      <c r="T177" s="96"/>
      <c r="U177" s="47" t="s">
        <v>627</v>
      </c>
      <c r="V177" s="172"/>
      <c r="W177" s="172"/>
      <c r="X177" s="172"/>
      <c r="Y177" s="95" t="str">
        <f t="shared" si="25"/>
        <v/>
      </c>
      <c r="Z177" s="172"/>
      <c r="AA177" s="95" t="str">
        <f t="shared" si="26"/>
        <v/>
      </c>
      <c r="AB177" s="150"/>
      <c r="AC177" s="95" t="str">
        <f t="shared" si="27"/>
        <v/>
      </c>
      <c r="AD177" s="150"/>
      <c r="AE177" s="95" t="str">
        <f t="shared" si="28"/>
        <v/>
      </c>
      <c r="AF177" s="150"/>
      <c r="AG177" s="95" t="str">
        <f t="shared" si="29"/>
        <v/>
      </c>
      <c r="AH177" s="150"/>
      <c r="AI177" s="95" t="str">
        <f t="shared" si="30"/>
        <v/>
      </c>
      <c r="AJ177" s="150"/>
      <c r="AK177" s="27" t="str">
        <f t="shared" si="31"/>
        <v/>
      </c>
      <c r="AL177" s="48" t="str">
        <f t="shared" si="32"/>
        <v/>
      </c>
      <c r="AM177" s="48" t="str">
        <f t="shared" si="33"/>
        <v/>
      </c>
      <c r="AN177" s="196"/>
      <c r="AO177" s="196"/>
      <c r="AP177" s="196"/>
      <c r="AQ177" s="196"/>
      <c r="AR177" s="196"/>
      <c r="AS177" s="196"/>
      <c r="AT177" s="196"/>
      <c r="AU177" s="197" t="str">
        <f>IFERROR(VLOOKUP(AT177,'Seguridad Información'!$I$61:$J$65,2,0),"")</f>
        <v/>
      </c>
      <c r="AV177" s="79"/>
      <c r="AW177" s="78" t="str">
        <f t="shared" si="24"/>
        <v/>
      </c>
      <c r="AX177" s="77" t="str">
        <f t="shared" si="34"/>
        <v/>
      </c>
      <c r="AY177" s="21" t="str">
        <f>IFERROR(VLOOKUP((CONCATENATE(AM177,AX177)),Listados!$U$3:$V$11,2,FALSE),"")</f>
        <v/>
      </c>
      <c r="AZ177" s="48">
        <f t="shared" si="35"/>
        <v>100</v>
      </c>
      <c r="BA177" s="431"/>
      <c r="BB177" s="433"/>
      <c r="BC177" s="169">
        <f>+IF(AND(W177="Preventivo",BB175="Fuerte"),2,IF(AND(W177="Preventivo",BB175="Moderado"),1,0))</f>
        <v>0</v>
      </c>
      <c r="BD177" s="64">
        <f>+IF(AND(W177="Detectivo/Correctivo",$BB175="Fuerte"),2,IF(AND(W177="Detectivo/Correctivo",$BB177="Moderado"),1,IF(AND(W177="Preventivo",$BB175="Fuerte"),1,0)))</f>
        <v>0</v>
      </c>
      <c r="BE177" s="169" t="e">
        <f>+N175-BC177</f>
        <v>#N/A</v>
      </c>
      <c r="BF177" s="169" t="e">
        <f>+P175-BD177</f>
        <v>#N/A</v>
      </c>
      <c r="BG177" s="422"/>
      <c r="BH177" s="422"/>
      <c r="BI177" s="422"/>
      <c r="BJ177" s="645"/>
      <c r="BK177" s="645"/>
      <c r="BL177" s="645"/>
      <c r="BM177" s="645"/>
    </row>
    <row r="178" spans="1:65" ht="65.099999999999994" customHeight="1" thickBot="1">
      <c r="A178" s="405"/>
      <c r="B178" s="625"/>
      <c r="C178" s="440"/>
      <c r="D178" s="152"/>
      <c r="E178" s="152"/>
      <c r="F178" s="475"/>
      <c r="G178" s="443"/>
      <c r="H178" s="100"/>
      <c r="I178" s="128"/>
      <c r="J178" s="100"/>
      <c r="K178" s="147"/>
      <c r="L178" s="129"/>
      <c r="M178" s="446"/>
      <c r="N178" s="425"/>
      <c r="O178" s="428"/>
      <c r="P178" s="425"/>
      <c r="Q178" s="429"/>
      <c r="R178" s="422"/>
      <c r="S178" s="150"/>
      <c r="T178" s="97"/>
      <c r="U178" s="47" t="s">
        <v>627</v>
      </c>
      <c r="V178" s="172"/>
      <c r="W178" s="172"/>
      <c r="X178" s="172"/>
      <c r="Y178" s="95" t="str">
        <f t="shared" si="25"/>
        <v/>
      </c>
      <c r="Z178" s="172"/>
      <c r="AA178" s="95" t="str">
        <f t="shared" si="26"/>
        <v/>
      </c>
      <c r="AB178" s="150"/>
      <c r="AC178" s="95" t="str">
        <f t="shared" si="27"/>
        <v/>
      </c>
      <c r="AD178" s="150"/>
      <c r="AE178" s="95" t="str">
        <f t="shared" si="28"/>
        <v/>
      </c>
      <c r="AF178" s="150"/>
      <c r="AG178" s="95" t="str">
        <f t="shared" si="29"/>
        <v/>
      </c>
      <c r="AH178" s="150"/>
      <c r="AI178" s="95" t="str">
        <f t="shared" si="30"/>
        <v/>
      </c>
      <c r="AJ178" s="150"/>
      <c r="AK178" s="27" t="str">
        <f t="shared" si="31"/>
        <v/>
      </c>
      <c r="AL178" s="48" t="str">
        <f t="shared" si="32"/>
        <v/>
      </c>
      <c r="AM178" s="48" t="str">
        <f t="shared" si="33"/>
        <v/>
      </c>
      <c r="AN178" s="196"/>
      <c r="AO178" s="196"/>
      <c r="AP178" s="196"/>
      <c r="AQ178" s="196"/>
      <c r="AR178" s="196"/>
      <c r="AS178" s="196"/>
      <c r="AT178" s="196"/>
      <c r="AU178" s="197" t="str">
        <f>IFERROR(VLOOKUP(AT178,'Seguridad Información'!$I$61:$J$65,2,0),"")</f>
        <v/>
      </c>
      <c r="AV178" s="79"/>
      <c r="AW178" s="78" t="str">
        <f t="shared" si="24"/>
        <v/>
      </c>
      <c r="AX178" s="77" t="str">
        <f t="shared" si="34"/>
        <v/>
      </c>
      <c r="AY178" s="21" t="str">
        <f>IFERROR(VLOOKUP((CONCATENATE(AM178,AX178)),Listados!$U$3:$V$11,2,FALSE),"")</f>
        <v/>
      </c>
      <c r="AZ178" s="48">
        <f t="shared" si="35"/>
        <v>100</v>
      </c>
      <c r="BA178" s="431"/>
      <c r="BB178" s="433"/>
      <c r="BC178" s="169">
        <f>+IF(AND(W178="Preventivo",BB175="Fuerte"),2,IF(AND(W178="Preventivo",BB175="Moderado"),1,0))</f>
        <v>0</v>
      </c>
      <c r="BD178" s="64">
        <f>+IF(AND(W178="Detectivo/Correctivo",$BB175="Fuerte"),2,IF(AND(W178="Detectivo/Correctivo",$BB178="Moderado"),1,IF(AND(W178="Preventivo",$BB175="Fuerte"),1,0)))</f>
        <v>0</v>
      </c>
      <c r="BE178" s="169" t="e">
        <f>+N175-BC178</f>
        <v>#N/A</v>
      </c>
      <c r="BF178" s="169" t="e">
        <f>+P175-BD178</f>
        <v>#N/A</v>
      </c>
      <c r="BG178" s="422"/>
      <c r="BH178" s="422"/>
      <c r="BI178" s="422"/>
      <c r="BJ178" s="645"/>
      <c r="BK178" s="645"/>
      <c r="BL178" s="645"/>
      <c r="BM178" s="645"/>
    </row>
    <row r="179" spans="1:65" ht="65.099999999999994" customHeight="1" thickBot="1">
      <c r="A179" s="405"/>
      <c r="B179" s="625"/>
      <c r="C179" s="440"/>
      <c r="D179" s="109"/>
      <c r="E179" s="109"/>
      <c r="F179" s="475"/>
      <c r="G179" s="443"/>
      <c r="H179" s="100"/>
      <c r="I179" s="128"/>
      <c r="J179" s="100"/>
      <c r="K179" s="29"/>
      <c r="L179" s="129"/>
      <c r="M179" s="446"/>
      <c r="N179" s="425"/>
      <c r="O179" s="428"/>
      <c r="P179" s="425"/>
      <c r="Q179" s="429"/>
      <c r="R179" s="422"/>
      <c r="S179" s="150"/>
      <c r="T179" s="198"/>
      <c r="U179" s="47" t="s">
        <v>627</v>
      </c>
      <c r="V179" s="172"/>
      <c r="W179" s="172"/>
      <c r="X179" s="172"/>
      <c r="Y179" s="95" t="str">
        <f t="shared" si="25"/>
        <v/>
      </c>
      <c r="Z179" s="172"/>
      <c r="AA179" s="95" t="str">
        <f t="shared" si="26"/>
        <v/>
      </c>
      <c r="AB179" s="150"/>
      <c r="AC179" s="95" t="str">
        <f t="shared" si="27"/>
        <v/>
      </c>
      <c r="AD179" s="150"/>
      <c r="AE179" s="95" t="str">
        <f t="shared" si="28"/>
        <v/>
      </c>
      <c r="AF179" s="150"/>
      <c r="AG179" s="95" t="str">
        <f t="shared" si="29"/>
        <v/>
      </c>
      <c r="AH179" s="150"/>
      <c r="AI179" s="95" t="str">
        <f t="shared" si="30"/>
        <v/>
      </c>
      <c r="AJ179" s="150"/>
      <c r="AK179" s="27" t="str">
        <f t="shared" si="31"/>
        <v/>
      </c>
      <c r="AL179" s="48" t="str">
        <f t="shared" si="32"/>
        <v/>
      </c>
      <c r="AM179" s="48" t="str">
        <f t="shared" si="33"/>
        <v/>
      </c>
      <c r="AN179" s="196"/>
      <c r="AO179" s="196"/>
      <c r="AP179" s="196"/>
      <c r="AQ179" s="196"/>
      <c r="AR179" s="196"/>
      <c r="AS179" s="196"/>
      <c r="AT179" s="196"/>
      <c r="AU179" s="197" t="str">
        <f>IFERROR(VLOOKUP(AT179,'Seguridad Información'!$I$61:$J$65,2,0),"")</f>
        <v/>
      </c>
      <c r="AV179" s="79"/>
      <c r="AW179" s="78" t="str">
        <f t="shared" si="24"/>
        <v/>
      </c>
      <c r="AX179" s="77" t="str">
        <f t="shared" si="34"/>
        <v/>
      </c>
      <c r="AY179" s="21" t="str">
        <f>IFERROR(VLOOKUP((CONCATENATE(AM179,AX179)),Listados!$U$3:$V$11,2,FALSE),"")</f>
        <v/>
      </c>
      <c r="AZ179" s="48">
        <f t="shared" si="35"/>
        <v>100</v>
      </c>
      <c r="BA179" s="431"/>
      <c r="BB179" s="433"/>
      <c r="BC179" s="169">
        <f>+IF(AND(W179="Preventivo",BB175="Fuerte"),2,IF(AND(W179="Preventivo",BB175="Moderado"),1,0))</f>
        <v>0</v>
      </c>
      <c r="BD179" s="64">
        <f>+IF(AND(W179="Detectivo/Correctivo",$BB175="Fuerte"),2,IF(AND(W179="Detectivo/Correctivo",$BB179="Moderado"),1,IF(AND(W179="Preventivo",$BB175="Fuerte"),1,0)))</f>
        <v>0</v>
      </c>
      <c r="BE179" s="169" t="e">
        <f>+N175-BC179</f>
        <v>#N/A</v>
      </c>
      <c r="BF179" s="169" t="e">
        <f>+P175-BD179</f>
        <v>#N/A</v>
      </c>
      <c r="BG179" s="422"/>
      <c r="BH179" s="422"/>
      <c r="BI179" s="422"/>
      <c r="BJ179" s="645"/>
      <c r="BK179" s="645"/>
      <c r="BL179" s="645"/>
      <c r="BM179" s="645"/>
    </row>
    <row r="180" spans="1:65" ht="65.099999999999994" customHeight="1" thickBot="1">
      <c r="A180" s="406"/>
      <c r="B180" s="625"/>
      <c r="C180" s="441"/>
      <c r="D180" s="106"/>
      <c r="E180" s="106"/>
      <c r="F180" s="619"/>
      <c r="G180" s="444"/>
      <c r="H180" s="100"/>
      <c r="I180" s="128"/>
      <c r="J180" s="100"/>
      <c r="K180" s="31"/>
      <c r="L180" s="129"/>
      <c r="M180" s="446"/>
      <c r="N180" s="426"/>
      <c r="O180" s="428"/>
      <c r="P180" s="426"/>
      <c r="Q180" s="429"/>
      <c r="R180" s="423"/>
      <c r="S180" s="150"/>
      <c r="T180" s="98"/>
      <c r="U180" s="47" t="s">
        <v>627</v>
      </c>
      <c r="V180" s="172"/>
      <c r="W180" s="172"/>
      <c r="X180" s="172"/>
      <c r="Y180" s="95" t="str">
        <f t="shared" si="25"/>
        <v/>
      </c>
      <c r="Z180" s="172"/>
      <c r="AA180" s="95" t="str">
        <f t="shared" si="26"/>
        <v/>
      </c>
      <c r="AB180" s="150"/>
      <c r="AC180" s="95" t="str">
        <f t="shared" si="27"/>
        <v/>
      </c>
      <c r="AD180" s="150"/>
      <c r="AE180" s="95" t="str">
        <f t="shared" si="28"/>
        <v/>
      </c>
      <c r="AF180" s="150"/>
      <c r="AG180" s="95" t="str">
        <f t="shared" si="29"/>
        <v/>
      </c>
      <c r="AH180" s="150"/>
      <c r="AI180" s="95" t="str">
        <f t="shared" si="30"/>
        <v/>
      </c>
      <c r="AJ180" s="150"/>
      <c r="AK180" s="27" t="str">
        <f t="shared" si="31"/>
        <v/>
      </c>
      <c r="AL180" s="48" t="str">
        <f t="shared" si="32"/>
        <v/>
      </c>
      <c r="AM180" s="48" t="str">
        <f t="shared" si="33"/>
        <v/>
      </c>
      <c r="AN180" s="196"/>
      <c r="AO180" s="196"/>
      <c r="AP180" s="196"/>
      <c r="AQ180" s="196"/>
      <c r="AR180" s="196"/>
      <c r="AS180" s="196"/>
      <c r="AT180" s="196"/>
      <c r="AU180" s="197" t="str">
        <f>IFERROR(VLOOKUP(AT180,'Seguridad Información'!$I$61:$J$65,2,0),"")</f>
        <v/>
      </c>
      <c r="AV180" s="79"/>
      <c r="AW180" s="78" t="str">
        <f t="shared" si="24"/>
        <v/>
      </c>
      <c r="AX180" s="77" t="str">
        <f t="shared" si="34"/>
        <v/>
      </c>
      <c r="AY180" s="21" t="str">
        <f>IFERROR(VLOOKUP((CONCATENATE(AM180,AX180)),Listados!$U$3:$V$11,2,FALSE),"")</f>
        <v/>
      </c>
      <c r="AZ180" s="48">
        <f t="shared" si="35"/>
        <v>100</v>
      </c>
      <c r="BA180" s="432"/>
      <c r="BB180" s="433"/>
      <c r="BC180" s="169">
        <f>+IF(AND(W180="Preventivo",BB175="Fuerte"),2,IF(AND(W180="Preventivo",BB175="Moderado"),1,0))</f>
        <v>0</v>
      </c>
      <c r="BD180" s="64">
        <f>+IF(AND(W180="Detectivo/Correctivo",$BB175="Fuerte"),2,IF(AND(W180="Detectivo/Correctivo",$BB180="Moderado"),1,IF(AND(W180="Preventivo",$BB175="Fuerte"),1,0)))</f>
        <v>0</v>
      </c>
      <c r="BE180" s="169" t="e">
        <f>+N175-BC180</f>
        <v>#N/A</v>
      </c>
      <c r="BF180" s="169" t="e">
        <f>+P175-BD180</f>
        <v>#N/A</v>
      </c>
      <c r="BG180" s="423"/>
      <c r="BH180" s="423"/>
      <c r="BI180" s="423"/>
      <c r="BJ180" s="646"/>
      <c r="BK180" s="646"/>
      <c r="BL180" s="646"/>
      <c r="BM180" s="646"/>
    </row>
    <row r="181" spans="1:65" ht="65.099999999999994" customHeight="1" thickBot="1">
      <c r="A181" s="404">
        <v>30</v>
      </c>
      <c r="B181" s="628"/>
      <c r="C181" s="447" t="str">
        <f>IFERROR(VLOOKUP(B181,Listados!B$3:C$20,2,FALSE),"")</f>
        <v/>
      </c>
      <c r="D181" s="107"/>
      <c r="E181" s="107"/>
      <c r="F181" s="618"/>
      <c r="G181" s="448"/>
      <c r="H181" s="100"/>
      <c r="I181" s="128"/>
      <c r="J181" s="100"/>
      <c r="K181" s="103"/>
      <c r="L181" s="17"/>
      <c r="M181" s="445"/>
      <c r="N181" s="424" t="e">
        <f>+VLOOKUP(M181,Listados!$K$8:$L$12,2,0)</f>
        <v>#N/A</v>
      </c>
      <c r="O181" s="427"/>
      <c r="P181" s="424" t="e">
        <f>+VLOOKUP(O181,Listados!$K$13:$L$17,2,0)</f>
        <v>#N/A</v>
      </c>
      <c r="Q181" s="423" t="str">
        <f>IF(AND(M181&lt;&gt;"",O181&lt;&gt;""),VLOOKUP(M181&amp;O181,Listados!$M$3:$N$27,2,FALSE),"")</f>
        <v/>
      </c>
      <c r="R181" s="421" t="e">
        <f>+VLOOKUP(Q181,Listados!$P$3:$Q$6,2,FALSE)</f>
        <v>#N/A</v>
      </c>
      <c r="S181" s="150"/>
      <c r="T181" s="94"/>
      <c r="U181" s="47" t="s">
        <v>627</v>
      </c>
      <c r="V181" s="172"/>
      <c r="W181" s="172"/>
      <c r="X181" s="172"/>
      <c r="Y181" s="95" t="str">
        <f t="shared" si="25"/>
        <v/>
      </c>
      <c r="Z181" s="172"/>
      <c r="AA181" s="95" t="str">
        <f t="shared" si="26"/>
        <v/>
      </c>
      <c r="AB181" s="150"/>
      <c r="AC181" s="95" t="str">
        <f t="shared" si="27"/>
        <v/>
      </c>
      <c r="AD181" s="150"/>
      <c r="AE181" s="95" t="str">
        <f t="shared" si="28"/>
        <v/>
      </c>
      <c r="AF181" s="150"/>
      <c r="AG181" s="95" t="str">
        <f t="shared" si="29"/>
        <v/>
      </c>
      <c r="AH181" s="150"/>
      <c r="AI181" s="95" t="str">
        <f t="shared" si="30"/>
        <v/>
      </c>
      <c r="AJ181" s="150"/>
      <c r="AK181" s="27" t="str">
        <f t="shared" si="31"/>
        <v/>
      </c>
      <c r="AL181" s="48" t="str">
        <f t="shared" si="32"/>
        <v/>
      </c>
      <c r="AM181" s="48" t="str">
        <f t="shared" si="33"/>
        <v/>
      </c>
      <c r="AN181" s="196"/>
      <c r="AO181" s="196"/>
      <c r="AP181" s="196"/>
      <c r="AQ181" s="196"/>
      <c r="AR181" s="196"/>
      <c r="AS181" s="196"/>
      <c r="AT181" s="196"/>
      <c r="AU181" s="197" t="str">
        <f>IFERROR(VLOOKUP(AT181,'Seguridad Información'!$I$61:$J$65,2,0),"")</f>
        <v/>
      </c>
      <c r="AV181" s="79"/>
      <c r="AW181" s="78" t="str">
        <f t="shared" si="24"/>
        <v/>
      </c>
      <c r="AX181" s="77" t="str">
        <f t="shared" si="34"/>
        <v/>
      </c>
      <c r="AY181" s="21" t="str">
        <f>IFERROR(VLOOKUP((CONCATENATE(AM181,AX181)),Listados!$U$3:$V$11,2,FALSE),"")</f>
        <v/>
      </c>
      <c r="AZ181" s="48">
        <f t="shared" si="35"/>
        <v>100</v>
      </c>
      <c r="BA181" s="430">
        <f>AVERAGE(AZ181:AZ186)</f>
        <v>100</v>
      </c>
      <c r="BB181" s="432" t="str">
        <f>IF(BA181&lt;=50, "Débil", IF(BA181&lt;=99,"Moderado","Fuerte"))</f>
        <v>Fuerte</v>
      </c>
      <c r="BC181" s="169">
        <f>+IF(AND(W181="Preventivo",BB181="Fuerte"),2,IF(AND(W181="Preventivo",BB181="Moderado"),1,0))</f>
        <v>0</v>
      </c>
      <c r="BD181" s="64">
        <f>+IF(AND(W181="Detectivo/Correctivo",$BB181="Fuerte"),2,IF(AND(W181="Detectivo/Correctivo",$BB181="Moderado"),1,IF(AND(W181="Preventivo",$BB181="Fuerte"),1,0)))</f>
        <v>0</v>
      </c>
      <c r="BE181" s="169" t="e">
        <f>+N181-BC181</f>
        <v>#N/A</v>
      </c>
      <c r="BF181" s="169" t="e">
        <f>+P181-BD181</f>
        <v>#N/A</v>
      </c>
      <c r="BG181" s="421" t="e">
        <f>+VLOOKUP(MIN(BE181,BE182,BE183,BE184,BE185,BE186),Listados!$J$18:$K$24,2,TRUE)</f>
        <v>#N/A</v>
      </c>
      <c r="BH181" s="421" t="e">
        <f>+VLOOKUP(MIN(BF181,BF182,BF183,BF184,BF185,BF186),Listados!$J$27:$K$32,2,TRUE)</f>
        <v>#N/A</v>
      </c>
      <c r="BI181" s="421" t="e">
        <f>IF(AND(BG181&lt;&gt;"",BH181&lt;&gt;""),VLOOKUP(BG181&amp;BH181,Listados!$M$3:$N$27,2,FALSE),"")</f>
        <v>#N/A</v>
      </c>
      <c r="BJ181" s="644" t="e">
        <f>+IF($R181="Asumir el riesgo","NA","")</f>
        <v>#N/A</v>
      </c>
      <c r="BK181" s="644" t="e">
        <f>+IF($R181="Asumir el riesgo","NA","")</f>
        <v>#N/A</v>
      </c>
      <c r="BL181" s="644" t="e">
        <f>+IF($R181="Asumir el riesgo","NA","")</f>
        <v>#N/A</v>
      </c>
      <c r="BM181" s="644" t="e">
        <f>+IF($R181="Asumir el riesgo","NA","")</f>
        <v>#N/A</v>
      </c>
    </row>
    <row r="182" spans="1:65" ht="65.099999999999994" customHeight="1" thickBot="1">
      <c r="A182" s="405"/>
      <c r="B182" s="625"/>
      <c r="C182" s="440"/>
      <c r="D182" s="152"/>
      <c r="E182" s="152"/>
      <c r="F182" s="475"/>
      <c r="G182" s="443"/>
      <c r="H182" s="100"/>
      <c r="I182" s="128"/>
      <c r="J182" s="100"/>
      <c r="K182" s="147"/>
      <c r="L182" s="129"/>
      <c r="M182" s="446"/>
      <c r="N182" s="425"/>
      <c r="O182" s="428"/>
      <c r="P182" s="425"/>
      <c r="Q182" s="429"/>
      <c r="R182" s="422"/>
      <c r="S182" s="150"/>
      <c r="T182" s="198"/>
      <c r="U182" s="47" t="s">
        <v>627</v>
      </c>
      <c r="V182" s="172"/>
      <c r="W182" s="172"/>
      <c r="X182" s="172"/>
      <c r="Y182" s="95" t="str">
        <f t="shared" si="25"/>
        <v/>
      </c>
      <c r="Z182" s="172"/>
      <c r="AA182" s="95" t="str">
        <f t="shared" si="26"/>
        <v/>
      </c>
      <c r="AB182" s="150"/>
      <c r="AC182" s="95" t="str">
        <f t="shared" si="27"/>
        <v/>
      </c>
      <c r="AD182" s="150"/>
      <c r="AE182" s="95" t="str">
        <f t="shared" si="28"/>
        <v/>
      </c>
      <c r="AF182" s="150"/>
      <c r="AG182" s="95" t="str">
        <f t="shared" si="29"/>
        <v/>
      </c>
      <c r="AH182" s="150"/>
      <c r="AI182" s="95" t="str">
        <f t="shared" si="30"/>
        <v/>
      </c>
      <c r="AJ182" s="150"/>
      <c r="AK182" s="27" t="str">
        <f t="shared" si="31"/>
        <v/>
      </c>
      <c r="AL182" s="48" t="str">
        <f t="shared" si="32"/>
        <v/>
      </c>
      <c r="AM182" s="48" t="str">
        <f t="shared" si="33"/>
        <v/>
      </c>
      <c r="AN182" s="196"/>
      <c r="AO182" s="196"/>
      <c r="AP182" s="196"/>
      <c r="AQ182" s="196"/>
      <c r="AR182" s="196"/>
      <c r="AS182" s="196"/>
      <c r="AT182" s="196"/>
      <c r="AU182" s="197" t="str">
        <f>IFERROR(VLOOKUP(AT182,'Seguridad Información'!$I$61:$J$65,2,0),"")</f>
        <v/>
      </c>
      <c r="AV182" s="79"/>
      <c r="AW182" s="78" t="str">
        <f t="shared" si="24"/>
        <v/>
      </c>
      <c r="AX182" s="77" t="str">
        <f t="shared" si="34"/>
        <v/>
      </c>
      <c r="AY182" s="21" t="str">
        <f>IFERROR(VLOOKUP((CONCATENATE(AM182,AX182)),Listados!$U$3:$V$11,2,FALSE),"")</f>
        <v/>
      </c>
      <c r="AZ182" s="48">
        <f t="shared" si="35"/>
        <v>100</v>
      </c>
      <c r="BA182" s="431"/>
      <c r="BB182" s="433"/>
      <c r="BC182" s="169">
        <f>+IF(AND(W182="Preventivo",BB181="Fuerte"),2,IF(AND(W182="Preventivo",BB181="Moderado"),1,0))</f>
        <v>0</v>
      </c>
      <c r="BD182" s="64">
        <f>+IF(AND(W182="Detectivo/Correctivo",$BB181="Fuerte"),2,IF(AND(W182="Detectivo/Correctivo",$BB182="Moderado"),1,IF(AND(W182="Preventivo",$BB181="Fuerte"),1,0)))</f>
        <v>0</v>
      </c>
      <c r="BE182" s="169" t="e">
        <f>+N181-BC182</f>
        <v>#N/A</v>
      </c>
      <c r="BF182" s="169" t="e">
        <f>+P181-BD182</f>
        <v>#N/A</v>
      </c>
      <c r="BG182" s="422"/>
      <c r="BH182" s="422"/>
      <c r="BI182" s="422"/>
      <c r="BJ182" s="645"/>
      <c r="BK182" s="645"/>
      <c r="BL182" s="645"/>
      <c r="BM182" s="645"/>
    </row>
    <row r="183" spans="1:65" ht="65.099999999999994" customHeight="1" thickBot="1">
      <c r="A183" s="405"/>
      <c r="B183" s="625"/>
      <c r="C183" s="440"/>
      <c r="D183" s="152"/>
      <c r="E183" s="152"/>
      <c r="F183" s="475"/>
      <c r="G183" s="443"/>
      <c r="H183" s="100"/>
      <c r="I183" s="128"/>
      <c r="J183" s="100"/>
      <c r="K183" s="147"/>
      <c r="L183" s="129"/>
      <c r="M183" s="446"/>
      <c r="N183" s="425"/>
      <c r="O183" s="428"/>
      <c r="P183" s="425"/>
      <c r="Q183" s="429"/>
      <c r="R183" s="422"/>
      <c r="S183" s="150"/>
      <c r="T183" s="96"/>
      <c r="U183" s="47" t="s">
        <v>627</v>
      </c>
      <c r="V183" s="172"/>
      <c r="W183" s="172"/>
      <c r="X183" s="172"/>
      <c r="Y183" s="95" t="str">
        <f t="shared" si="25"/>
        <v/>
      </c>
      <c r="Z183" s="172"/>
      <c r="AA183" s="95" t="str">
        <f t="shared" si="26"/>
        <v/>
      </c>
      <c r="AB183" s="150"/>
      <c r="AC183" s="95" t="str">
        <f t="shared" si="27"/>
        <v/>
      </c>
      <c r="AD183" s="150"/>
      <c r="AE183" s="95" t="str">
        <f t="shared" si="28"/>
        <v/>
      </c>
      <c r="AF183" s="150"/>
      <c r="AG183" s="95" t="str">
        <f t="shared" si="29"/>
        <v/>
      </c>
      <c r="AH183" s="150"/>
      <c r="AI183" s="95" t="str">
        <f t="shared" si="30"/>
        <v/>
      </c>
      <c r="AJ183" s="150"/>
      <c r="AK183" s="27" t="str">
        <f t="shared" si="31"/>
        <v/>
      </c>
      <c r="AL183" s="48" t="str">
        <f t="shared" si="32"/>
        <v/>
      </c>
      <c r="AM183" s="48" t="str">
        <f t="shared" si="33"/>
        <v/>
      </c>
      <c r="AN183" s="196"/>
      <c r="AO183" s="196"/>
      <c r="AP183" s="196"/>
      <c r="AQ183" s="196"/>
      <c r="AR183" s="196"/>
      <c r="AS183" s="196"/>
      <c r="AT183" s="196"/>
      <c r="AU183" s="197" t="str">
        <f>IFERROR(VLOOKUP(AT183,'Seguridad Información'!$I$61:$J$65,2,0),"")</f>
        <v/>
      </c>
      <c r="AV183" s="79"/>
      <c r="AW183" s="78" t="str">
        <f t="shared" si="24"/>
        <v/>
      </c>
      <c r="AX183" s="77" t="str">
        <f t="shared" si="34"/>
        <v/>
      </c>
      <c r="AY183" s="21" t="str">
        <f>IFERROR(VLOOKUP((CONCATENATE(AM183,AX183)),Listados!$U$3:$V$11,2,FALSE),"")</f>
        <v/>
      </c>
      <c r="AZ183" s="48">
        <f t="shared" si="35"/>
        <v>100</v>
      </c>
      <c r="BA183" s="431"/>
      <c r="BB183" s="433"/>
      <c r="BC183" s="169">
        <f>+IF(AND(W183="Preventivo",BB181="Fuerte"),2,IF(AND(W183="Preventivo",BB181="Moderado"),1,0))</f>
        <v>0</v>
      </c>
      <c r="BD183" s="64">
        <f>+IF(AND(W183="Detectivo/Correctivo",$BB181="Fuerte"),2,IF(AND(W183="Detectivo/Correctivo",$BB183="Moderado"),1,IF(AND(W183="Preventivo",$BB181="Fuerte"),1,0)))</f>
        <v>0</v>
      </c>
      <c r="BE183" s="169" t="e">
        <f>+N181-BC183</f>
        <v>#N/A</v>
      </c>
      <c r="BF183" s="169" t="e">
        <f>+P181-BD183</f>
        <v>#N/A</v>
      </c>
      <c r="BG183" s="422"/>
      <c r="BH183" s="422"/>
      <c r="BI183" s="422"/>
      <c r="BJ183" s="645"/>
      <c r="BK183" s="645"/>
      <c r="BL183" s="645"/>
      <c r="BM183" s="645"/>
    </row>
    <row r="184" spans="1:65" ht="65.099999999999994" customHeight="1" thickBot="1">
      <c r="A184" s="405"/>
      <c r="B184" s="625"/>
      <c r="C184" s="440"/>
      <c r="D184" s="152"/>
      <c r="E184" s="152"/>
      <c r="F184" s="475"/>
      <c r="G184" s="443"/>
      <c r="H184" s="100"/>
      <c r="I184" s="128"/>
      <c r="J184" s="100"/>
      <c r="K184" s="147"/>
      <c r="L184" s="129"/>
      <c r="M184" s="446"/>
      <c r="N184" s="425"/>
      <c r="O184" s="428"/>
      <c r="P184" s="425"/>
      <c r="Q184" s="429"/>
      <c r="R184" s="422"/>
      <c r="S184" s="150"/>
      <c r="T184" s="97"/>
      <c r="U184" s="47" t="s">
        <v>627</v>
      </c>
      <c r="V184" s="172"/>
      <c r="W184" s="172"/>
      <c r="X184" s="172"/>
      <c r="Y184" s="95" t="str">
        <f t="shared" si="25"/>
        <v/>
      </c>
      <c r="Z184" s="172"/>
      <c r="AA184" s="95" t="str">
        <f t="shared" si="26"/>
        <v/>
      </c>
      <c r="AB184" s="150"/>
      <c r="AC184" s="95" t="str">
        <f t="shared" si="27"/>
        <v/>
      </c>
      <c r="AD184" s="150"/>
      <c r="AE184" s="95" t="str">
        <f t="shared" si="28"/>
        <v/>
      </c>
      <c r="AF184" s="150"/>
      <c r="AG184" s="95" t="str">
        <f t="shared" si="29"/>
        <v/>
      </c>
      <c r="AH184" s="150"/>
      <c r="AI184" s="95" t="str">
        <f t="shared" si="30"/>
        <v/>
      </c>
      <c r="AJ184" s="150"/>
      <c r="AK184" s="27" t="str">
        <f t="shared" si="31"/>
        <v/>
      </c>
      <c r="AL184" s="48" t="str">
        <f t="shared" si="32"/>
        <v/>
      </c>
      <c r="AM184" s="48" t="str">
        <f t="shared" si="33"/>
        <v/>
      </c>
      <c r="AN184" s="196"/>
      <c r="AO184" s="196"/>
      <c r="AP184" s="196"/>
      <c r="AQ184" s="196"/>
      <c r="AR184" s="196"/>
      <c r="AS184" s="196"/>
      <c r="AT184" s="196"/>
      <c r="AU184" s="197" t="str">
        <f>IFERROR(VLOOKUP(AT184,'Seguridad Información'!$I$61:$J$65,2,0),"")</f>
        <v/>
      </c>
      <c r="AV184" s="79"/>
      <c r="AW184" s="78" t="str">
        <f t="shared" si="24"/>
        <v/>
      </c>
      <c r="AX184" s="77" t="str">
        <f t="shared" si="34"/>
        <v/>
      </c>
      <c r="AY184" s="21" t="str">
        <f>IFERROR(VLOOKUP((CONCATENATE(AM184,AX184)),Listados!$U$3:$V$11,2,FALSE),"")</f>
        <v/>
      </c>
      <c r="AZ184" s="48">
        <f t="shared" si="35"/>
        <v>100</v>
      </c>
      <c r="BA184" s="431"/>
      <c r="BB184" s="433"/>
      <c r="BC184" s="169">
        <f>+IF(AND(W184="Preventivo",BB181="Fuerte"),2,IF(AND(W184="Preventivo",BB181="Moderado"),1,0))</f>
        <v>0</v>
      </c>
      <c r="BD184" s="64">
        <f>+IF(AND(W184="Detectivo/Correctivo",$BB181="Fuerte"),2,IF(AND(W184="Detectivo/Correctivo",$BB184="Moderado"),1,IF(AND(W184="Preventivo",$BB181="Fuerte"),1,0)))</f>
        <v>0</v>
      </c>
      <c r="BE184" s="169" t="e">
        <f>+N181-BC184</f>
        <v>#N/A</v>
      </c>
      <c r="BF184" s="169" t="e">
        <f>+P181-BD184</f>
        <v>#N/A</v>
      </c>
      <c r="BG184" s="422"/>
      <c r="BH184" s="422"/>
      <c r="BI184" s="422"/>
      <c r="BJ184" s="645"/>
      <c r="BK184" s="645"/>
      <c r="BL184" s="645"/>
      <c r="BM184" s="645"/>
    </row>
    <row r="185" spans="1:65" ht="65.099999999999994" customHeight="1" thickBot="1">
      <c r="A185" s="405"/>
      <c r="B185" s="625"/>
      <c r="C185" s="440"/>
      <c r="D185" s="109"/>
      <c r="E185" s="109"/>
      <c r="F185" s="475"/>
      <c r="G185" s="443"/>
      <c r="H185" s="100"/>
      <c r="I185" s="128"/>
      <c r="J185" s="100"/>
      <c r="K185" s="29"/>
      <c r="L185" s="129"/>
      <c r="M185" s="446"/>
      <c r="N185" s="425"/>
      <c r="O185" s="428"/>
      <c r="P185" s="425"/>
      <c r="Q185" s="429"/>
      <c r="R185" s="422"/>
      <c r="S185" s="150"/>
      <c r="T185" s="198"/>
      <c r="U185" s="47" t="s">
        <v>627</v>
      </c>
      <c r="V185" s="172"/>
      <c r="W185" s="172"/>
      <c r="X185" s="172"/>
      <c r="Y185" s="95" t="str">
        <f t="shared" si="25"/>
        <v/>
      </c>
      <c r="Z185" s="172"/>
      <c r="AA185" s="95" t="str">
        <f t="shared" si="26"/>
        <v/>
      </c>
      <c r="AB185" s="150"/>
      <c r="AC185" s="95" t="str">
        <f t="shared" si="27"/>
        <v/>
      </c>
      <c r="AD185" s="150"/>
      <c r="AE185" s="95" t="str">
        <f t="shared" si="28"/>
        <v/>
      </c>
      <c r="AF185" s="150"/>
      <c r="AG185" s="95" t="str">
        <f t="shared" si="29"/>
        <v/>
      </c>
      <c r="AH185" s="150"/>
      <c r="AI185" s="95" t="str">
        <f t="shared" si="30"/>
        <v/>
      </c>
      <c r="AJ185" s="150"/>
      <c r="AK185" s="27" t="str">
        <f t="shared" si="31"/>
        <v/>
      </c>
      <c r="AL185" s="48" t="str">
        <f t="shared" si="32"/>
        <v/>
      </c>
      <c r="AM185" s="48" t="str">
        <f t="shared" si="33"/>
        <v/>
      </c>
      <c r="AN185" s="196"/>
      <c r="AO185" s="196"/>
      <c r="AP185" s="196"/>
      <c r="AQ185" s="196"/>
      <c r="AR185" s="196"/>
      <c r="AS185" s="196"/>
      <c r="AT185" s="196"/>
      <c r="AU185" s="197" t="str">
        <f>IFERROR(VLOOKUP(AT185,'Seguridad Información'!$I$61:$J$65,2,0),"")</f>
        <v/>
      </c>
      <c r="AV185" s="79"/>
      <c r="AW185" s="78" t="str">
        <f t="shared" si="24"/>
        <v/>
      </c>
      <c r="AX185" s="77" t="str">
        <f t="shared" si="34"/>
        <v/>
      </c>
      <c r="AY185" s="21" t="str">
        <f>IFERROR(VLOOKUP((CONCATENATE(AM185,AX185)),Listados!$U$3:$V$11,2,FALSE),"")</f>
        <v/>
      </c>
      <c r="AZ185" s="48">
        <f t="shared" si="35"/>
        <v>100</v>
      </c>
      <c r="BA185" s="431"/>
      <c r="BB185" s="433"/>
      <c r="BC185" s="169">
        <f>+IF(AND(W185="Preventivo",BB181="Fuerte"),2,IF(AND(W185="Preventivo",BB181="Moderado"),1,0))</f>
        <v>0</v>
      </c>
      <c r="BD185" s="64">
        <f>+IF(AND(W185="Detectivo/Correctivo",$BB181="Fuerte"),2,IF(AND(W185="Detectivo/Correctivo",$BB185="Moderado"),1,IF(AND(W185="Preventivo",$BB181="Fuerte"),1,0)))</f>
        <v>0</v>
      </c>
      <c r="BE185" s="169" t="e">
        <f>+N181-BC185</f>
        <v>#N/A</v>
      </c>
      <c r="BF185" s="169" t="e">
        <f>+P181-BD185</f>
        <v>#N/A</v>
      </c>
      <c r="BG185" s="422"/>
      <c r="BH185" s="422"/>
      <c r="BI185" s="422"/>
      <c r="BJ185" s="645"/>
      <c r="BK185" s="645"/>
      <c r="BL185" s="645"/>
      <c r="BM185" s="645"/>
    </row>
    <row r="186" spans="1:65" ht="65.099999999999994" customHeight="1" thickBot="1">
      <c r="A186" s="406"/>
      <c r="B186" s="625"/>
      <c r="C186" s="441"/>
      <c r="D186" s="106"/>
      <c r="E186" s="106"/>
      <c r="F186" s="619"/>
      <c r="G186" s="444"/>
      <c r="H186" s="100"/>
      <c r="I186" s="128"/>
      <c r="J186" s="100"/>
      <c r="K186" s="31"/>
      <c r="L186" s="129"/>
      <c r="M186" s="446"/>
      <c r="N186" s="426"/>
      <c r="O186" s="428"/>
      <c r="P186" s="426"/>
      <c r="Q186" s="429"/>
      <c r="R186" s="423"/>
      <c r="S186" s="150"/>
      <c r="T186" s="98"/>
      <c r="U186" s="47" t="s">
        <v>627</v>
      </c>
      <c r="V186" s="172"/>
      <c r="W186" s="172"/>
      <c r="X186" s="172"/>
      <c r="Y186" s="95" t="str">
        <f t="shared" si="25"/>
        <v/>
      </c>
      <c r="Z186" s="172"/>
      <c r="AA186" s="95" t="str">
        <f t="shared" si="26"/>
        <v/>
      </c>
      <c r="AB186" s="150"/>
      <c r="AC186" s="95" t="str">
        <f t="shared" si="27"/>
        <v/>
      </c>
      <c r="AD186" s="150"/>
      <c r="AE186" s="95" t="str">
        <f t="shared" si="28"/>
        <v/>
      </c>
      <c r="AF186" s="150"/>
      <c r="AG186" s="95" t="str">
        <f t="shared" si="29"/>
        <v/>
      </c>
      <c r="AH186" s="150"/>
      <c r="AI186" s="95" t="str">
        <f t="shared" si="30"/>
        <v/>
      </c>
      <c r="AJ186" s="150"/>
      <c r="AK186" s="27" t="str">
        <f t="shared" si="31"/>
        <v/>
      </c>
      <c r="AL186" s="48" t="str">
        <f t="shared" si="32"/>
        <v/>
      </c>
      <c r="AM186" s="48" t="str">
        <f t="shared" si="33"/>
        <v/>
      </c>
      <c r="AN186" s="196"/>
      <c r="AO186" s="196"/>
      <c r="AP186" s="196"/>
      <c r="AQ186" s="196"/>
      <c r="AR186" s="196"/>
      <c r="AS186" s="196"/>
      <c r="AT186" s="196"/>
      <c r="AU186" s="197" t="str">
        <f>IFERROR(VLOOKUP(AT186,'Seguridad Información'!$I$61:$J$65,2,0),"")</f>
        <v/>
      </c>
      <c r="AV186" s="79"/>
      <c r="AW186" s="78" t="str">
        <f t="shared" si="24"/>
        <v/>
      </c>
      <c r="AX186" s="77" t="str">
        <f t="shared" si="34"/>
        <v/>
      </c>
      <c r="AY186" s="21" t="str">
        <f>IFERROR(VLOOKUP((CONCATENATE(AM186,AX186)),Listados!$U$3:$V$11,2,FALSE),"")</f>
        <v/>
      </c>
      <c r="AZ186" s="48">
        <f t="shared" si="35"/>
        <v>100</v>
      </c>
      <c r="BA186" s="432"/>
      <c r="BB186" s="433"/>
      <c r="BC186" s="169">
        <f>+IF(AND(W186="Preventivo",BB181="Fuerte"),2,IF(AND(W186="Preventivo",BB181="Moderado"),1,0))</f>
        <v>0</v>
      </c>
      <c r="BD186" s="64">
        <f>+IF(AND(W186="Detectivo/Correctivo",$BB181="Fuerte"),2,IF(AND(W186="Detectivo/Correctivo",$BB186="Moderado"),1,IF(AND(W186="Preventivo",$BB181="Fuerte"),1,0)))</f>
        <v>0</v>
      </c>
      <c r="BE186" s="169" t="e">
        <f>+N181-BC186</f>
        <v>#N/A</v>
      </c>
      <c r="BF186" s="169" t="e">
        <f>+P181-BD186</f>
        <v>#N/A</v>
      </c>
      <c r="BG186" s="423"/>
      <c r="BH186" s="423"/>
      <c r="BI186" s="423"/>
      <c r="BJ186" s="646"/>
      <c r="BK186" s="646"/>
      <c r="BL186" s="646"/>
      <c r="BM186" s="646"/>
    </row>
    <row r="187" spans="1:65" ht="65.099999999999994" customHeight="1" thickBot="1">
      <c r="A187" s="404">
        <v>31</v>
      </c>
      <c r="B187" s="628"/>
      <c r="C187" s="447" t="str">
        <f>IFERROR(VLOOKUP(B187,Listados!B$3:C$20,2,FALSE),"")</f>
        <v/>
      </c>
      <c r="D187" s="107"/>
      <c r="E187" s="107"/>
      <c r="F187" s="618"/>
      <c r="G187" s="448"/>
      <c r="H187" s="100"/>
      <c r="I187" s="128"/>
      <c r="J187" s="100"/>
      <c r="K187" s="103"/>
      <c r="L187" s="17"/>
      <c r="M187" s="445"/>
      <c r="N187" s="424" t="e">
        <f>+VLOOKUP(M187,Listados!$K$8:$L$12,2,0)</f>
        <v>#N/A</v>
      </c>
      <c r="O187" s="427"/>
      <c r="P187" s="424" t="e">
        <f>+VLOOKUP(O187,Listados!$K$13:$L$17,2,0)</f>
        <v>#N/A</v>
      </c>
      <c r="Q187" s="423" t="str">
        <f>IF(AND(M187&lt;&gt;"",O187&lt;&gt;""),VLOOKUP(M187&amp;O187,Listados!$M$3:$N$27,2,FALSE),"")</f>
        <v/>
      </c>
      <c r="R187" s="421" t="e">
        <f>+VLOOKUP(Q187,Listados!$P$3:$Q$6,2,FALSE)</f>
        <v>#N/A</v>
      </c>
      <c r="S187" s="150"/>
      <c r="T187" s="94"/>
      <c r="U187" s="47" t="s">
        <v>627</v>
      </c>
      <c r="V187" s="172"/>
      <c r="W187" s="172"/>
      <c r="X187" s="172"/>
      <c r="Y187" s="95" t="str">
        <f t="shared" si="25"/>
        <v/>
      </c>
      <c r="Z187" s="172"/>
      <c r="AA187" s="95" t="str">
        <f t="shared" si="26"/>
        <v/>
      </c>
      <c r="AB187" s="150"/>
      <c r="AC187" s="95" t="str">
        <f t="shared" si="27"/>
        <v/>
      </c>
      <c r="AD187" s="150"/>
      <c r="AE187" s="95" t="str">
        <f t="shared" si="28"/>
        <v/>
      </c>
      <c r="AF187" s="150"/>
      <c r="AG187" s="95" t="str">
        <f t="shared" si="29"/>
        <v/>
      </c>
      <c r="AH187" s="150"/>
      <c r="AI187" s="95" t="str">
        <f t="shared" si="30"/>
        <v/>
      </c>
      <c r="AJ187" s="150"/>
      <c r="AK187" s="27" t="str">
        <f t="shared" si="31"/>
        <v/>
      </c>
      <c r="AL187" s="48" t="str">
        <f t="shared" si="32"/>
        <v/>
      </c>
      <c r="AM187" s="48" t="str">
        <f t="shared" si="33"/>
        <v/>
      </c>
      <c r="AN187" s="196"/>
      <c r="AO187" s="196"/>
      <c r="AP187" s="196"/>
      <c r="AQ187" s="196"/>
      <c r="AR187" s="196"/>
      <c r="AS187" s="196"/>
      <c r="AT187" s="196"/>
      <c r="AU187" s="197" t="str">
        <f>IFERROR(VLOOKUP(AT187,'Seguridad Información'!$I$61:$J$65,2,0),"")</f>
        <v/>
      </c>
      <c r="AV187" s="79"/>
      <c r="AW187" s="78" t="str">
        <f t="shared" si="24"/>
        <v/>
      </c>
      <c r="AX187" s="77" t="str">
        <f t="shared" si="34"/>
        <v/>
      </c>
      <c r="AY187" s="21" t="str">
        <f>IFERROR(VLOOKUP((CONCATENATE(AM187,AX187)),Listados!$U$3:$V$11,2,FALSE),"")</f>
        <v/>
      </c>
      <c r="AZ187" s="48">
        <f t="shared" si="35"/>
        <v>100</v>
      </c>
      <c r="BA187" s="430">
        <f>AVERAGE(AZ187:AZ192)</f>
        <v>100</v>
      </c>
      <c r="BB187" s="432" t="str">
        <f>IF(BA187&lt;=50, "Débil", IF(BA187&lt;=99,"Moderado","Fuerte"))</f>
        <v>Fuerte</v>
      </c>
      <c r="BC187" s="169">
        <f>+IF(AND(W187="Preventivo",BB187="Fuerte"),2,IF(AND(W187="Preventivo",BB187="Moderado"),1,0))</f>
        <v>0</v>
      </c>
      <c r="BD187" s="64">
        <f>+IF(AND(W187="Detectivo/Correctivo",$BB187="Fuerte"),2,IF(AND(W187="Detectivo/Correctivo",$BB187="Moderado"),1,IF(AND(W187="Preventivo",$BB187="Fuerte"),1,0)))</f>
        <v>0</v>
      </c>
      <c r="BE187" s="169" t="e">
        <f>+N187-BC187</f>
        <v>#N/A</v>
      </c>
      <c r="BF187" s="169" t="e">
        <f>+P187-BD187</f>
        <v>#N/A</v>
      </c>
      <c r="BG187" s="421" t="e">
        <f>+VLOOKUP(MIN(BE187,BE188,BE189,BE190,BE191,BE192),Listados!$J$18:$K$24,2,TRUE)</f>
        <v>#N/A</v>
      </c>
      <c r="BH187" s="421" t="e">
        <f>+VLOOKUP(MIN(BF187,BF188,BF189,BF190,BF191,BF192),Listados!$J$27:$K$32,2,TRUE)</f>
        <v>#N/A</v>
      </c>
      <c r="BI187" s="421" t="e">
        <f>IF(AND(BG187&lt;&gt;"",BH187&lt;&gt;""),VLOOKUP(BG187&amp;BH187,Listados!$M$3:$N$27,2,FALSE),"")</f>
        <v>#N/A</v>
      </c>
      <c r="BJ187" s="644" t="e">
        <f>+IF($R187="Asumir el riesgo","NA","")</f>
        <v>#N/A</v>
      </c>
      <c r="BK187" s="644" t="e">
        <f>+IF($R187="Asumir el riesgo","NA","")</f>
        <v>#N/A</v>
      </c>
      <c r="BL187" s="644" t="e">
        <f>+IF($R187="Asumir el riesgo","NA","")</f>
        <v>#N/A</v>
      </c>
      <c r="BM187" s="644" t="e">
        <f>+IF($R187="Asumir el riesgo","NA","")</f>
        <v>#N/A</v>
      </c>
    </row>
    <row r="188" spans="1:65" ht="65.099999999999994" customHeight="1" thickBot="1">
      <c r="A188" s="405"/>
      <c r="B188" s="625"/>
      <c r="C188" s="440"/>
      <c r="D188" s="152"/>
      <c r="E188" s="152"/>
      <c r="F188" s="475"/>
      <c r="G188" s="443"/>
      <c r="H188" s="100"/>
      <c r="I188" s="128"/>
      <c r="J188" s="100"/>
      <c r="K188" s="147"/>
      <c r="L188" s="129"/>
      <c r="M188" s="446"/>
      <c r="N188" s="425"/>
      <c r="O188" s="428"/>
      <c r="P188" s="425"/>
      <c r="Q188" s="429"/>
      <c r="R188" s="422"/>
      <c r="S188" s="150"/>
      <c r="T188" s="198"/>
      <c r="U188" s="47" t="s">
        <v>627</v>
      </c>
      <c r="V188" s="172"/>
      <c r="W188" s="172"/>
      <c r="X188" s="172"/>
      <c r="Y188" s="95" t="str">
        <f t="shared" si="25"/>
        <v/>
      </c>
      <c r="Z188" s="172"/>
      <c r="AA188" s="95" t="str">
        <f t="shared" si="26"/>
        <v/>
      </c>
      <c r="AB188" s="150"/>
      <c r="AC188" s="95" t="str">
        <f t="shared" si="27"/>
        <v/>
      </c>
      <c r="AD188" s="150"/>
      <c r="AE188" s="95" t="str">
        <f t="shared" si="28"/>
        <v/>
      </c>
      <c r="AF188" s="150"/>
      <c r="AG188" s="95" t="str">
        <f t="shared" si="29"/>
        <v/>
      </c>
      <c r="AH188" s="150"/>
      <c r="AI188" s="95" t="str">
        <f t="shared" si="30"/>
        <v/>
      </c>
      <c r="AJ188" s="150"/>
      <c r="AK188" s="27" t="str">
        <f t="shared" si="31"/>
        <v/>
      </c>
      <c r="AL188" s="48" t="str">
        <f t="shared" si="32"/>
        <v/>
      </c>
      <c r="AM188" s="48" t="str">
        <f t="shared" si="33"/>
        <v/>
      </c>
      <c r="AN188" s="196"/>
      <c r="AO188" s="196"/>
      <c r="AP188" s="196"/>
      <c r="AQ188" s="196"/>
      <c r="AR188" s="196"/>
      <c r="AS188" s="196"/>
      <c r="AT188" s="196"/>
      <c r="AU188" s="197" t="str">
        <f>IFERROR(VLOOKUP(AT188,'Seguridad Información'!$I$61:$J$65,2,0),"")</f>
        <v/>
      </c>
      <c r="AV188" s="79"/>
      <c r="AW188" s="78" t="str">
        <f t="shared" si="24"/>
        <v/>
      </c>
      <c r="AX188" s="77" t="str">
        <f t="shared" si="34"/>
        <v/>
      </c>
      <c r="AY188" s="21" t="str">
        <f>IFERROR(VLOOKUP((CONCATENATE(AM188,AX188)),Listados!$U$3:$V$11,2,FALSE),"")</f>
        <v/>
      </c>
      <c r="AZ188" s="48">
        <f t="shared" si="35"/>
        <v>100</v>
      </c>
      <c r="BA188" s="431"/>
      <c r="BB188" s="433"/>
      <c r="BC188" s="169">
        <f>+IF(AND(W188="Preventivo",BB187="Fuerte"),2,IF(AND(W188="Preventivo",BB187="Moderado"),1,0))</f>
        <v>0</v>
      </c>
      <c r="BD188" s="64">
        <f>+IF(AND(W188="Detectivo/Correctivo",$BB187="Fuerte"),2,IF(AND(W188="Detectivo/Correctivo",$BB188="Moderado"),1,IF(AND(W188="Preventivo",$BB187="Fuerte"),1,0)))</f>
        <v>0</v>
      </c>
      <c r="BE188" s="169" t="e">
        <f>+N187-BC188</f>
        <v>#N/A</v>
      </c>
      <c r="BF188" s="169" t="e">
        <f>+P187-BD188</f>
        <v>#N/A</v>
      </c>
      <c r="BG188" s="422"/>
      <c r="BH188" s="422"/>
      <c r="BI188" s="422"/>
      <c r="BJ188" s="645"/>
      <c r="BK188" s="645"/>
      <c r="BL188" s="645"/>
      <c r="BM188" s="645"/>
    </row>
    <row r="189" spans="1:65" ht="65.099999999999994" customHeight="1" thickBot="1">
      <c r="A189" s="405"/>
      <c r="B189" s="625"/>
      <c r="C189" s="440"/>
      <c r="D189" s="152"/>
      <c r="E189" s="152"/>
      <c r="F189" s="475"/>
      <c r="G189" s="443"/>
      <c r="H189" s="100"/>
      <c r="I189" s="128"/>
      <c r="J189" s="100"/>
      <c r="K189" s="147"/>
      <c r="L189" s="129"/>
      <c r="M189" s="446"/>
      <c r="N189" s="425"/>
      <c r="O189" s="428"/>
      <c r="P189" s="425"/>
      <c r="Q189" s="429"/>
      <c r="R189" s="422"/>
      <c r="S189" s="150"/>
      <c r="T189" s="96"/>
      <c r="U189" s="47" t="s">
        <v>627</v>
      </c>
      <c r="V189" s="172"/>
      <c r="W189" s="172"/>
      <c r="X189" s="172"/>
      <c r="Y189" s="95" t="str">
        <f t="shared" si="25"/>
        <v/>
      </c>
      <c r="Z189" s="172"/>
      <c r="AA189" s="95" t="str">
        <f t="shared" si="26"/>
        <v/>
      </c>
      <c r="AB189" s="150"/>
      <c r="AC189" s="95" t="str">
        <f t="shared" si="27"/>
        <v/>
      </c>
      <c r="AD189" s="150"/>
      <c r="AE189" s="95" t="str">
        <f t="shared" si="28"/>
        <v/>
      </c>
      <c r="AF189" s="150"/>
      <c r="AG189" s="95" t="str">
        <f t="shared" si="29"/>
        <v/>
      </c>
      <c r="AH189" s="150"/>
      <c r="AI189" s="95" t="str">
        <f t="shared" si="30"/>
        <v/>
      </c>
      <c r="AJ189" s="150"/>
      <c r="AK189" s="27" t="str">
        <f t="shared" si="31"/>
        <v/>
      </c>
      <c r="AL189" s="48" t="str">
        <f t="shared" si="32"/>
        <v/>
      </c>
      <c r="AM189" s="48" t="str">
        <f t="shared" si="33"/>
        <v/>
      </c>
      <c r="AN189" s="196"/>
      <c r="AO189" s="196"/>
      <c r="AP189" s="196"/>
      <c r="AQ189" s="196"/>
      <c r="AR189" s="196"/>
      <c r="AS189" s="196"/>
      <c r="AT189" s="196"/>
      <c r="AU189" s="197" t="str">
        <f>IFERROR(VLOOKUP(AT189,'Seguridad Información'!$I$61:$J$65,2,0),"")</f>
        <v/>
      </c>
      <c r="AV189" s="79"/>
      <c r="AW189" s="78" t="str">
        <f t="shared" si="24"/>
        <v/>
      </c>
      <c r="AX189" s="77" t="str">
        <f t="shared" si="34"/>
        <v/>
      </c>
      <c r="AY189" s="21" t="str">
        <f>IFERROR(VLOOKUP((CONCATENATE(AM189,AX189)),Listados!$U$3:$V$11,2,FALSE),"")</f>
        <v/>
      </c>
      <c r="AZ189" s="48">
        <f t="shared" si="35"/>
        <v>100</v>
      </c>
      <c r="BA189" s="431"/>
      <c r="BB189" s="433"/>
      <c r="BC189" s="169">
        <f>+IF(AND(W189="Preventivo",BB187="Fuerte"),2,IF(AND(W189="Preventivo",BB187="Moderado"),1,0))</f>
        <v>0</v>
      </c>
      <c r="BD189" s="64">
        <f>+IF(AND(W189="Detectivo/Correctivo",$BB187="Fuerte"),2,IF(AND(W189="Detectivo/Correctivo",$BB189="Moderado"),1,IF(AND(W189="Preventivo",$BB187="Fuerte"),1,0)))</f>
        <v>0</v>
      </c>
      <c r="BE189" s="169" t="e">
        <f>+N187-BC189</f>
        <v>#N/A</v>
      </c>
      <c r="BF189" s="169" t="e">
        <f>+P187-BD189</f>
        <v>#N/A</v>
      </c>
      <c r="BG189" s="422"/>
      <c r="BH189" s="422"/>
      <c r="BI189" s="422"/>
      <c r="BJ189" s="645"/>
      <c r="BK189" s="645"/>
      <c r="BL189" s="645"/>
      <c r="BM189" s="645"/>
    </row>
    <row r="190" spans="1:65" ht="65.099999999999994" customHeight="1" thickBot="1">
      <c r="A190" s="405"/>
      <c r="B190" s="625"/>
      <c r="C190" s="440"/>
      <c r="D190" s="152"/>
      <c r="E190" s="152"/>
      <c r="F190" s="475"/>
      <c r="G190" s="443"/>
      <c r="H190" s="100"/>
      <c r="I190" s="128"/>
      <c r="J190" s="100"/>
      <c r="K190" s="147"/>
      <c r="L190" s="129"/>
      <c r="M190" s="446"/>
      <c r="N190" s="425"/>
      <c r="O190" s="428"/>
      <c r="P190" s="425"/>
      <c r="Q190" s="429"/>
      <c r="R190" s="422"/>
      <c r="S190" s="150"/>
      <c r="T190" s="97"/>
      <c r="U190" s="47" t="s">
        <v>627</v>
      </c>
      <c r="V190" s="172"/>
      <c r="W190" s="172"/>
      <c r="X190" s="172"/>
      <c r="Y190" s="95" t="str">
        <f t="shared" si="25"/>
        <v/>
      </c>
      <c r="Z190" s="172"/>
      <c r="AA190" s="95" t="str">
        <f t="shared" si="26"/>
        <v/>
      </c>
      <c r="AB190" s="150"/>
      <c r="AC190" s="95" t="str">
        <f t="shared" si="27"/>
        <v/>
      </c>
      <c r="AD190" s="150"/>
      <c r="AE190" s="95" t="str">
        <f t="shared" si="28"/>
        <v/>
      </c>
      <c r="AF190" s="150"/>
      <c r="AG190" s="95" t="str">
        <f t="shared" si="29"/>
        <v/>
      </c>
      <c r="AH190" s="150"/>
      <c r="AI190" s="95" t="str">
        <f t="shared" si="30"/>
        <v/>
      </c>
      <c r="AJ190" s="150"/>
      <c r="AK190" s="27" t="str">
        <f t="shared" si="31"/>
        <v/>
      </c>
      <c r="AL190" s="48" t="str">
        <f t="shared" si="32"/>
        <v/>
      </c>
      <c r="AM190" s="48" t="str">
        <f t="shared" si="33"/>
        <v/>
      </c>
      <c r="AN190" s="196"/>
      <c r="AO190" s="196"/>
      <c r="AP190" s="196"/>
      <c r="AQ190" s="196"/>
      <c r="AR190" s="196"/>
      <c r="AS190" s="196"/>
      <c r="AT190" s="196"/>
      <c r="AU190" s="197" t="str">
        <f>IFERROR(VLOOKUP(AT190,'Seguridad Información'!$I$61:$J$65,2,0),"")</f>
        <v/>
      </c>
      <c r="AV190" s="79"/>
      <c r="AW190" s="78" t="str">
        <f t="shared" si="24"/>
        <v/>
      </c>
      <c r="AX190" s="77" t="str">
        <f t="shared" si="34"/>
        <v/>
      </c>
      <c r="AY190" s="21" t="str">
        <f>IFERROR(VLOOKUP((CONCATENATE(AM190,AX190)),Listados!$U$3:$V$11,2,FALSE),"")</f>
        <v/>
      </c>
      <c r="AZ190" s="48">
        <f t="shared" si="35"/>
        <v>100</v>
      </c>
      <c r="BA190" s="431"/>
      <c r="BB190" s="433"/>
      <c r="BC190" s="169">
        <f>+IF(AND(W190="Preventivo",BB187="Fuerte"),2,IF(AND(W190="Preventivo",BB187="Moderado"),1,0))</f>
        <v>0</v>
      </c>
      <c r="BD190" s="64">
        <f>+IF(AND(W190="Detectivo/Correctivo",$BB187="Fuerte"),2,IF(AND(W190="Detectivo/Correctivo",$BB190="Moderado"),1,IF(AND(W190="Preventivo",$BB187="Fuerte"),1,0)))</f>
        <v>0</v>
      </c>
      <c r="BE190" s="169" t="e">
        <f>+N187-BC190</f>
        <v>#N/A</v>
      </c>
      <c r="BF190" s="169" t="e">
        <f>+P187-BD190</f>
        <v>#N/A</v>
      </c>
      <c r="BG190" s="422"/>
      <c r="BH190" s="422"/>
      <c r="BI190" s="422"/>
      <c r="BJ190" s="645"/>
      <c r="BK190" s="645"/>
      <c r="BL190" s="645"/>
      <c r="BM190" s="645"/>
    </row>
    <row r="191" spans="1:65" ht="65.099999999999994" customHeight="1" thickBot="1">
      <c r="A191" s="405"/>
      <c r="B191" s="625"/>
      <c r="C191" s="440"/>
      <c r="D191" s="109"/>
      <c r="E191" s="109"/>
      <c r="F191" s="475"/>
      <c r="G191" s="443"/>
      <c r="H191" s="100"/>
      <c r="I191" s="128"/>
      <c r="J191" s="100"/>
      <c r="K191" s="29"/>
      <c r="L191" s="129"/>
      <c r="M191" s="446"/>
      <c r="N191" s="425"/>
      <c r="O191" s="428"/>
      <c r="P191" s="425"/>
      <c r="Q191" s="429"/>
      <c r="R191" s="422"/>
      <c r="S191" s="150"/>
      <c r="T191" s="198"/>
      <c r="U191" s="47" t="s">
        <v>627</v>
      </c>
      <c r="V191" s="172"/>
      <c r="W191" s="172"/>
      <c r="X191" s="172"/>
      <c r="Y191" s="95" t="str">
        <f t="shared" si="25"/>
        <v/>
      </c>
      <c r="Z191" s="172"/>
      <c r="AA191" s="95" t="str">
        <f t="shared" si="26"/>
        <v/>
      </c>
      <c r="AB191" s="150"/>
      <c r="AC191" s="95" t="str">
        <f t="shared" si="27"/>
        <v/>
      </c>
      <c r="AD191" s="150"/>
      <c r="AE191" s="95" t="str">
        <f t="shared" si="28"/>
        <v/>
      </c>
      <c r="AF191" s="150"/>
      <c r="AG191" s="95" t="str">
        <f t="shared" si="29"/>
        <v/>
      </c>
      <c r="AH191" s="150"/>
      <c r="AI191" s="95" t="str">
        <f t="shared" si="30"/>
        <v/>
      </c>
      <c r="AJ191" s="150"/>
      <c r="AK191" s="27" t="str">
        <f t="shared" si="31"/>
        <v/>
      </c>
      <c r="AL191" s="48" t="str">
        <f t="shared" si="32"/>
        <v/>
      </c>
      <c r="AM191" s="48" t="str">
        <f t="shared" si="33"/>
        <v/>
      </c>
      <c r="AN191" s="196"/>
      <c r="AO191" s="196"/>
      <c r="AP191" s="196"/>
      <c r="AQ191" s="196"/>
      <c r="AR191" s="196"/>
      <c r="AS191" s="196"/>
      <c r="AT191" s="196"/>
      <c r="AU191" s="197" t="str">
        <f>IFERROR(VLOOKUP(AT191,'Seguridad Información'!$I$61:$J$65,2,0),"")</f>
        <v/>
      </c>
      <c r="AV191" s="79"/>
      <c r="AW191" s="78" t="str">
        <f t="shared" si="24"/>
        <v/>
      </c>
      <c r="AX191" s="77" t="str">
        <f t="shared" si="34"/>
        <v/>
      </c>
      <c r="AY191" s="21" t="str">
        <f>IFERROR(VLOOKUP((CONCATENATE(AM191,AX191)),Listados!$U$3:$V$11,2,FALSE),"")</f>
        <v/>
      </c>
      <c r="AZ191" s="48">
        <f t="shared" si="35"/>
        <v>100</v>
      </c>
      <c r="BA191" s="431"/>
      <c r="BB191" s="433"/>
      <c r="BC191" s="169">
        <f>+IF(AND(W191="Preventivo",BB187="Fuerte"),2,IF(AND(W191="Preventivo",BB187="Moderado"),1,0))</f>
        <v>0</v>
      </c>
      <c r="BD191" s="64">
        <f>+IF(AND(W191="Detectivo/Correctivo",$BB187="Fuerte"),2,IF(AND(W191="Detectivo/Correctivo",$BB191="Moderado"),1,IF(AND(W191="Preventivo",$BB187="Fuerte"),1,0)))</f>
        <v>0</v>
      </c>
      <c r="BE191" s="169" t="e">
        <f>+N187-BC191</f>
        <v>#N/A</v>
      </c>
      <c r="BF191" s="169" t="e">
        <f>+P187-BD191</f>
        <v>#N/A</v>
      </c>
      <c r="BG191" s="422"/>
      <c r="BH191" s="422"/>
      <c r="BI191" s="422"/>
      <c r="BJ191" s="645"/>
      <c r="BK191" s="645"/>
      <c r="BL191" s="645"/>
      <c r="BM191" s="645"/>
    </row>
    <row r="192" spans="1:65" ht="65.099999999999994" customHeight="1" thickBot="1">
      <c r="A192" s="406"/>
      <c r="B192" s="625"/>
      <c r="C192" s="441"/>
      <c r="D192" s="106"/>
      <c r="E192" s="106"/>
      <c r="F192" s="619"/>
      <c r="G192" s="444"/>
      <c r="H192" s="100"/>
      <c r="I192" s="128"/>
      <c r="J192" s="100"/>
      <c r="K192" s="31"/>
      <c r="L192" s="129"/>
      <c r="M192" s="446"/>
      <c r="N192" s="426"/>
      <c r="O192" s="428"/>
      <c r="P192" s="426"/>
      <c r="Q192" s="429"/>
      <c r="R192" s="423"/>
      <c r="S192" s="150"/>
      <c r="T192" s="98"/>
      <c r="U192" s="47" t="s">
        <v>627</v>
      </c>
      <c r="V192" s="172"/>
      <c r="W192" s="172"/>
      <c r="X192" s="172"/>
      <c r="Y192" s="95" t="str">
        <f t="shared" si="25"/>
        <v/>
      </c>
      <c r="Z192" s="172"/>
      <c r="AA192" s="95" t="str">
        <f t="shared" si="26"/>
        <v/>
      </c>
      <c r="AB192" s="150"/>
      <c r="AC192" s="95" t="str">
        <f t="shared" si="27"/>
        <v/>
      </c>
      <c r="AD192" s="150"/>
      <c r="AE192" s="95" t="str">
        <f t="shared" si="28"/>
        <v/>
      </c>
      <c r="AF192" s="150"/>
      <c r="AG192" s="95" t="str">
        <f t="shared" si="29"/>
        <v/>
      </c>
      <c r="AH192" s="150"/>
      <c r="AI192" s="95" t="str">
        <f t="shared" si="30"/>
        <v/>
      </c>
      <c r="AJ192" s="150"/>
      <c r="AK192" s="27" t="str">
        <f t="shared" si="31"/>
        <v/>
      </c>
      <c r="AL192" s="48" t="str">
        <f t="shared" si="32"/>
        <v/>
      </c>
      <c r="AM192" s="48" t="str">
        <f t="shared" si="33"/>
        <v/>
      </c>
      <c r="AN192" s="196"/>
      <c r="AO192" s="196"/>
      <c r="AP192" s="196"/>
      <c r="AQ192" s="196"/>
      <c r="AR192" s="196"/>
      <c r="AS192" s="196"/>
      <c r="AT192" s="196"/>
      <c r="AU192" s="197" t="str">
        <f>IFERROR(VLOOKUP(AT192,'Seguridad Información'!$I$61:$J$65,2,0),"")</f>
        <v/>
      </c>
      <c r="AV192" s="79"/>
      <c r="AW192" s="78" t="str">
        <f t="shared" si="24"/>
        <v/>
      </c>
      <c r="AX192" s="77" t="str">
        <f t="shared" si="34"/>
        <v/>
      </c>
      <c r="AY192" s="21" t="str">
        <f>IFERROR(VLOOKUP((CONCATENATE(AM192,AX192)),Listados!$U$3:$V$11,2,FALSE),"")</f>
        <v/>
      </c>
      <c r="AZ192" s="48">
        <f t="shared" si="35"/>
        <v>100</v>
      </c>
      <c r="BA192" s="432"/>
      <c r="BB192" s="433"/>
      <c r="BC192" s="169">
        <f>+IF(AND(W192="Preventivo",BB187="Fuerte"),2,IF(AND(W192="Preventivo",BB187="Moderado"),1,0))</f>
        <v>0</v>
      </c>
      <c r="BD192" s="64">
        <f>+IF(AND(W192="Detectivo/Correctivo",$BB187="Fuerte"),2,IF(AND(W192="Detectivo/Correctivo",$BB192="Moderado"),1,IF(AND(W192="Preventivo",$BB187="Fuerte"),1,0)))</f>
        <v>0</v>
      </c>
      <c r="BE192" s="169" t="e">
        <f>+N187-BC192</f>
        <v>#N/A</v>
      </c>
      <c r="BF192" s="169" t="e">
        <f>+P187-BD192</f>
        <v>#N/A</v>
      </c>
      <c r="BG192" s="423"/>
      <c r="BH192" s="423"/>
      <c r="BI192" s="423"/>
      <c r="BJ192" s="646"/>
      <c r="BK192" s="646"/>
      <c r="BL192" s="646"/>
      <c r="BM192" s="646"/>
    </row>
    <row r="193" spans="1:65" ht="65.099999999999994" customHeight="1" thickBot="1">
      <c r="A193" s="404">
        <v>32</v>
      </c>
      <c r="B193" s="628"/>
      <c r="C193" s="447" t="str">
        <f>IFERROR(VLOOKUP(B193,Listados!B$3:C$20,2,FALSE),"")</f>
        <v/>
      </c>
      <c r="D193" s="107"/>
      <c r="E193" s="107"/>
      <c r="F193" s="618"/>
      <c r="G193" s="448"/>
      <c r="H193" s="100"/>
      <c r="I193" s="128"/>
      <c r="J193" s="100"/>
      <c r="K193" s="103"/>
      <c r="L193" s="17"/>
      <c r="M193" s="445"/>
      <c r="N193" s="424" t="e">
        <f>+VLOOKUP(M193,Listados!$K$8:$L$12,2,0)</f>
        <v>#N/A</v>
      </c>
      <c r="O193" s="427"/>
      <c r="P193" s="424" t="e">
        <f>+VLOOKUP(O193,Listados!$K$13:$L$17,2,0)</f>
        <v>#N/A</v>
      </c>
      <c r="Q193" s="423" t="str">
        <f>IF(AND(M193&lt;&gt;"",O193&lt;&gt;""),VLOOKUP(M193&amp;O193,Listados!$M$3:$N$27,2,FALSE),"")</f>
        <v/>
      </c>
      <c r="R193" s="421" t="e">
        <f>+VLOOKUP(Q193,Listados!$P$3:$Q$6,2,FALSE)</f>
        <v>#N/A</v>
      </c>
      <c r="S193" s="150"/>
      <c r="T193" s="94"/>
      <c r="U193" s="47" t="s">
        <v>627</v>
      </c>
      <c r="V193" s="172"/>
      <c r="W193" s="172"/>
      <c r="X193" s="172"/>
      <c r="Y193" s="95" t="str">
        <f t="shared" si="25"/>
        <v/>
      </c>
      <c r="Z193" s="172"/>
      <c r="AA193" s="95" t="str">
        <f t="shared" si="26"/>
        <v/>
      </c>
      <c r="AB193" s="150"/>
      <c r="AC193" s="95" t="str">
        <f t="shared" si="27"/>
        <v/>
      </c>
      <c r="AD193" s="150"/>
      <c r="AE193" s="95" t="str">
        <f t="shared" si="28"/>
        <v/>
      </c>
      <c r="AF193" s="150"/>
      <c r="AG193" s="95" t="str">
        <f t="shared" si="29"/>
        <v/>
      </c>
      <c r="AH193" s="150"/>
      <c r="AI193" s="95" t="str">
        <f t="shared" si="30"/>
        <v/>
      </c>
      <c r="AJ193" s="150"/>
      <c r="AK193" s="27" t="str">
        <f t="shared" si="31"/>
        <v/>
      </c>
      <c r="AL193" s="48" t="str">
        <f t="shared" si="32"/>
        <v/>
      </c>
      <c r="AM193" s="48" t="str">
        <f t="shared" si="33"/>
        <v/>
      </c>
      <c r="AN193" s="196"/>
      <c r="AO193" s="196"/>
      <c r="AP193" s="196"/>
      <c r="AQ193" s="196"/>
      <c r="AR193" s="196"/>
      <c r="AS193" s="196"/>
      <c r="AT193" s="196"/>
      <c r="AU193" s="197" t="str">
        <f>IFERROR(VLOOKUP(AT193,'Seguridad Información'!$I$61:$J$65,2,0),"")</f>
        <v/>
      </c>
      <c r="AV193" s="79"/>
      <c r="AW193" s="78" t="str">
        <f t="shared" si="24"/>
        <v/>
      </c>
      <c r="AX193" s="77" t="str">
        <f t="shared" si="34"/>
        <v/>
      </c>
      <c r="AY193" s="21" t="str">
        <f>IFERROR(VLOOKUP((CONCATENATE(AM193,AX193)),Listados!$U$3:$V$11,2,FALSE),"")</f>
        <v/>
      </c>
      <c r="AZ193" s="48">
        <f t="shared" si="35"/>
        <v>100</v>
      </c>
      <c r="BA193" s="430">
        <f>AVERAGE(AZ193:AZ198)</f>
        <v>100</v>
      </c>
      <c r="BB193" s="432" t="str">
        <f>IF(BA193&lt;=50, "Débil", IF(BA193&lt;=99,"Moderado","Fuerte"))</f>
        <v>Fuerte</v>
      </c>
      <c r="BC193" s="169">
        <f>+IF(AND(W193="Preventivo",BB193="Fuerte"),2,IF(AND(W193="Preventivo",BB193="Moderado"),1,0))</f>
        <v>0</v>
      </c>
      <c r="BD193" s="64">
        <f>+IF(AND(W193="Detectivo/Correctivo",$BB193="Fuerte"),2,IF(AND(W193="Detectivo/Correctivo",$BB193="Moderado"),1,IF(AND(W193="Preventivo",$BB193="Fuerte"),1,0)))</f>
        <v>0</v>
      </c>
      <c r="BE193" s="169" t="e">
        <f>+N193-BC193</f>
        <v>#N/A</v>
      </c>
      <c r="BF193" s="169" t="e">
        <f>+P193-BD193</f>
        <v>#N/A</v>
      </c>
      <c r="BG193" s="421" t="e">
        <f>+VLOOKUP(MIN(BE193,BE194,BE195,BE196,BE197,BE198),Listados!$J$18:$K$24,2,TRUE)</f>
        <v>#N/A</v>
      </c>
      <c r="BH193" s="421" t="e">
        <f>+VLOOKUP(MIN(BF193,BF194,BF195,BF196,BF197,BF198),Listados!$J$27:$K$32,2,TRUE)</f>
        <v>#N/A</v>
      </c>
      <c r="BI193" s="421" t="e">
        <f>IF(AND(BG193&lt;&gt;"",BH193&lt;&gt;""),VLOOKUP(BG193&amp;BH193,Listados!$M$3:$N$27,2,FALSE),"")</f>
        <v>#N/A</v>
      </c>
      <c r="BJ193" s="644" t="e">
        <f>+IF($R193="Asumir el riesgo","NA","")</f>
        <v>#N/A</v>
      </c>
      <c r="BK193" s="644" t="e">
        <f>+IF($R193="Asumir el riesgo","NA","")</f>
        <v>#N/A</v>
      </c>
      <c r="BL193" s="644" t="e">
        <f>+IF($R193="Asumir el riesgo","NA","")</f>
        <v>#N/A</v>
      </c>
      <c r="BM193" s="644" t="e">
        <f>+IF($R193="Asumir el riesgo","NA","")</f>
        <v>#N/A</v>
      </c>
    </row>
    <row r="194" spans="1:65" ht="65.099999999999994" customHeight="1" thickBot="1">
      <c r="A194" s="405"/>
      <c r="B194" s="625"/>
      <c r="C194" s="440"/>
      <c r="D194" s="152"/>
      <c r="E194" s="152"/>
      <c r="F194" s="475"/>
      <c r="G194" s="443"/>
      <c r="H194" s="100"/>
      <c r="I194" s="128"/>
      <c r="J194" s="100"/>
      <c r="K194" s="147"/>
      <c r="L194" s="129"/>
      <c r="M194" s="446"/>
      <c r="N194" s="425"/>
      <c r="O194" s="428"/>
      <c r="P194" s="425"/>
      <c r="Q194" s="429"/>
      <c r="R194" s="422"/>
      <c r="S194" s="150"/>
      <c r="T194" s="198"/>
      <c r="U194" s="47" t="s">
        <v>627</v>
      </c>
      <c r="V194" s="172"/>
      <c r="W194" s="172"/>
      <c r="X194" s="172"/>
      <c r="Y194" s="95" t="str">
        <f t="shared" si="25"/>
        <v/>
      </c>
      <c r="Z194" s="172"/>
      <c r="AA194" s="95" t="str">
        <f t="shared" si="26"/>
        <v/>
      </c>
      <c r="AB194" s="150"/>
      <c r="AC194" s="95" t="str">
        <f t="shared" si="27"/>
        <v/>
      </c>
      <c r="AD194" s="150"/>
      <c r="AE194" s="95" t="str">
        <f t="shared" si="28"/>
        <v/>
      </c>
      <c r="AF194" s="150"/>
      <c r="AG194" s="95" t="str">
        <f t="shared" si="29"/>
        <v/>
      </c>
      <c r="AH194" s="150"/>
      <c r="AI194" s="95" t="str">
        <f t="shared" si="30"/>
        <v/>
      </c>
      <c r="AJ194" s="150"/>
      <c r="AK194" s="27" t="str">
        <f t="shared" si="31"/>
        <v/>
      </c>
      <c r="AL194" s="48" t="str">
        <f t="shared" si="32"/>
        <v/>
      </c>
      <c r="AM194" s="48" t="str">
        <f t="shared" si="33"/>
        <v/>
      </c>
      <c r="AN194" s="196"/>
      <c r="AO194" s="196"/>
      <c r="AP194" s="196"/>
      <c r="AQ194" s="196"/>
      <c r="AR194" s="196"/>
      <c r="AS194" s="196"/>
      <c r="AT194" s="196"/>
      <c r="AU194" s="197" t="str">
        <f>IFERROR(VLOOKUP(AT194,'Seguridad Información'!$I$61:$J$65,2,0),"")</f>
        <v/>
      </c>
      <c r="AV194" s="79"/>
      <c r="AW194" s="78" t="str">
        <f t="shared" si="24"/>
        <v/>
      </c>
      <c r="AX194" s="77" t="str">
        <f t="shared" si="34"/>
        <v/>
      </c>
      <c r="AY194" s="21" t="str">
        <f>IFERROR(VLOOKUP((CONCATENATE(AM194,AX194)),Listados!$U$3:$V$11,2,FALSE),"")</f>
        <v/>
      </c>
      <c r="AZ194" s="48">
        <f t="shared" si="35"/>
        <v>100</v>
      </c>
      <c r="BA194" s="431"/>
      <c r="BB194" s="433"/>
      <c r="BC194" s="169">
        <f>+IF(AND(W194="Preventivo",BB193="Fuerte"),2,IF(AND(W194="Preventivo",BB193="Moderado"),1,0))</f>
        <v>0</v>
      </c>
      <c r="BD194" s="64">
        <f>+IF(AND(W194="Detectivo/Correctivo",$BB193="Fuerte"),2,IF(AND(W194="Detectivo/Correctivo",$BB194="Moderado"),1,IF(AND(W194="Preventivo",$BB193="Fuerte"),1,0)))</f>
        <v>0</v>
      </c>
      <c r="BE194" s="169" t="e">
        <f>+N193-BC194</f>
        <v>#N/A</v>
      </c>
      <c r="BF194" s="169" t="e">
        <f>+P193-BD194</f>
        <v>#N/A</v>
      </c>
      <c r="BG194" s="422"/>
      <c r="BH194" s="422"/>
      <c r="BI194" s="422"/>
      <c r="BJ194" s="645"/>
      <c r="BK194" s="645"/>
      <c r="BL194" s="645"/>
      <c r="BM194" s="645"/>
    </row>
    <row r="195" spans="1:65" ht="65.099999999999994" customHeight="1" thickBot="1">
      <c r="A195" s="405"/>
      <c r="B195" s="625"/>
      <c r="C195" s="440"/>
      <c r="D195" s="152"/>
      <c r="E195" s="152"/>
      <c r="F195" s="475"/>
      <c r="G195" s="443"/>
      <c r="H195" s="100"/>
      <c r="I195" s="128"/>
      <c r="J195" s="100"/>
      <c r="K195" s="147"/>
      <c r="L195" s="129"/>
      <c r="M195" s="446"/>
      <c r="N195" s="425"/>
      <c r="O195" s="428"/>
      <c r="P195" s="425"/>
      <c r="Q195" s="429"/>
      <c r="R195" s="422"/>
      <c r="S195" s="150"/>
      <c r="T195" s="96"/>
      <c r="U195" s="47" t="s">
        <v>627</v>
      </c>
      <c r="V195" s="172"/>
      <c r="W195" s="172"/>
      <c r="X195" s="172"/>
      <c r="Y195" s="95" t="str">
        <f t="shared" si="25"/>
        <v/>
      </c>
      <c r="Z195" s="172"/>
      <c r="AA195" s="95" t="str">
        <f t="shared" si="26"/>
        <v/>
      </c>
      <c r="AB195" s="150"/>
      <c r="AC195" s="95" t="str">
        <f t="shared" si="27"/>
        <v/>
      </c>
      <c r="AD195" s="150"/>
      <c r="AE195" s="95" t="str">
        <f t="shared" si="28"/>
        <v/>
      </c>
      <c r="AF195" s="150"/>
      <c r="AG195" s="95" t="str">
        <f t="shared" si="29"/>
        <v/>
      </c>
      <c r="AH195" s="150"/>
      <c r="AI195" s="95" t="str">
        <f t="shared" si="30"/>
        <v/>
      </c>
      <c r="AJ195" s="150"/>
      <c r="AK195" s="27" t="str">
        <f t="shared" si="31"/>
        <v/>
      </c>
      <c r="AL195" s="48" t="str">
        <f t="shared" si="32"/>
        <v/>
      </c>
      <c r="AM195" s="48" t="str">
        <f t="shared" si="33"/>
        <v/>
      </c>
      <c r="AN195" s="196"/>
      <c r="AO195" s="196"/>
      <c r="AP195" s="196"/>
      <c r="AQ195" s="196"/>
      <c r="AR195" s="196"/>
      <c r="AS195" s="196"/>
      <c r="AT195" s="196"/>
      <c r="AU195" s="197" t="str">
        <f>IFERROR(VLOOKUP(AT195,'Seguridad Información'!$I$61:$J$65,2,0),"")</f>
        <v/>
      </c>
      <c r="AV195" s="79"/>
      <c r="AW195" s="78" t="str">
        <f t="shared" si="24"/>
        <v/>
      </c>
      <c r="AX195" s="77" t="str">
        <f t="shared" si="34"/>
        <v/>
      </c>
      <c r="AY195" s="21" t="str">
        <f>IFERROR(VLOOKUP((CONCATENATE(AM195,AX195)),Listados!$U$3:$V$11,2,FALSE),"")</f>
        <v/>
      </c>
      <c r="AZ195" s="48">
        <f t="shared" si="35"/>
        <v>100</v>
      </c>
      <c r="BA195" s="431"/>
      <c r="BB195" s="433"/>
      <c r="BC195" s="169">
        <f>+IF(AND(W195="Preventivo",BB193="Fuerte"),2,IF(AND(W195="Preventivo",BB193="Moderado"),1,0))</f>
        <v>0</v>
      </c>
      <c r="BD195" s="64">
        <f>+IF(AND(W195="Detectivo/Correctivo",$BB193="Fuerte"),2,IF(AND(W195="Detectivo/Correctivo",$BB195="Moderado"),1,IF(AND(W195="Preventivo",$BB193="Fuerte"),1,0)))</f>
        <v>0</v>
      </c>
      <c r="BE195" s="169" t="e">
        <f>+N193-BC195</f>
        <v>#N/A</v>
      </c>
      <c r="BF195" s="169" t="e">
        <f>+P193-BD195</f>
        <v>#N/A</v>
      </c>
      <c r="BG195" s="422"/>
      <c r="BH195" s="422"/>
      <c r="BI195" s="422"/>
      <c r="BJ195" s="645"/>
      <c r="BK195" s="645"/>
      <c r="BL195" s="645"/>
      <c r="BM195" s="645"/>
    </row>
    <row r="196" spans="1:65" ht="65.099999999999994" customHeight="1" thickBot="1">
      <c r="A196" s="405"/>
      <c r="B196" s="625"/>
      <c r="C196" s="440"/>
      <c r="D196" s="152"/>
      <c r="E196" s="152"/>
      <c r="F196" s="475"/>
      <c r="G196" s="443"/>
      <c r="H196" s="100"/>
      <c r="I196" s="128"/>
      <c r="J196" s="100"/>
      <c r="K196" s="147"/>
      <c r="L196" s="129"/>
      <c r="M196" s="446"/>
      <c r="N196" s="425"/>
      <c r="O196" s="428"/>
      <c r="P196" s="425"/>
      <c r="Q196" s="429"/>
      <c r="R196" s="422"/>
      <c r="S196" s="150"/>
      <c r="T196" s="97"/>
      <c r="U196" s="47" t="s">
        <v>627</v>
      </c>
      <c r="V196" s="172"/>
      <c r="W196" s="172"/>
      <c r="X196" s="172"/>
      <c r="Y196" s="95" t="str">
        <f t="shared" si="25"/>
        <v/>
      </c>
      <c r="Z196" s="172"/>
      <c r="AA196" s="95" t="str">
        <f t="shared" si="26"/>
        <v/>
      </c>
      <c r="AB196" s="150"/>
      <c r="AC196" s="95" t="str">
        <f t="shared" si="27"/>
        <v/>
      </c>
      <c r="AD196" s="150"/>
      <c r="AE196" s="95" t="str">
        <f t="shared" si="28"/>
        <v/>
      </c>
      <c r="AF196" s="150"/>
      <c r="AG196" s="95" t="str">
        <f t="shared" si="29"/>
        <v/>
      </c>
      <c r="AH196" s="150"/>
      <c r="AI196" s="95" t="str">
        <f t="shared" si="30"/>
        <v/>
      </c>
      <c r="AJ196" s="150"/>
      <c r="AK196" s="27" t="str">
        <f t="shared" si="31"/>
        <v/>
      </c>
      <c r="AL196" s="48" t="str">
        <f t="shared" si="32"/>
        <v/>
      </c>
      <c r="AM196" s="48" t="str">
        <f t="shared" si="33"/>
        <v/>
      </c>
      <c r="AN196" s="196"/>
      <c r="AO196" s="196"/>
      <c r="AP196" s="196"/>
      <c r="AQ196" s="196"/>
      <c r="AR196" s="196"/>
      <c r="AS196" s="196"/>
      <c r="AT196" s="196"/>
      <c r="AU196" s="197" t="str">
        <f>IFERROR(VLOOKUP(AT196,'Seguridad Información'!$I$61:$J$65,2,0),"")</f>
        <v/>
      </c>
      <c r="AV196" s="79"/>
      <c r="AW196" s="78" t="str">
        <f t="shared" si="24"/>
        <v/>
      </c>
      <c r="AX196" s="77" t="str">
        <f t="shared" si="34"/>
        <v/>
      </c>
      <c r="AY196" s="21" t="str">
        <f>IFERROR(VLOOKUP((CONCATENATE(AM196,AX196)),Listados!$U$3:$V$11,2,FALSE),"")</f>
        <v/>
      </c>
      <c r="AZ196" s="48">
        <f t="shared" si="35"/>
        <v>100</v>
      </c>
      <c r="BA196" s="431"/>
      <c r="BB196" s="433"/>
      <c r="BC196" s="169">
        <f>+IF(AND(W196="Preventivo",BB193="Fuerte"),2,IF(AND(W196="Preventivo",BB193="Moderado"),1,0))</f>
        <v>0</v>
      </c>
      <c r="BD196" s="64">
        <f>+IF(AND(W196="Detectivo/Correctivo",$BB193="Fuerte"),2,IF(AND(W196="Detectivo/Correctivo",$BB196="Moderado"),1,IF(AND(W196="Preventivo",$BB193="Fuerte"),1,0)))</f>
        <v>0</v>
      </c>
      <c r="BE196" s="169" t="e">
        <f>+N193-BC196</f>
        <v>#N/A</v>
      </c>
      <c r="BF196" s="169" t="e">
        <f>+P193-BD196</f>
        <v>#N/A</v>
      </c>
      <c r="BG196" s="422"/>
      <c r="BH196" s="422"/>
      <c r="BI196" s="422"/>
      <c r="BJ196" s="645"/>
      <c r="BK196" s="645"/>
      <c r="BL196" s="645"/>
      <c r="BM196" s="645"/>
    </row>
    <row r="197" spans="1:65" ht="65.099999999999994" customHeight="1" thickBot="1">
      <c r="A197" s="405"/>
      <c r="B197" s="625"/>
      <c r="C197" s="440"/>
      <c r="D197" s="109"/>
      <c r="E197" s="109"/>
      <c r="F197" s="475"/>
      <c r="G197" s="443"/>
      <c r="H197" s="100"/>
      <c r="I197" s="128"/>
      <c r="J197" s="100"/>
      <c r="K197" s="29"/>
      <c r="L197" s="129"/>
      <c r="M197" s="446"/>
      <c r="N197" s="425"/>
      <c r="O197" s="428"/>
      <c r="P197" s="425"/>
      <c r="Q197" s="429"/>
      <c r="R197" s="422"/>
      <c r="S197" s="150"/>
      <c r="T197" s="198"/>
      <c r="U197" s="47" t="s">
        <v>627</v>
      </c>
      <c r="V197" s="172"/>
      <c r="W197" s="172"/>
      <c r="X197" s="172"/>
      <c r="Y197" s="95" t="str">
        <f t="shared" si="25"/>
        <v/>
      </c>
      <c r="Z197" s="172"/>
      <c r="AA197" s="95" t="str">
        <f t="shared" si="26"/>
        <v/>
      </c>
      <c r="AB197" s="150"/>
      <c r="AC197" s="95" t="str">
        <f t="shared" si="27"/>
        <v/>
      </c>
      <c r="AD197" s="150"/>
      <c r="AE197" s="95" t="str">
        <f t="shared" si="28"/>
        <v/>
      </c>
      <c r="AF197" s="150"/>
      <c r="AG197" s="95" t="str">
        <f t="shared" si="29"/>
        <v/>
      </c>
      <c r="AH197" s="150"/>
      <c r="AI197" s="95" t="str">
        <f t="shared" si="30"/>
        <v/>
      </c>
      <c r="AJ197" s="150"/>
      <c r="AK197" s="27" t="str">
        <f t="shared" si="31"/>
        <v/>
      </c>
      <c r="AL197" s="48" t="str">
        <f t="shared" si="32"/>
        <v/>
      </c>
      <c r="AM197" s="48" t="str">
        <f t="shared" si="33"/>
        <v/>
      </c>
      <c r="AN197" s="196"/>
      <c r="AO197" s="196"/>
      <c r="AP197" s="196"/>
      <c r="AQ197" s="196"/>
      <c r="AR197" s="196"/>
      <c r="AS197" s="196"/>
      <c r="AT197" s="196"/>
      <c r="AU197" s="197" t="str">
        <f>IFERROR(VLOOKUP(AT197,'Seguridad Información'!$I$61:$J$65,2,0),"")</f>
        <v/>
      </c>
      <c r="AV197" s="79"/>
      <c r="AW197" s="78" t="str">
        <f t="shared" si="24"/>
        <v/>
      </c>
      <c r="AX197" s="77" t="str">
        <f t="shared" si="34"/>
        <v/>
      </c>
      <c r="AY197" s="21" t="str">
        <f>IFERROR(VLOOKUP((CONCATENATE(AM197,AX197)),Listados!$U$3:$V$11,2,FALSE),"")</f>
        <v/>
      </c>
      <c r="AZ197" s="48">
        <f t="shared" si="35"/>
        <v>100</v>
      </c>
      <c r="BA197" s="431"/>
      <c r="BB197" s="433"/>
      <c r="BC197" s="169">
        <f>+IF(AND(W197="Preventivo",BB193="Fuerte"),2,IF(AND(W197="Preventivo",BB193="Moderado"),1,0))</f>
        <v>0</v>
      </c>
      <c r="BD197" s="64">
        <f>+IF(AND(W197="Detectivo/Correctivo",$BB193="Fuerte"),2,IF(AND(W197="Detectivo/Correctivo",$BB197="Moderado"),1,IF(AND(W197="Preventivo",$BB193="Fuerte"),1,0)))</f>
        <v>0</v>
      </c>
      <c r="BE197" s="169" t="e">
        <f>+N193-BC197</f>
        <v>#N/A</v>
      </c>
      <c r="BF197" s="169" t="e">
        <f>+P193-BD197</f>
        <v>#N/A</v>
      </c>
      <c r="BG197" s="422"/>
      <c r="BH197" s="422"/>
      <c r="BI197" s="422"/>
      <c r="BJ197" s="645"/>
      <c r="BK197" s="645"/>
      <c r="BL197" s="645"/>
      <c r="BM197" s="645"/>
    </row>
    <row r="198" spans="1:65" ht="65.099999999999994" customHeight="1" thickBot="1">
      <c r="A198" s="406"/>
      <c r="B198" s="625"/>
      <c r="C198" s="441"/>
      <c r="D198" s="106"/>
      <c r="E198" s="106"/>
      <c r="F198" s="619"/>
      <c r="G198" s="444"/>
      <c r="H198" s="100"/>
      <c r="I198" s="128"/>
      <c r="J198" s="100"/>
      <c r="K198" s="31"/>
      <c r="L198" s="129"/>
      <c r="M198" s="446"/>
      <c r="N198" s="426"/>
      <c r="O198" s="428"/>
      <c r="P198" s="426"/>
      <c r="Q198" s="429"/>
      <c r="R198" s="423"/>
      <c r="S198" s="150"/>
      <c r="T198" s="98"/>
      <c r="U198" s="47" t="s">
        <v>627</v>
      </c>
      <c r="V198" s="172"/>
      <c r="W198" s="172"/>
      <c r="X198" s="172"/>
      <c r="Y198" s="95" t="str">
        <f t="shared" si="25"/>
        <v/>
      </c>
      <c r="Z198" s="172"/>
      <c r="AA198" s="95" t="str">
        <f t="shared" si="26"/>
        <v/>
      </c>
      <c r="AB198" s="150"/>
      <c r="AC198" s="95" t="str">
        <f t="shared" si="27"/>
        <v/>
      </c>
      <c r="AD198" s="150"/>
      <c r="AE198" s="95" t="str">
        <f t="shared" si="28"/>
        <v/>
      </c>
      <c r="AF198" s="150"/>
      <c r="AG198" s="95" t="str">
        <f t="shared" si="29"/>
        <v/>
      </c>
      <c r="AH198" s="150"/>
      <c r="AI198" s="95" t="str">
        <f t="shared" si="30"/>
        <v/>
      </c>
      <c r="AJ198" s="150"/>
      <c r="AK198" s="27" t="str">
        <f t="shared" si="31"/>
        <v/>
      </c>
      <c r="AL198" s="48" t="str">
        <f t="shared" si="32"/>
        <v/>
      </c>
      <c r="AM198" s="48" t="str">
        <f t="shared" si="33"/>
        <v/>
      </c>
      <c r="AN198" s="196"/>
      <c r="AO198" s="196"/>
      <c r="AP198" s="196"/>
      <c r="AQ198" s="196"/>
      <c r="AR198" s="196"/>
      <c r="AS198" s="196"/>
      <c r="AT198" s="196"/>
      <c r="AU198" s="197" t="str">
        <f>IFERROR(VLOOKUP(AT198,'Seguridad Información'!$I$61:$J$65,2,0),"")</f>
        <v/>
      </c>
      <c r="AV198" s="79"/>
      <c r="AW198" s="78" t="str">
        <f t="shared" si="24"/>
        <v/>
      </c>
      <c r="AX198" s="77" t="str">
        <f t="shared" si="34"/>
        <v/>
      </c>
      <c r="AY198" s="21" t="str">
        <f>IFERROR(VLOOKUP((CONCATENATE(AM198,AX198)),Listados!$U$3:$V$11,2,FALSE),"")</f>
        <v/>
      </c>
      <c r="AZ198" s="48">
        <f t="shared" si="35"/>
        <v>100</v>
      </c>
      <c r="BA198" s="432"/>
      <c r="BB198" s="433"/>
      <c r="BC198" s="169">
        <f>+IF(AND(W198="Preventivo",BB193="Fuerte"),2,IF(AND(W198="Preventivo",BB193="Moderado"),1,0))</f>
        <v>0</v>
      </c>
      <c r="BD198" s="64">
        <f>+IF(AND(W198="Detectivo/Correctivo",$BB193="Fuerte"),2,IF(AND(W198="Detectivo/Correctivo",$BB198="Moderado"),1,IF(AND(W198="Preventivo",$BB193="Fuerte"),1,0)))</f>
        <v>0</v>
      </c>
      <c r="BE198" s="169" t="e">
        <f>+N193-BC198</f>
        <v>#N/A</v>
      </c>
      <c r="BF198" s="169" t="e">
        <f>+P193-BD198</f>
        <v>#N/A</v>
      </c>
      <c r="BG198" s="423"/>
      <c r="BH198" s="423"/>
      <c r="BI198" s="423"/>
      <c r="BJ198" s="646"/>
      <c r="BK198" s="646"/>
      <c r="BL198" s="646"/>
      <c r="BM198" s="646"/>
    </row>
    <row r="199" spans="1:65" ht="65.099999999999994" customHeight="1" thickBot="1">
      <c r="A199" s="404">
        <v>33</v>
      </c>
      <c r="B199" s="628"/>
      <c r="C199" s="447" t="str">
        <f>IFERROR(VLOOKUP(B199,Listados!B$3:C$20,2,FALSE),"")</f>
        <v/>
      </c>
      <c r="D199" s="107"/>
      <c r="E199" s="107"/>
      <c r="F199" s="618"/>
      <c r="G199" s="448"/>
      <c r="H199" s="100"/>
      <c r="I199" s="128"/>
      <c r="J199" s="100"/>
      <c r="K199" s="103"/>
      <c r="L199" s="17"/>
      <c r="M199" s="445"/>
      <c r="N199" s="424" t="e">
        <f>+VLOOKUP(M199,Listados!$K$8:$L$12,2,0)</f>
        <v>#N/A</v>
      </c>
      <c r="O199" s="427"/>
      <c r="P199" s="424" t="e">
        <f>+VLOOKUP(O199,Listados!$K$13:$L$17,2,0)</f>
        <v>#N/A</v>
      </c>
      <c r="Q199" s="423" t="str">
        <f>IF(AND(M199&lt;&gt;"",O199&lt;&gt;""),VLOOKUP(M199&amp;O199,Listados!$M$3:$N$27,2,FALSE),"")</f>
        <v/>
      </c>
      <c r="R199" s="421" t="e">
        <f>+VLOOKUP(Q199,Listados!$P$3:$Q$6,2,FALSE)</f>
        <v>#N/A</v>
      </c>
      <c r="S199" s="150"/>
      <c r="T199" s="94"/>
      <c r="U199" s="47" t="s">
        <v>627</v>
      </c>
      <c r="V199" s="172"/>
      <c r="W199" s="172"/>
      <c r="X199" s="172"/>
      <c r="Y199" s="95" t="str">
        <f t="shared" si="25"/>
        <v/>
      </c>
      <c r="Z199" s="172"/>
      <c r="AA199" s="95" t="str">
        <f t="shared" si="26"/>
        <v/>
      </c>
      <c r="AB199" s="150"/>
      <c r="AC199" s="95" t="str">
        <f t="shared" si="27"/>
        <v/>
      </c>
      <c r="AD199" s="150"/>
      <c r="AE199" s="95" t="str">
        <f t="shared" si="28"/>
        <v/>
      </c>
      <c r="AF199" s="150"/>
      <c r="AG199" s="95" t="str">
        <f t="shared" si="29"/>
        <v/>
      </c>
      <c r="AH199" s="150"/>
      <c r="AI199" s="95" t="str">
        <f t="shared" si="30"/>
        <v/>
      </c>
      <c r="AJ199" s="150"/>
      <c r="AK199" s="27" t="str">
        <f t="shared" si="31"/>
        <v/>
      </c>
      <c r="AL199" s="48" t="str">
        <f t="shared" si="32"/>
        <v/>
      </c>
      <c r="AM199" s="48" t="str">
        <f t="shared" si="33"/>
        <v/>
      </c>
      <c r="AN199" s="196"/>
      <c r="AO199" s="196"/>
      <c r="AP199" s="196"/>
      <c r="AQ199" s="196"/>
      <c r="AR199" s="196"/>
      <c r="AS199" s="196"/>
      <c r="AT199" s="196"/>
      <c r="AU199" s="197" t="str">
        <f>IFERROR(VLOOKUP(AT199,'Seguridad Información'!$I$61:$J$65,2,0),"")</f>
        <v/>
      </c>
      <c r="AV199" s="79"/>
      <c r="AW199" s="78" t="str">
        <f t="shared" ref="AW199:AW262" si="36">IFERROR(AVERAGE(AO199,AQ199,AS199,AU199),"")</f>
        <v/>
      </c>
      <c r="AX199" s="77" t="str">
        <f t="shared" si="34"/>
        <v/>
      </c>
      <c r="AY199" s="21" t="str">
        <f>IFERROR(VLOOKUP((CONCATENATE(AM199,AX199)),Listados!$U$3:$V$11,2,FALSE),"")</f>
        <v/>
      </c>
      <c r="AZ199" s="48">
        <f t="shared" si="35"/>
        <v>100</v>
      </c>
      <c r="BA199" s="430">
        <f>AVERAGE(AZ199:AZ204)</f>
        <v>100</v>
      </c>
      <c r="BB199" s="432" t="str">
        <f>IF(BA199&lt;=50, "Débil", IF(BA199&lt;=99,"Moderado","Fuerte"))</f>
        <v>Fuerte</v>
      </c>
      <c r="BC199" s="169">
        <f>+IF(AND(W199="Preventivo",BB199="Fuerte"),2,IF(AND(W199="Preventivo",BB199="Moderado"),1,0))</f>
        <v>0</v>
      </c>
      <c r="BD199" s="64">
        <f>+IF(AND(W199="Detectivo/Correctivo",$BB199="Fuerte"),2,IF(AND(W199="Detectivo/Correctivo",$BB199="Moderado"),1,IF(AND(W199="Preventivo",$BB199="Fuerte"),1,0)))</f>
        <v>0</v>
      </c>
      <c r="BE199" s="169" t="e">
        <f>+N199-BC199</f>
        <v>#N/A</v>
      </c>
      <c r="BF199" s="169" t="e">
        <f>+P199-BD199</f>
        <v>#N/A</v>
      </c>
      <c r="BG199" s="421" t="e">
        <f>+VLOOKUP(MIN(BE199,BE200,BE201,BE202,BE203,BE204),Listados!$J$18:$K$24,2,TRUE)</f>
        <v>#N/A</v>
      </c>
      <c r="BH199" s="421" t="e">
        <f>+VLOOKUP(MIN(BF199,BF200,BF201,BF202,BF203,BF204),Listados!$J$27:$K$32,2,TRUE)</f>
        <v>#N/A</v>
      </c>
      <c r="BI199" s="421" t="e">
        <f>IF(AND(BG199&lt;&gt;"",BH199&lt;&gt;""),VLOOKUP(BG199&amp;BH199,Listados!$M$3:$N$27,2,FALSE),"")</f>
        <v>#N/A</v>
      </c>
      <c r="BJ199" s="644" t="e">
        <f>+IF($R199="Asumir el riesgo","NA","")</f>
        <v>#N/A</v>
      </c>
      <c r="BK199" s="644" t="e">
        <f>+IF($R199="Asumir el riesgo","NA","")</f>
        <v>#N/A</v>
      </c>
      <c r="BL199" s="644" t="e">
        <f>+IF($R199="Asumir el riesgo","NA","")</f>
        <v>#N/A</v>
      </c>
      <c r="BM199" s="644" t="e">
        <f>+IF($R199="Asumir el riesgo","NA","")</f>
        <v>#N/A</v>
      </c>
    </row>
    <row r="200" spans="1:65" ht="65.099999999999994" customHeight="1" thickBot="1">
      <c r="A200" s="405"/>
      <c r="B200" s="625"/>
      <c r="C200" s="440"/>
      <c r="D200" s="152"/>
      <c r="E200" s="152"/>
      <c r="F200" s="475"/>
      <c r="G200" s="443"/>
      <c r="H200" s="100"/>
      <c r="I200" s="128"/>
      <c r="J200" s="100"/>
      <c r="K200" s="147"/>
      <c r="L200" s="129"/>
      <c r="M200" s="446"/>
      <c r="N200" s="425"/>
      <c r="O200" s="428"/>
      <c r="P200" s="425"/>
      <c r="Q200" s="429"/>
      <c r="R200" s="422"/>
      <c r="S200" s="150"/>
      <c r="T200" s="198"/>
      <c r="U200" s="47" t="s">
        <v>627</v>
      </c>
      <c r="V200" s="172"/>
      <c r="W200" s="172"/>
      <c r="X200" s="172"/>
      <c r="Y200" s="95" t="str">
        <f t="shared" ref="Y200:Y263" si="37">+IF(X200="si",15,"")</f>
        <v/>
      </c>
      <c r="Z200" s="172"/>
      <c r="AA200" s="95" t="str">
        <f t="shared" ref="AA200:AA263" si="38">+IF(Z200="si",15,"")</f>
        <v/>
      </c>
      <c r="AB200" s="150"/>
      <c r="AC200" s="95" t="str">
        <f t="shared" ref="AC200:AC263" si="39">+IF(AB200="si",15,"")</f>
        <v/>
      </c>
      <c r="AD200" s="150"/>
      <c r="AE200" s="95" t="str">
        <f t="shared" ref="AE200:AE263" si="40">+IF(AD200="si",15,"")</f>
        <v/>
      </c>
      <c r="AF200" s="150"/>
      <c r="AG200" s="95" t="str">
        <f t="shared" ref="AG200:AG263" si="41">+IF(AF200="si",15,"")</f>
        <v/>
      </c>
      <c r="AH200" s="150"/>
      <c r="AI200" s="95" t="str">
        <f t="shared" ref="AI200:AI263" si="42">+IF(AH200="si",15,"")</f>
        <v/>
      </c>
      <c r="AJ200" s="150"/>
      <c r="AK200" s="27" t="str">
        <f t="shared" ref="AK200:AK263" si="43">+IF(AJ200="Completa",10,IF(AJ200="Incompleta",5,""))</f>
        <v/>
      </c>
      <c r="AL200" s="48" t="str">
        <f t="shared" ref="AL200:AL263" si="44">IF((SUM(Y200,AA200,AC200,AE200,AG200,AI200,AK200)=0),"",(SUM(Y200,AA200,AC200,AE200,AG200,AI200,AK200)))</f>
        <v/>
      </c>
      <c r="AM200" s="48" t="str">
        <f t="shared" ref="AM200:AM263" si="45">IF(AL200&lt;=85,"Débil",IF(AL200&lt;=95,"Moderado",IF(AL200=100,"Fuerte","")))</f>
        <v/>
      </c>
      <c r="AN200" s="196"/>
      <c r="AO200" s="196"/>
      <c r="AP200" s="196"/>
      <c r="AQ200" s="196"/>
      <c r="AR200" s="196"/>
      <c r="AS200" s="196"/>
      <c r="AT200" s="196"/>
      <c r="AU200" s="197" t="str">
        <f>IFERROR(VLOOKUP(AT200,'Seguridad Información'!$I$61:$J$65,2,0),"")</f>
        <v/>
      </c>
      <c r="AV200" s="79"/>
      <c r="AW200" s="78" t="str">
        <f t="shared" si="36"/>
        <v/>
      </c>
      <c r="AX200" s="77" t="str">
        <f t="shared" ref="AX200:AX263" si="46">IF(AW200&lt;=80,"Débil",IF(AW200&lt;=90,"Moderado",IF(AW200=100,"Fuerte","")))</f>
        <v/>
      </c>
      <c r="AY200" s="21" t="str">
        <f>IFERROR(VLOOKUP((CONCATENATE(AM200,AX200)),Listados!$U$3:$V$11,2,FALSE),"")</f>
        <v/>
      </c>
      <c r="AZ200" s="48">
        <f t="shared" si="35"/>
        <v>100</v>
      </c>
      <c r="BA200" s="431"/>
      <c r="BB200" s="433"/>
      <c r="BC200" s="169">
        <f>+IF(AND(W200="Preventivo",BB199="Fuerte"),2,IF(AND(W200="Preventivo",BB199="Moderado"),1,0))</f>
        <v>0</v>
      </c>
      <c r="BD200" s="64">
        <f>+IF(AND(W200="Detectivo/Correctivo",$BB199="Fuerte"),2,IF(AND(W200="Detectivo/Correctivo",$BB200="Moderado"),1,IF(AND(W200="Preventivo",$BB199="Fuerte"),1,0)))</f>
        <v>0</v>
      </c>
      <c r="BE200" s="169" t="e">
        <f>+N199-BC200</f>
        <v>#N/A</v>
      </c>
      <c r="BF200" s="169" t="e">
        <f>+P199-BD200</f>
        <v>#N/A</v>
      </c>
      <c r="BG200" s="422"/>
      <c r="BH200" s="422"/>
      <c r="BI200" s="422"/>
      <c r="BJ200" s="645"/>
      <c r="BK200" s="645"/>
      <c r="BL200" s="645"/>
      <c r="BM200" s="645"/>
    </row>
    <row r="201" spans="1:65" ht="65.099999999999994" customHeight="1" thickBot="1">
      <c r="A201" s="405"/>
      <c r="B201" s="625"/>
      <c r="C201" s="440"/>
      <c r="D201" s="152"/>
      <c r="E201" s="152"/>
      <c r="F201" s="475"/>
      <c r="G201" s="443"/>
      <c r="H201" s="100"/>
      <c r="I201" s="128"/>
      <c r="J201" s="100"/>
      <c r="K201" s="147"/>
      <c r="L201" s="129"/>
      <c r="M201" s="446"/>
      <c r="N201" s="425"/>
      <c r="O201" s="428"/>
      <c r="P201" s="425"/>
      <c r="Q201" s="429"/>
      <c r="R201" s="422"/>
      <c r="S201" s="150"/>
      <c r="T201" s="96"/>
      <c r="U201" s="47" t="s">
        <v>627</v>
      </c>
      <c r="V201" s="172"/>
      <c r="W201" s="172"/>
      <c r="X201" s="172"/>
      <c r="Y201" s="95" t="str">
        <f t="shared" si="37"/>
        <v/>
      </c>
      <c r="Z201" s="172"/>
      <c r="AA201" s="95" t="str">
        <f t="shared" si="38"/>
        <v/>
      </c>
      <c r="AB201" s="150"/>
      <c r="AC201" s="95" t="str">
        <f t="shared" si="39"/>
        <v/>
      </c>
      <c r="AD201" s="150"/>
      <c r="AE201" s="95" t="str">
        <f t="shared" si="40"/>
        <v/>
      </c>
      <c r="AF201" s="150"/>
      <c r="AG201" s="95" t="str">
        <f t="shared" si="41"/>
        <v/>
      </c>
      <c r="AH201" s="150"/>
      <c r="AI201" s="95" t="str">
        <f t="shared" si="42"/>
        <v/>
      </c>
      <c r="AJ201" s="150"/>
      <c r="AK201" s="27" t="str">
        <f t="shared" si="43"/>
        <v/>
      </c>
      <c r="AL201" s="48" t="str">
        <f t="shared" si="44"/>
        <v/>
      </c>
      <c r="AM201" s="48" t="str">
        <f t="shared" si="45"/>
        <v/>
      </c>
      <c r="AN201" s="196"/>
      <c r="AO201" s="196"/>
      <c r="AP201" s="196"/>
      <c r="AQ201" s="196"/>
      <c r="AR201" s="196"/>
      <c r="AS201" s="196"/>
      <c r="AT201" s="196"/>
      <c r="AU201" s="197" t="str">
        <f>IFERROR(VLOOKUP(AT201,'Seguridad Información'!$I$61:$J$65,2,0),"")</f>
        <v/>
      </c>
      <c r="AV201" s="79"/>
      <c r="AW201" s="78" t="str">
        <f t="shared" si="36"/>
        <v/>
      </c>
      <c r="AX201" s="77" t="str">
        <f t="shared" si="46"/>
        <v/>
      </c>
      <c r="AY201" s="21" t="str">
        <f>IFERROR(VLOOKUP((CONCATENATE(AM201,AX201)),Listados!$U$3:$V$11,2,FALSE),"")</f>
        <v/>
      </c>
      <c r="AZ201" s="48">
        <f t="shared" ref="AZ201:AZ264" si="47">IF(ISBLANK(AY201),"",IF(AY201="Débil", 0, IF(AY201="Moderado",50,100)))</f>
        <v>100</v>
      </c>
      <c r="BA201" s="431"/>
      <c r="BB201" s="433"/>
      <c r="BC201" s="169">
        <f>+IF(AND(W201="Preventivo",BB199="Fuerte"),2,IF(AND(W201="Preventivo",BB199="Moderado"),1,0))</f>
        <v>0</v>
      </c>
      <c r="BD201" s="64">
        <f>+IF(AND(W201="Detectivo/Correctivo",$BB199="Fuerte"),2,IF(AND(W201="Detectivo/Correctivo",$BB201="Moderado"),1,IF(AND(W201="Preventivo",$BB199="Fuerte"),1,0)))</f>
        <v>0</v>
      </c>
      <c r="BE201" s="169" t="e">
        <f>+N199-BC201</f>
        <v>#N/A</v>
      </c>
      <c r="BF201" s="169" t="e">
        <f>+P199-BD201</f>
        <v>#N/A</v>
      </c>
      <c r="BG201" s="422"/>
      <c r="BH201" s="422"/>
      <c r="BI201" s="422"/>
      <c r="BJ201" s="645"/>
      <c r="BK201" s="645"/>
      <c r="BL201" s="645"/>
      <c r="BM201" s="645"/>
    </row>
    <row r="202" spans="1:65" ht="65.099999999999994" customHeight="1" thickBot="1">
      <c r="A202" s="405"/>
      <c r="B202" s="625"/>
      <c r="C202" s="440"/>
      <c r="D202" s="152"/>
      <c r="E202" s="152"/>
      <c r="F202" s="475"/>
      <c r="G202" s="443"/>
      <c r="H202" s="100"/>
      <c r="I202" s="128"/>
      <c r="J202" s="100"/>
      <c r="K202" s="147"/>
      <c r="L202" s="129"/>
      <c r="M202" s="446"/>
      <c r="N202" s="425"/>
      <c r="O202" s="428"/>
      <c r="P202" s="425"/>
      <c r="Q202" s="429"/>
      <c r="R202" s="422"/>
      <c r="S202" s="150"/>
      <c r="T202" s="97"/>
      <c r="U202" s="47" t="s">
        <v>627</v>
      </c>
      <c r="V202" s="172"/>
      <c r="W202" s="172"/>
      <c r="X202" s="172"/>
      <c r="Y202" s="95" t="str">
        <f t="shared" si="37"/>
        <v/>
      </c>
      <c r="Z202" s="172"/>
      <c r="AA202" s="95" t="str">
        <f t="shared" si="38"/>
        <v/>
      </c>
      <c r="AB202" s="150"/>
      <c r="AC202" s="95" t="str">
        <f t="shared" si="39"/>
        <v/>
      </c>
      <c r="AD202" s="150"/>
      <c r="AE202" s="95" t="str">
        <f t="shared" si="40"/>
        <v/>
      </c>
      <c r="AF202" s="150"/>
      <c r="AG202" s="95" t="str">
        <f t="shared" si="41"/>
        <v/>
      </c>
      <c r="AH202" s="150"/>
      <c r="AI202" s="95" t="str">
        <f t="shared" si="42"/>
        <v/>
      </c>
      <c r="AJ202" s="150"/>
      <c r="AK202" s="27" t="str">
        <f t="shared" si="43"/>
        <v/>
      </c>
      <c r="AL202" s="48" t="str">
        <f t="shared" si="44"/>
        <v/>
      </c>
      <c r="AM202" s="48" t="str">
        <f t="shared" si="45"/>
        <v/>
      </c>
      <c r="AN202" s="196"/>
      <c r="AO202" s="196"/>
      <c r="AP202" s="196"/>
      <c r="AQ202" s="196"/>
      <c r="AR202" s="196"/>
      <c r="AS202" s="196"/>
      <c r="AT202" s="196"/>
      <c r="AU202" s="197" t="str">
        <f>IFERROR(VLOOKUP(AT202,'Seguridad Información'!$I$61:$J$65,2,0),"")</f>
        <v/>
      </c>
      <c r="AV202" s="79"/>
      <c r="AW202" s="78" t="str">
        <f t="shared" si="36"/>
        <v/>
      </c>
      <c r="AX202" s="77" t="str">
        <f t="shared" si="46"/>
        <v/>
      </c>
      <c r="AY202" s="21" t="str">
        <f>IFERROR(VLOOKUP((CONCATENATE(AM202,AX202)),Listados!$U$3:$V$11,2,FALSE),"")</f>
        <v/>
      </c>
      <c r="AZ202" s="48">
        <f t="shared" si="47"/>
        <v>100</v>
      </c>
      <c r="BA202" s="431"/>
      <c r="BB202" s="433"/>
      <c r="BC202" s="169">
        <f>+IF(AND(W202="Preventivo",BB199="Fuerte"),2,IF(AND(W202="Preventivo",BB199="Moderado"),1,0))</f>
        <v>0</v>
      </c>
      <c r="BD202" s="64">
        <f>+IF(AND(W202="Detectivo/Correctivo",$BB199="Fuerte"),2,IF(AND(W202="Detectivo/Correctivo",$BB202="Moderado"),1,IF(AND(W202="Preventivo",$BB199="Fuerte"),1,0)))</f>
        <v>0</v>
      </c>
      <c r="BE202" s="169" t="e">
        <f>+N199-BC202</f>
        <v>#N/A</v>
      </c>
      <c r="BF202" s="169" t="e">
        <f>+P199-BD202</f>
        <v>#N/A</v>
      </c>
      <c r="BG202" s="422"/>
      <c r="BH202" s="422"/>
      <c r="BI202" s="422"/>
      <c r="BJ202" s="645"/>
      <c r="BK202" s="645"/>
      <c r="BL202" s="645"/>
      <c r="BM202" s="645"/>
    </row>
    <row r="203" spans="1:65" ht="65.099999999999994" customHeight="1" thickBot="1">
      <c r="A203" s="405"/>
      <c r="B203" s="625"/>
      <c r="C203" s="440"/>
      <c r="D203" s="109"/>
      <c r="E203" s="109"/>
      <c r="F203" s="475"/>
      <c r="G203" s="443"/>
      <c r="H203" s="100"/>
      <c r="I203" s="128"/>
      <c r="J203" s="100"/>
      <c r="K203" s="29"/>
      <c r="L203" s="129"/>
      <c r="M203" s="446"/>
      <c r="N203" s="425"/>
      <c r="O203" s="428"/>
      <c r="P203" s="425"/>
      <c r="Q203" s="429"/>
      <c r="R203" s="422"/>
      <c r="S203" s="150"/>
      <c r="T203" s="198"/>
      <c r="U203" s="47" t="s">
        <v>627</v>
      </c>
      <c r="V203" s="172"/>
      <c r="W203" s="172"/>
      <c r="X203" s="172"/>
      <c r="Y203" s="95" t="str">
        <f t="shared" si="37"/>
        <v/>
      </c>
      <c r="Z203" s="172"/>
      <c r="AA203" s="95" t="str">
        <f t="shared" si="38"/>
        <v/>
      </c>
      <c r="AB203" s="150"/>
      <c r="AC203" s="95" t="str">
        <f t="shared" si="39"/>
        <v/>
      </c>
      <c r="AD203" s="150"/>
      <c r="AE203" s="95" t="str">
        <f t="shared" si="40"/>
        <v/>
      </c>
      <c r="AF203" s="150"/>
      <c r="AG203" s="95" t="str">
        <f t="shared" si="41"/>
        <v/>
      </c>
      <c r="AH203" s="150"/>
      <c r="AI203" s="95" t="str">
        <f t="shared" si="42"/>
        <v/>
      </c>
      <c r="AJ203" s="150"/>
      <c r="AK203" s="27" t="str">
        <f t="shared" si="43"/>
        <v/>
      </c>
      <c r="AL203" s="48" t="str">
        <f t="shared" si="44"/>
        <v/>
      </c>
      <c r="AM203" s="48" t="str">
        <f t="shared" si="45"/>
        <v/>
      </c>
      <c r="AN203" s="196"/>
      <c r="AO203" s="196"/>
      <c r="AP203" s="196"/>
      <c r="AQ203" s="196"/>
      <c r="AR203" s="196"/>
      <c r="AS203" s="196"/>
      <c r="AT203" s="196"/>
      <c r="AU203" s="197" t="str">
        <f>IFERROR(VLOOKUP(AT203,'Seguridad Información'!$I$61:$J$65,2,0),"")</f>
        <v/>
      </c>
      <c r="AV203" s="79"/>
      <c r="AW203" s="78" t="str">
        <f t="shared" si="36"/>
        <v/>
      </c>
      <c r="AX203" s="77" t="str">
        <f t="shared" si="46"/>
        <v/>
      </c>
      <c r="AY203" s="21" t="str">
        <f>IFERROR(VLOOKUP((CONCATENATE(AM203,AX203)),Listados!$U$3:$V$11,2,FALSE),"")</f>
        <v/>
      </c>
      <c r="AZ203" s="48">
        <f t="shared" si="47"/>
        <v>100</v>
      </c>
      <c r="BA203" s="431"/>
      <c r="BB203" s="433"/>
      <c r="BC203" s="169">
        <f>+IF(AND(W203="Preventivo",BB199="Fuerte"),2,IF(AND(W203="Preventivo",BB199="Moderado"),1,0))</f>
        <v>0</v>
      </c>
      <c r="BD203" s="64">
        <f>+IF(AND(W203="Detectivo/Correctivo",$BB199="Fuerte"),2,IF(AND(W203="Detectivo/Correctivo",$BB203="Moderado"),1,IF(AND(W203="Preventivo",$BB199="Fuerte"),1,0)))</f>
        <v>0</v>
      </c>
      <c r="BE203" s="169" t="e">
        <f>+N199-BC203</f>
        <v>#N/A</v>
      </c>
      <c r="BF203" s="169" t="e">
        <f>+P199-BD203</f>
        <v>#N/A</v>
      </c>
      <c r="BG203" s="422"/>
      <c r="BH203" s="422"/>
      <c r="BI203" s="422"/>
      <c r="BJ203" s="645"/>
      <c r="BK203" s="645"/>
      <c r="BL203" s="645"/>
      <c r="BM203" s="645"/>
    </row>
    <row r="204" spans="1:65" ht="65.099999999999994" customHeight="1" thickBot="1">
      <c r="A204" s="406"/>
      <c r="B204" s="625"/>
      <c r="C204" s="441"/>
      <c r="D204" s="106"/>
      <c r="E204" s="106"/>
      <c r="F204" s="619"/>
      <c r="G204" s="444"/>
      <c r="H204" s="100"/>
      <c r="I204" s="128"/>
      <c r="J204" s="100"/>
      <c r="K204" s="31"/>
      <c r="L204" s="129"/>
      <c r="M204" s="446"/>
      <c r="N204" s="426"/>
      <c r="O204" s="428"/>
      <c r="P204" s="426"/>
      <c r="Q204" s="429"/>
      <c r="R204" s="423"/>
      <c r="S204" s="150"/>
      <c r="T204" s="98"/>
      <c r="U204" s="47" t="s">
        <v>627</v>
      </c>
      <c r="V204" s="172"/>
      <c r="W204" s="172"/>
      <c r="X204" s="172"/>
      <c r="Y204" s="95" t="str">
        <f t="shared" si="37"/>
        <v/>
      </c>
      <c r="Z204" s="172"/>
      <c r="AA204" s="95" t="str">
        <f t="shared" si="38"/>
        <v/>
      </c>
      <c r="AB204" s="150"/>
      <c r="AC204" s="95" t="str">
        <f t="shared" si="39"/>
        <v/>
      </c>
      <c r="AD204" s="150"/>
      <c r="AE204" s="95" t="str">
        <f t="shared" si="40"/>
        <v/>
      </c>
      <c r="AF204" s="150"/>
      <c r="AG204" s="95" t="str">
        <f t="shared" si="41"/>
        <v/>
      </c>
      <c r="AH204" s="150"/>
      <c r="AI204" s="95" t="str">
        <f t="shared" si="42"/>
        <v/>
      </c>
      <c r="AJ204" s="150"/>
      <c r="AK204" s="27" t="str">
        <f t="shared" si="43"/>
        <v/>
      </c>
      <c r="AL204" s="48" t="str">
        <f t="shared" si="44"/>
        <v/>
      </c>
      <c r="AM204" s="48" t="str">
        <f t="shared" si="45"/>
        <v/>
      </c>
      <c r="AN204" s="196"/>
      <c r="AO204" s="196"/>
      <c r="AP204" s="196"/>
      <c r="AQ204" s="196"/>
      <c r="AR204" s="196"/>
      <c r="AS204" s="196"/>
      <c r="AT204" s="196"/>
      <c r="AU204" s="197" t="str">
        <f>IFERROR(VLOOKUP(AT204,'Seguridad Información'!$I$61:$J$65,2,0),"")</f>
        <v/>
      </c>
      <c r="AV204" s="79"/>
      <c r="AW204" s="78" t="str">
        <f t="shared" si="36"/>
        <v/>
      </c>
      <c r="AX204" s="77" t="str">
        <f t="shared" si="46"/>
        <v/>
      </c>
      <c r="AY204" s="21" t="str">
        <f>IFERROR(VLOOKUP((CONCATENATE(AM204,AX204)),Listados!$U$3:$V$11,2,FALSE),"")</f>
        <v/>
      </c>
      <c r="AZ204" s="48">
        <f t="shared" si="47"/>
        <v>100</v>
      </c>
      <c r="BA204" s="432"/>
      <c r="BB204" s="433"/>
      <c r="BC204" s="169">
        <f>+IF(AND(W204="Preventivo",BB199="Fuerte"),2,IF(AND(W204="Preventivo",BB199="Moderado"),1,0))</f>
        <v>0</v>
      </c>
      <c r="BD204" s="64">
        <f>+IF(AND(W204="Detectivo/Correctivo",$BB199="Fuerte"),2,IF(AND(W204="Detectivo/Correctivo",$BB204="Moderado"),1,IF(AND(W204="Preventivo",$BB199="Fuerte"),1,0)))</f>
        <v>0</v>
      </c>
      <c r="BE204" s="169" t="e">
        <f>+N199-BC204</f>
        <v>#N/A</v>
      </c>
      <c r="BF204" s="169" t="e">
        <f>+P199-BD204</f>
        <v>#N/A</v>
      </c>
      <c r="BG204" s="423"/>
      <c r="BH204" s="423"/>
      <c r="BI204" s="423"/>
      <c r="BJ204" s="646"/>
      <c r="BK204" s="646"/>
      <c r="BL204" s="646"/>
      <c r="BM204" s="646"/>
    </row>
    <row r="205" spans="1:65" ht="65.099999999999994" customHeight="1" thickBot="1">
      <c r="A205" s="404">
        <v>34</v>
      </c>
      <c r="B205" s="628"/>
      <c r="C205" s="447" t="str">
        <f>IFERROR(VLOOKUP(B205,Listados!B$3:C$20,2,FALSE),"")</f>
        <v/>
      </c>
      <c r="D205" s="107"/>
      <c r="E205" s="107"/>
      <c r="F205" s="618"/>
      <c r="G205" s="448"/>
      <c r="H205" s="100"/>
      <c r="I205" s="128"/>
      <c r="J205" s="100"/>
      <c r="K205" s="103"/>
      <c r="L205" s="17"/>
      <c r="M205" s="445"/>
      <c r="N205" s="424" t="e">
        <f>+VLOOKUP(M205,Listados!$K$8:$L$12,2,0)</f>
        <v>#N/A</v>
      </c>
      <c r="O205" s="427"/>
      <c r="P205" s="424" t="e">
        <f>+VLOOKUP(O205,Listados!$K$13:$L$17,2,0)</f>
        <v>#N/A</v>
      </c>
      <c r="Q205" s="423" t="str">
        <f>IF(AND(M205&lt;&gt;"",O205&lt;&gt;""),VLOOKUP(M205&amp;O205,Listados!$M$3:$N$27,2,FALSE),"")</f>
        <v/>
      </c>
      <c r="R205" s="421" t="e">
        <f>+VLOOKUP(Q205,Listados!$P$3:$Q$6,2,FALSE)</f>
        <v>#N/A</v>
      </c>
      <c r="S205" s="150"/>
      <c r="T205" s="94"/>
      <c r="U205" s="47" t="s">
        <v>627</v>
      </c>
      <c r="V205" s="172"/>
      <c r="W205" s="172"/>
      <c r="X205" s="172"/>
      <c r="Y205" s="95" t="str">
        <f t="shared" si="37"/>
        <v/>
      </c>
      <c r="Z205" s="172"/>
      <c r="AA205" s="95" t="str">
        <f t="shared" si="38"/>
        <v/>
      </c>
      <c r="AB205" s="150"/>
      <c r="AC205" s="95" t="str">
        <f t="shared" si="39"/>
        <v/>
      </c>
      <c r="AD205" s="150"/>
      <c r="AE205" s="95" t="str">
        <f t="shared" si="40"/>
        <v/>
      </c>
      <c r="AF205" s="150"/>
      <c r="AG205" s="95" t="str">
        <f t="shared" si="41"/>
        <v/>
      </c>
      <c r="AH205" s="150"/>
      <c r="AI205" s="95" t="str">
        <f t="shared" si="42"/>
        <v/>
      </c>
      <c r="AJ205" s="150"/>
      <c r="AK205" s="27" t="str">
        <f t="shared" si="43"/>
        <v/>
      </c>
      <c r="AL205" s="48" t="str">
        <f t="shared" si="44"/>
        <v/>
      </c>
      <c r="AM205" s="48" t="str">
        <f t="shared" si="45"/>
        <v/>
      </c>
      <c r="AN205" s="196"/>
      <c r="AO205" s="196"/>
      <c r="AP205" s="196"/>
      <c r="AQ205" s="196"/>
      <c r="AR205" s="196"/>
      <c r="AS205" s="196"/>
      <c r="AT205" s="196"/>
      <c r="AU205" s="197" t="str">
        <f>IFERROR(VLOOKUP(AT205,'Seguridad Información'!$I$61:$J$65,2,0),"")</f>
        <v/>
      </c>
      <c r="AV205" s="79"/>
      <c r="AW205" s="78" t="str">
        <f t="shared" si="36"/>
        <v/>
      </c>
      <c r="AX205" s="77" t="str">
        <f t="shared" si="46"/>
        <v/>
      </c>
      <c r="AY205" s="21" t="str">
        <f>IFERROR(VLOOKUP((CONCATENATE(AM205,AX205)),Listados!$U$3:$V$11,2,FALSE),"")</f>
        <v/>
      </c>
      <c r="AZ205" s="48">
        <f t="shared" si="47"/>
        <v>100</v>
      </c>
      <c r="BA205" s="430">
        <f>AVERAGE(AZ205:AZ210)</f>
        <v>100</v>
      </c>
      <c r="BB205" s="432" t="str">
        <f>IF(BA205&lt;=50, "Débil", IF(BA205&lt;=99,"Moderado","Fuerte"))</f>
        <v>Fuerte</v>
      </c>
      <c r="BC205" s="169">
        <f>+IF(AND(W205="Preventivo",BB205="Fuerte"),2,IF(AND(W205="Preventivo",BB205="Moderado"),1,0))</f>
        <v>0</v>
      </c>
      <c r="BD205" s="64">
        <f>+IF(AND(W205="Detectivo/Correctivo",$BB205="Fuerte"),2,IF(AND(W205="Detectivo/Correctivo",$BB205="Moderado"),1,IF(AND(W205="Preventivo",$BB205="Fuerte"),1,0)))</f>
        <v>0</v>
      </c>
      <c r="BE205" s="169" t="e">
        <f>+N205-BC205</f>
        <v>#N/A</v>
      </c>
      <c r="BF205" s="169" t="e">
        <f>+P205-BD205</f>
        <v>#N/A</v>
      </c>
      <c r="BG205" s="421" t="e">
        <f>+VLOOKUP(MIN(BE205,BE206,BE207,BE208,BE209,BE210),Listados!$J$18:$K$24,2,TRUE)</f>
        <v>#N/A</v>
      </c>
      <c r="BH205" s="421" t="e">
        <f>+VLOOKUP(MIN(BF205,BF206,BF207,BF208,BF209,BF210),Listados!$J$27:$K$32,2,TRUE)</f>
        <v>#N/A</v>
      </c>
      <c r="BI205" s="421" t="e">
        <f>IF(AND(BG205&lt;&gt;"",BH205&lt;&gt;""),VLOOKUP(BG205&amp;BH205,Listados!$M$3:$N$27,2,FALSE),"")</f>
        <v>#N/A</v>
      </c>
      <c r="BJ205" s="644" t="e">
        <f>+IF($R205="Asumir el riesgo","NA","")</f>
        <v>#N/A</v>
      </c>
      <c r="BK205" s="644" t="e">
        <f>+IF($R205="Asumir el riesgo","NA","")</f>
        <v>#N/A</v>
      </c>
      <c r="BL205" s="644" t="e">
        <f>+IF($R205="Asumir el riesgo","NA","")</f>
        <v>#N/A</v>
      </c>
      <c r="BM205" s="644" t="e">
        <f>+IF($R205="Asumir el riesgo","NA","")</f>
        <v>#N/A</v>
      </c>
    </row>
    <row r="206" spans="1:65" ht="65.099999999999994" customHeight="1" thickBot="1">
      <c r="A206" s="405"/>
      <c r="B206" s="625"/>
      <c r="C206" s="440"/>
      <c r="D206" s="152"/>
      <c r="E206" s="152"/>
      <c r="F206" s="475"/>
      <c r="G206" s="443"/>
      <c r="H206" s="100"/>
      <c r="I206" s="128"/>
      <c r="J206" s="100"/>
      <c r="K206" s="147"/>
      <c r="L206" s="129"/>
      <c r="M206" s="446"/>
      <c r="N206" s="425"/>
      <c r="O206" s="428"/>
      <c r="P206" s="425"/>
      <c r="Q206" s="429"/>
      <c r="R206" s="422"/>
      <c r="S206" s="150"/>
      <c r="T206" s="198"/>
      <c r="U206" s="47" t="s">
        <v>627</v>
      </c>
      <c r="V206" s="172"/>
      <c r="W206" s="172"/>
      <c r="X206" s="172"/>
      <c r="Y206" s="95" t="str">
        <f t="shared" si="37"/>
        <v/>
      </c>
      <c r="Z206" s="172"/>
      <c r="AA206" s="95" t="str">
        <f t="shared" si="38"/>
        <v/>
      </c>
      <c r="AB206" s="150"/>
      <c r="AC206" s="95" t="str">
        <f t="shared" si="39"/>
        <v/>
      </c>
      <c r="AD206" s="150"/>
      <c r="AE206" s="95" t="str">
        <f t="shared" si="40"/>
        <v/>
      </c>
      <c r="AF206" s="150"/>
      <c r="AG206" s="95" t="str">
        <f t="shared" si="41"/>
        <v/>
      </c>
      <c r="AH206" s="150"/>
      <c r="AI206" s="95" t="str">
        <f t="shared" si="42"/>
        <v/>
      </c>
      <c r="AJ206" s="150"/>
      <c r="AK206" s="27" t="str">
        <f t="shared" si="43"/>
        <v/>
      </c>
      <c r="AL206" s="48" t="str">
        <f t="shared" si="44"/>
        <v/>
      </c>
      <c r="AM206" s="48" t="str">
        <f t="shared" si="45"/>
        <v/>
      </c>
      <c r="AN206" s="196"/>
      <c r="AO206" s="196"/>
      <c r="AP206" s="196"/>
      <c r="AQ206" s="196"/>
      <c r="AR206" s="196"/>
      <c r="AS206" s="196"/>
      <c r="AT206" s="196"/>
      <c r="AU206" s="197" t="str">
        <f>IFERROR(VLOOKUP(AT206,'Seguridad Información'!$I$61:$J$65,2,0),"")</f>
        <v/>
      </c>
      <c r="AV206" s="79"/>
      <c r="AW206" s="78" t="str">
        <f t="shared" si="36"/>
        <v/>
      </c>
      <c r="AX206" s="77" t="str">
        <f t="shared" si="46"/>
        <v/>
      </c>
      <c r="AY206" s="21" t="str">
        <f>IFERROR(VLOOKUP((CONCATENATE(AM206,AX206)),Listados!$U$3:$V$11,2,FALSE),"")</f>
        <v/>
      </c>
      <c r="AZ206" s="48">
        <f t="shared" si="47"/>
        <v>100</v>
      </c>
      <c r="BA206" s="431"/>
      <c r="BB206" s="433"/>
      <c r="BC206" s="169">
        <f>+IF(AND(W206="Preventivo",BB205="Fuerte"),2,IF(AND(W206="Preventivo",BB205="Moderado"),1,0))</f>
        <v>0</v>
      </c>
      <c r="BD206" s="64">
        <f>+IF(AND(W206="Detectivo/Correctivo",$BB205="Fuerte"),2,IF(AND(W206="Detectivo/Correctivo",$BB206="Moderado"),1,IF(AND(W206="Preventivo",$BB205="Fuerte"),1,0)))</f>
        <v>0</v>
      </c>
      <c r="BE206" s="169" t="e">
        <f>+N205-BC206</f>
        <v>#N/A</v>
      </c>
      <c r="BF206" s="169" t="e">
        <f>+P205-BD206</f>
        <v>#N/A</v>
      </c>
      <c r="BG206" s="422"/>
      <c r="BH206" s="422"/>
      <c r="BI206" s="422"/>
      <c r="BJ206" s="645"/>
      <c r="BK206" s="645"/>
      <c r="BL206" s="645"/>
      <c r="BM206" s="645"/>
    </row>
    <row r="207" spans="1:65" ht="65.099999999999994" customHeight="1" thickBot="1">
      <c r="A207" s="405"/>
      <c r="B207" s="625"/>
      <c r="C207" s="440"/>
      <c r="D207" s="152"/>
      <c r="E207" s="152"/>
      <c r="F207" s="475"/>
      <c r="G207" s="443"/>
      <c r="H207" s="100"/>
      <c r="I207" s="128"/>
      <c r="J207" s="100"/>
      <c r="K207" s="147"/>
      <c r="L207" s="129"/>
      <c r="M207" s="446"/>
      <c r="N207" s="425"/>
      <c r="O207" s="428"/>
      <c r="P207" s="425"/>
      <c r="Q207" s="429"/>
      <c r="R207" s="422"/>
      <c r="S207" s="150"/>
      <c r="T207" s="96"/>
      <c r="U207" s="47" t="s">
        <v>627</v>
      </c>
      <c r="V207" s="172"/>
      <c r="W207" s="172"/>
      <c r="X207" s="172"/>
      <c r="Y207" s="95" t="str">
        <f t="shared" si="37"/>
        <v/>
      </c>
      <c r="Z207" s="172"/>
      <c r="AA207" s="95" t="str">
        <f t="shared" si="38"/>
        <v/>
      </c>
      <c r="AB207" s="150"/>
      <c r="AC207" s="95" t="str">
        <f t="shared" si="39"/>
        <v/>
      </c>
      <c r="AD207" s="150"/>
      <c r="AE207" s="95" t="str">
        <f t="shared" si="40"/>
        <v/>
      </c>
      <c r="AF207" s="150"/>
      <c r="AG207" s="95" t="str">
        <f t="shared" si="41"/>
        <v/>
      </c>
      <c r="AH207" s="150"/>
      <c r="AI207" s="95" t="str">
        <f t="shared" si="42"/>
        <v/>
      </c>
      <c r="AJ207" s="150"/>
      <c r="AK207" s="27" t="str">
        <f t="shared" si="43"/>
        <v/>
      </c>
      <c r="AL207" s="48" t="str">
        <f t="shared" si="44"/>
        <v/>
      </c>
      <c r="AM207" s="48" t="str">
        <f t="shared" si="45"/>
        <v/>
      </c>
      <c r="AN207" s="196"/>
      <c r="AO207" s="196"/>
      <c r="AP207" s="196"/>
      <c r="AQ207" s="196"/>
      <c r="AR207" s="196"/>
      <c r="AS207" s="196"/>
      <c r="AT207" s="196"/>
      <c r="AU207" s="197" t="str">
        <f>IFERROR(VLOOKUP(AT207,'Seguridad Información'!$I$61:$J$65,2,0),"")</f>
        <v/>
      </c>
      <c r="AV207" s="79"/>
      <c r="AW207" s="78" t="str">
        <f t="shared" si="36"/>
        <v/>
      </c>
      <c r="AX207" s="77" t="str">
        <f t="shared" si="46"/>
        <v/>
      </c>
      <c r="AY207" s="21" t="str">
        <f>IFERROR(VLOOKUP((CONCATENATE(AM207,AX207)),Listados!$U$3:$V$11,2,FALSE),"")</f>
        <v/>
      </c>
      <c r="AZ207" s="48">
        <f t="shared" si="47"/>
        <v>100</v>
      </c>
      <c r="BA207" s="431"/>
      <c r="BB207" s="433"/>
      <c r="BC207" s="169">
        <f>+IF(AND(W207="Preventivo",BB205="Fuerte"),2,IF(AND(W207="Preventivo",BB205="Moderado"),1,0))</f>
        <v>0</v>
      </c>
      <c r="BD207" s="64">
        <f>+IF(AND(W207="Detectivo/Correctivo",$BB205="Fuerte"),2,IF(AND(W207="Detectivo/Correctivo",$BB207="Moderado"),1,IF(AND(W207="Preventivo",$BB205="Fuerte"),1,0)))</f>
        <v>0</v>
      </c>
      <c r="BE207" s="169" t="e">
        <f>+N205-BC207</f>
        <v>#N/A</v>
      </c>
      <c r="BF207" s="169" t="e">
        <f>+P205-BD207</f>
        <v>#N/A</v>
      </c>
      <c r="BG207" s="422"/>
      <c r="BH207" s="422"/>
      <c r="BI207" s="422"/>
      <c r="BJ207" s="645"/>
      <c r="BK207" s="645"/>
      <c r="BL207" s="645"/>
      <c r="BM207" s="645"/>
    </row>
    <row r="208" spans="1:65" ht="65.099999999999994" customHeight="1" thickBot="1">
      <c r="A208" s="405"/>
      <c r="B208" s="625"/>
      <c r="C208" s="440"/>
      <c r="D208" s="152"/>
      <c r="E208" s="152"/>
      <c r="F208" s="475"/>
      <c r="G208" s="443"/>
      <c r="H208" s="100"/>
      <c r="I208" s="128"/>
      <c r="J208" s="100"/>
      <c r="K208" s="147"/>
      <c r="L208" s="129"/>
      <c r="M208" s="446"/>
      <c r="N208" s="425"/>
      <c r="O208" s="428"/>
      <c r="P208" s="425"/>
      <c r="Q208" s="429"/>
      <c r="R208" s="422"/>
      <c r="S208" s="150"/>
      <c r="T208" s="97"/>
      <c r="U208" s="47" t="s">
        <v>627</v>
      </c>
      <c r="V208" s="172"/>
      <c r="W208" s="172"/>
      <c r="X208" s="172"/>
      <c r="Y208" s="95" t="str">
        <f t="shared" si="37"/>
        <v/>
      </c>
      <c r="Z208" s="172"/>
      <c r="AA208" s="95" t="str">
        <f t="shared" si="38"/>
        <v/>
      </c>
      <c r="AB208" s="150"/>
      <c r="AC208" s="95" t="str">
        <f t="shared" si="39"/>
        <v/>
      </c>
      <c r="AD208" s="150"/>
      <c r="AE208" s="95" t="str">
        <f t="shared" si="40"/>
        <v/>
      </c>
      <c r="AF208" s="150"/>
      <c r="AG208" s="95" t="str">
        <f t="shared" si="41"/>
        <v/>
      </c>
      <c r="AH208" s="150"/>
      <c r="AI208" s="95" t="str">
        <f t="shared" si="42"/>
        <v/>
      </c>
      <c r="AJ208" s="150"/>
      <c r="AK208" s="27" t="str">
        <f t="shared" si="43"/>
        <v/>
      </c>
      <c r="AL208" s="48" t="str">
        <f t="shared" si="44"/>
        <v/>
      </c>
      <c r="AM208" s="48" t="str">
        <f t="shared" si="45"/>
        <v/>
      </c>
      <c r="AN208" s="196"/>
      <c r="AO208" s="196"/>
      <c r="AP208" s="196"/>
      <c r="AQ208" s="196"/>
      <c r="AR208" s="196"/>
      <c r="AS208" s="196"/>
      <c r="AT208" s="196"/>
      <c r="AU208" s="197" t="str">
        <f>IFERROR(VLOOKUP(AT208,'Seguridad Información'!$I$61:$J$65,2,0),"")</f>
        <v/>
      </c>
      <c r="AV208" s="79"/>
      <c r="AW208" s="78" t="str">
        <f t="shared" si="36"/>
        <v/>
      </c>
      <c r="AX208" s="77" t="str">
        <f t="shared" si="46"/>
        <v/>
      </c>
      <c r="AY208" s="21" t="str">
        <f>IFERROR(VLOOKUP((CONCATENATE(AM208,AX208)),Listados!$U$3:$V$11,2,FALSE),"")</f>
        <v/>
      </c>
      <c r="AZ208" s="48">
        <f t="shared" si="47"/>
        <v>100</v>
      </c>
      <c r="BA208" s="431"/>
      <c r="BB208" s="433"/>
      <c r="BC208" s="169">
        <f>+IF(AND(W208="Preventivo",BB205="Fuerte"),2,IF(AND(W208="Preventivo",BB205="Moderado"),1,0))</f>
        <v>0</v>
      </c>
      <c r="BD208" s="64">
        <f>+IF(AND(W208="Detectivo/Correctivo",$BB205="Fuerte"),2,IF(AND(W208="Detectivo/Correctivo",$BB208="Moderado"),1,IF(AND(W208="Preventivo",$BB205="Fuerte"),1,0)))</f>
        <v>0</v>
      </c>
      <c r="BE208" s="169" t="e">
        <f>+N205-BC208</f>
        <v>#N/A</v>
      </c>
      <c r="BF208" s="169" t="e">
        <f>+P205-BD208</f>
        <v>#N/A</v>
      </c>
      <c r="BG208" s="422"/>
      <c r="BH208" s="422"/>
      <c r="BI208" s="422"/>
      <c r="BJ208" s="645"/>
      <c r="BK208" s="645"/>
      <c r="BL208" s="645"/>
      <c r="BM208" s="645"/>
    </row>
    <row r="209" spans="1:65" ht="65.099999999999994" customHeight="1" thickBot="1">
      <c r="A209" s="405"/>
      <c r="B209" s="625"/>
      <c r="C209" s="440"/>
      <c r="D209" s="109"/>
      <c r="E209" s="109"/>
      <c r="F209" s="475"/>
      <c r="G209" s="443"/>
      <c r="H209" s="100"/>
      <c r="I209" s="128"/>
      <c r="J209" s="100"/>
      <c r="K209" s="29"/>
      <c r="L209" s="129"/>
      <c r="M209" s="446"/>
      <c r="N209" s="425"/>
      <c r="O209" s="428"/>
      <c r="P209" s="425"/>
      <c r="Q209" s="429"/>
      <c r="R209" s="422"/>
      <c r="S209" s="150"/>
      <c r="T209" s="198"/>
      <c r="U209" s="47" t="s">
        <v>627</v>
      </c>
      <c r="V209" s="172"/>
      <c r="W209" s="172"/>
      <c r="X209" s="172"/>
      <c r="Y209" s="95" t="str">
        <f t="shared" si="37"/>
        <v/>
      </c>
      <c r="Z209" s="172"/>
      <c r="AA209" s="95" t="str">
        <f t="shared" si="38"/>
        <v/>
      </c>
      <c r="AB209" s="150"/>
      <c r="AC209" s="95" t="str">
        <f t="shared" si="39"/>
        <v/>
      </c>
      <c r="AD209" s="150"/>
      <c r="AE209" s="95" t="str">
        <f t="shared" si="40"/>
        <v/>
      </c>
      <c r="AF209" s="150"/>
      <c r="AG209" s="95" t="str">
        <f t="shared" si="41"/>
        <v/>
      </c>
      <c r="AH209" s="150"/>
      <c r="AI209" s="95" t="str">
        <f t="shared" si="42"/>
        <v/>
      </c>
      <c r="AJ209" s="150"/>
      <c r="AK209" s="27" t="str">
        <f t="shared" si="43"/>
        <v/>
      </c>
      <c r="AL209" s="48" t="str">
        <f t="shared" si="44"/>
        <v/>
      </c>
      <c r="AM209" s="48" t="str">
        <f t="shared" si="45"/>
        <v/>
      </c>
      <c r="AN209" s="196"/>
      <c r="AO209" s="196"/>
      <c r="AP209" s="196"/>
      <c r="AQ209" s="196"/>
      <c r="AR209" s="196"/>
      <c r="AS209" s="196"/>
      <c r="AT209" s="196"/>
      <c r="AU209" s="197" t="str">
        <f>IFERROR(VLOOKUP(AT209,'Seguridad Información'!$I$61:$J$65,2,0),"")</f>
        <v/>
      </c>
      <c r="AV209" s="79"/>
      <c r="AW209" s="78" t="str">
        <f t="shared" si="36"/>
        <v/>
      </c>
      <c r="AX209" s="77" t="str">
        <f t="shared" si="46"/>
        <v/>
      </c>
      <c r="AY209" s="21" t="str">
        <f>IFERROR(VLOOKUP((CONCATENATE(AM209,AX209)),Listados!$U$3:$V$11,2,FALSE),"")</f>
        <v/>
      </c>
      <c r="AZ209" s="48">
        <f t="shared" si="47"/>
        <v>100</v>
      </c>
      <c r="BA209" s="431"/>
      <c r="BB209" s="433"/>
      <c r="BC209" s="169">
        <f>+IF(AND(W209="Preventivo",BB205="Fuerte"),2,IF(AND(W209="Preventivo",BB205="Moderado"),1,0))</f>
        <v>0</v>
      </c>
      <c r="BD209" s="64">
        <f>+IF(AND(W209="Detectivo/Correctivo",$BB205="Fuerte"),2,IF(AND(W209="Detectivo/Correctivo",$BB209="Moderado"),1,IF(AND(W209="Preventivo",$BB205="Fuerte"),1,0)))</f>
        <v>0</v>
      </c>
      <c r="BE209" s="169" t="e">
        <f>+N205-BC209</f>
        <v>#N/A</v>
      </c>
      <c r="BF209" s="169" t="e">
        <f>+P205-BD209</f>
        <v>#N/A</v>
      </c>
      <c r="BG209" s="422"/>
      <c r="BH209" s="422"/>
      <c r="BI209" s="422"/>
      <c r="BJ209" s="645"/>
      <c r="BK209" s="645"/>
      <c r="BL209" s="645"/>
      <c r="BM209" s="645"/>
    </row>
    <row r="210" spans="1:65" ht="65.099999999999994" customHeight="1" thickBot="1">
      <c r="A210" s="406"/>
      <c r="B210" s="625"/>
      <c r="C210" s="441"/>
      <c r="D210" s="106"/>
      <c r="E210" s="106"/>
      <c r="F210" s="619"/>
      <c r="G210" s="444"/>
      <c r="H210" s="100"/>
      <c r="I210" s="128"/>
      <c r="J210" s="100"/>
      <c r="K210" s="31"/>
      <c r="L210" s="129"/>
      <c r="M210" s="446"/>
      <c r="N210" s="426"/>
      <c r="O210" s="428"/>
      <c r="P210" s="426"/>
      <c r="Q210" s="429"/>
      <c r="R210" s="423"/>
      <c r="S210" s="150"/>
      <c r="T210" s="98"/>
      <c r="U210" s="47" t="s">
        <v>627</v>
      </c>
      <c r="V210" s="172"/>
      <c r="W210" s="172"/>
      <c r="X210" s="172"/>
      <c r="Y210" s="95" t="str">
        <f t="shared" si="37"/>
        <v/>
      </c>
      <c r="Z210" s="172"/>
      <c r="AA210" s="95" t="str">
        <f t="shared" si="38"/>
        <v/>
      </c>
      <c r="AB210" s="150"/>
      <c r="AC210" s="95" t="str">
        <f t="shared" si="39"/>
        <v/>
      </c>
      <c r="AD210" s="150"/>
      <c r="AE210" s="95" t="str">
        <f t="shared" si="40"/>
        <v/>
      </c>
      <c r="AF210" s="150"/>
      <c r="AG210" s="95" t="str">
        <f t="shared" si="41"/>
        <v/>
      </c>
      <c r="AH210" s="150"/>
      <c r="AI210" s="95" t="str">
        <f t="shared" si="42"/>
        <v/>
      </c>
      <c r="AJ210" s="150"/>
      <c r="AK210" s="27" t="str">
        <f t="shared" si="43"/>
        <v/>
      </c>
      <c r="AL210" s="48" t="str">
        <f t="shared" si="44"/>
        <v/>
      </c>
      <c r="AM210" s="48" t="str">
        <f t="shared" si="45"/>
        <v/>
      </c>
      <c r="AN210" s="196"/>
      <c r="AO210" s="196"/>
      <c r="AP210" s="196"/>
      <c r="AQ210" s="196"/>
      <c r="AR210" s="196"/>
      <c r="AS210" s="196"/>
      <c r="AT210" s="196"/>
      <c r="AU210" s="197" t="str">
        <f>IFERROR(VLOOKUP(AT210,'Seguridad Información'!$I$61:$J$65,2,0),"")</f>
        <v/>
      </c>
      <c r="AV210" s="79"/>
      <c r="AW210" s="78" t="str">
        <f t="shared" si="36"/>
        <v/>
      </c>
      <c r="AX210" s="77" t="str">
        <f t="shared" si="46"/>
        <v/>
      </c>
      <c r="AY210" s="21" t="str">
        <f>IFERROR(VLOOKUP((CONCATENATE(AM210,AX210)),Listados!$U$3:$V$11,2,FALSE),"")</f>
        <v/>
      </c>
      <c r="AZ210" s="48">
        <f t="shared" si="47"/>
        <v>100</v>
      </c>
      <c r="BA210" s="432"/>
      <c r="BB210" s="433"/>
      <c r="BC210" s="169">
        <f>+IF(AND(W210="Preventivo",BB205="Fuerte"),2,IF(AND(W210="Preventivo",BB205="Moderado"),1,0))</f>
        <v>0</v>
      </c>
      <c r="BD210" s="64">
        <f>+IF(AND(W210="Detectivo/Correctivo",$BB205="Fuerte"),2,IF(AND(W210="Detectivo/Correctivo",$BB210="Moderado"),1,IF(AND(W210="Preventivo",$BB205="Fuerte"),1,0)))</f>
        <v>0</v>
      </c>
      <c r="BE210" s="169" t="e">
        <f>+N205-BC210</f>
        <v>#N/A</v>
      </c>
      <c r="BF210" s="169" t="e">
        <f>+P205-BD210</f>
        <v>#N/A</v>
      </c>
      <c r="BG210" s="423"/>
      <c r="BH210" s="423"/>
      <c r="BI210" s="423"/>
      <c r="BJ210" s="646"/>
      <c r="BK210" s="646"/>
      <c r="BL210" s="646"/>
      <c r="BM210" s="646"/>
    </row>
    <row r="211" spans="1:65" ht="65.099999999999994" customHeight="1" thickBot="1">
      <c r="A211" s="404">
        <v>35</v>
      </c>
      <c r="B211" s="628"/>
      <c r="C211" s="447" t="str">
        <f>IFERROR(VLOOKUP(B211,Listados!B$3:C$20,2,FALSE),"")</f>
        <v/>
      </c>
      <c r="D211" s="107"/>
      <c r="E211" s="107"/>
      <c r="F211" s="618"/>
      <c r="G211" s="448"/>
      <c r="H211" s="100"/>
      <c r="I211" s="128"/>
      <c r="J211" s="100"/>
      <c r="K211" s="103"/>
      <c r="L211" s="17"/>
      <c r="M211" s="445"/>
      <c r="N211" s="424" t="e">
        <f>+VLOOKUP(M211,Listados!$K$8:$L$12,2,0)</f>
        <v>#N/A</v>
      </c>
      <c r="O211" s="427"/>
      <c r="P211" s="424" t="e">
        <f>+VLOOKUP(O211,Listados!$K$13:$L$17,2,0)</f>
        <v>#N/A</v>
      </c>
      <c r="Q211" s="423" t="str">
        <f>IF(AND(M211&lt;&gt;"",O211&lt;&gt;""),VLOOKUP(M211&amp;O211,Listados!$M$3:$N$27,2,FALSE),"")</f>
        <v/>
      </c>
      <c r="R211" s="421" t="e">
        <f>+VLOOKUP(Q211,Listados!$P$3:$Q$6,2,FALSE)</f>
        <v>#N/A</v>
      </c>
      <c r="S211" s="150"/>
      <c r="T211" s="94"/>
      <c r="U211" s="47" t="s">
        <v>627</v>
      </c>
      <c r="V211" s="172"/>
      <c r="W211" s="172"/>
      <c r="X211" s="172"/>
      <c r="Y211" s="95" t="str">
        <f t="shared" si="37"/>
        <v/>
      </c>
      <c r="Z211" s="172"/>
      <c r="AA211" s="95" t="str">
        <f t="shared" si="38"/>
        <v/>
      </c>
      <c r="AB211" s="150"/>
      <c r="AC211" s="95" t="str">
        <f t="shared" si="39"/>
        <v/>
      </c>
      <c r="AD211" s="150"/>
      <c r="AE211" s="95" t="str">
        <f t="shared" si="40"/>
        <v/>
      </c>
      <c r="AF211" s="150"/>
      <c r="AG211" s="95" t="str">
        <f t="shared" si="41"/>
        <v/>
      </c>
      <c r="AH211" s="150"/>
      <c r="AI211" s="95" t="str">
        <f t="shared" si="42"/>
        <v/>
      </c>
      <c r="AJ211" s="150"/>
      <c r="AK211" s="27" t="str">
        <f t="shared" si="43"/>
        <v/>
      </c>
      <c r="AL211" s="48" t="str">
        <f t="shared" si="44"/>
        <v/>
      </c>
      <c r="AM211" s="48" t="str">
        <f t="shared" si="45"/>
        <v/>
      </c>
      <c r="AN211" s="196"/>
      <c r="AO211" s="196"/>
      <c r="AP211" s="196"/>
      <c r="AQ211" s="196"/>
      <c r="AR211" s="196"/>
      <c r="AS211" s="196"/>
      <c r="AT211" s="196"/>
      <c r="AU211" s="197" t="str">
        <f>IFERROR(VLOOKUP(AT211,'Seguridad Información'!$I$61:$J$65,2,0),"")</f>
        <v/>
      </c>
      <c r="AV211" s="79"/>
      <c r="AW211" s="78" t="str">
        <f t="shared" si="36"/>
        <v/>
      </c>
      <c r="AX211" s="77" t="str">
        <f t="shared" si="46"/>
        <v/>
      </c>
      <c r="AY211" s="21" t="str">
        <f>IFERROR(VLOOKUP((CONCATENATE(AM211,AX211)),Listados!$U$3:$V$11,2,FALSE),"")</f>
        <v/>
      </c>
      <c r="AZ211" s="48">
        <f t="shared" si="47"/>
        <v>100</v>
      </c>
      <c r="BA211" s="430">
        <f>AVERAGE(AZ211:AZ216)</f>
        <v>100</v>
      </c>
      <c r="BB211" s="432" t="str">
        <f>IF(BA211&lt;=50, "Débil", IF(BA211&lt;=99,"Moderado","Fuerte"))</f>
        <v>Fuerte</v>
      </c>
      <c r="BC211" s="169">
        <f>+IF(AND(W211="Preventivo",BB211="Fuerte"),2,IF(AND(W211="Preventivo",BB211="Moderado"),1,0))</f>
        <v>0</v>
      </c>
      <c r="BD211" s="64">
        <f>+IF(AND(W211="Detectivo/Correctivo",$BB211="Fuerte"),2,IF(AND(W211="Detectivo/Correctivo",$BB211="Moderado"),1,IF(AND(W211="Preventivo",$BB211="Fuerte"),1,0)))</f>
        <v>0</v>
      </c>
      <c r="BE211" s="169" t="e">
        <f>+N211-BC211</f>
        <v>#N/A</v>
      </c>
      <c r="BF211" s="169" t="e">
        <f>+P211-BD211</f>
        <v>#N/A</v>
      </c>
      <c r="BG211" s="421" t="e">
        <f>+VLOOKUP(MIN(BE211,BE212,BE213,BE214,BE215,BE216),Listados!$J$18:$K$24,2,TRUE)</f>
        <v>#N/A</v>
      </c>
      <c r="BH211" s="421" t="e">
        <f>+VLOOKUP(MIN(BF211,BF212,BF213,BF214,BF215,BF216),Listados!$J$27:$K$32,2,TRUE)</f>
        <v>#N/A</v>
      </c>
      <c r="BI211" s="421" t="e">
        <f>IF(AND(BG211&lt;&gt;"",BH211&lt;&gt;""),VLOOKUP(BG211&amp;BH211,Listados!$M$3:$N$27,2,FALSE),"")</f>
        <v>#N/A</v>
      </c>
      <c r="BJ211" s="644" t="e">
        <f>+IF($R211="Asumir el riesgo","NA","")</f>
        <v>#N/A</v>
      </c>
      <c r="BK211" s="644" t="e">
        <f>+IF($R211="Asumir el riesgo","NA","")</f>
        <v>#N/A</v>
      </c>
      <c r="BL211" s="644" t="e">
        <f>+IF($R211="Asumir el riesgo","NA","")</f>
        <v>#N/A</v>
      </c>
      <c r="BM211" s="644" t="e">
        <f>+IF($R211="Asumir el riesgo","NA","")</f>
        <v>#N/A</v>
      </c>
    </row>
    <row r="212" spans="1:65" ht="65.099999999999994" customHeight="1" thickBot="1">
      <c r="A212" s="405"/>
      <c r="B212" s="625"/>
      <c r="C212" s="440"/>
      <c r="D212" s="152"/>
      <c r="E212" s="152"/>
      <c r="F212" s="475"/>
      <c r="G212" s="443"/>
      <c r="H212" s="100"/>
      <c r="I212" s="128"/>
      <c r="J212" s="100"/>
      <c r="K212" s="147"/>
      <c r="L212" s="129"/>
      <c r="M212" s="446"/>
      <c r="N212" s="425"/>
      <c r="O212" s="428"/>
      <c r="P212" s="425"/>
      <c r="Q212" s="429"/>
      <c r="R212" s="422"/>
      <c r="S212" s="150"/>
      <c r="T212" s="198"/>
      <c r="U212" s="47" t="s">
        <v>627</v>
      </c>
      <c r="V212" s="172"/>
      <c r="W212" s="172"/>
      <c r="X212" s="172"/>
      <c r="Y212" s="95" t="str">
        <f t="shared" si="37"/>
        <v/>
      </c>
      <c r="Z212" s="172"/>
      <c r="AA212" s="95" t="str">
        <f t="shared" si="38"/>
        <v/>
      </c>
      <c r="AB212" s="150"/>
      <c r="AC212" s="95" t="str">
        <f t="shared" si="39"/>
        <v/>
      </c>
      <c r="AD212" s="150"/>
      <c r="AE212" s="95" t="str">
        <f t="shared" si="40"/>
        <v/>
      </c>
      <c r="AF212" s="150"/>
      <c r="AG212" s="95" t="str">
        <f t="shared" si="41"/>
        <v/>
      </c>
      <c r="AH212" s="150"/>
      <c r="AI212" s="95" t="str">
        <f t="shared" si="42"/>
        <v/>
      </c>
      <c r="AJ212" s="150"/>
      <c r="AK212" s="27" t="str">
        <f t="shared" si="43"/>
        <v/>
      </c>
      <c r="AL212" s="48" t="str">
        <f t="shared" si="44"/>
        <v/>
      </c>
      <c r="AM212" s="48" t="str">
        <f t="shared" si="45"/>
        <v/>
      </c>
      <c r="AN212" s="196"/>
      <c r="AO212" s="196"/>
      <c r="AP212" s="196"/>
      <c r="AQ212" s="196"/>
      <c r="AR212" s="196"/>
      <c r="AS212" s="196"/>
      <c r="AT212" s="196"/>
      <c r="AU212" s="197" t="str">
        <f>IFERROR(VLOOKUP(AT212,'Seguridad Información'!$I$61:$J$65,2,0),"")</f>
        <v/>
      </c>
      <c r="AV212" s="79"/>
      <c r="AW212" s="78" t="str">
        <f t="shared" si="36"/>
        <v/>
      </c>
      <c r="AX212" s="77" t="str">
        <f t="shared" si="46"/>
        <v/>
      </c>
      <c r="AY212" s="21" t="str">
        <f>IFERROR(VLOOKUP((CONCATENATE(AM212,AX212)),Listados!$U$3:$V$11,2,FALSE),"")</f>
        <v/>
      </c>
      <c r="AZ212" s="48">
        <f t="shared" si="47"/>
        <v>100</v>
      </c>
      <c r="BA212" s="431"/>
      <c r="BB212" s="433"/>
      <c r="BC212" s="169">
        <f>+IF(AND(W212="Preventivo",BB211="Fuerte"),2,IF(AND(W212="Preventivo",BB211="Moderado"),1,0))</f>
        <v>0</v>
      </c>
      <c r="BD212" s="64">
        <f>+IF(AND(W212="Detectivo/Correctivo",$BB211="Fuerte"),2,IF(AND(W212="Detectivo/Correctivo",$BB212="Moderado"),1,IF(AND(W212="Preventivo",$BB211="Fuerte"),1,0)))</f>
        <v>0</v>
      </c>
      <c r="BE212" s="169" t="e">
        <f>+N211-BC212</f>
        <v>#N/A</v>
      </c>
      <c r="BF212" s="169" t="e">
        <f>+P211-BD212</f>
        <v>#N/A</v>
      </c>
      <c r="BG212" s="422"/>
      <c r="BH212" s="422"/>
      <c r="BI212" s="422"/>
      <c r="BJ212" s="645"/>
      <c r="BK212" s="645"/>
      <c r="BL212" s="645"/>
      <c r="BM212" s="645"/>
    </row>
    <row r="213" spans="1:65" ht="65.099999999999994" customHeight="1" thickBot="1">
      <c r="A213" s="405"/>
      <c r="B213" s="625"/>
      <c r="C213" s="440"/>
      <c r="D213" s="152"/>
      <c r="E213" s="152"/>
      <c r="F213" s="475"/>
      <c r="G213" s="443"/>
      <c r="H213" s="100"/>
      <c r="I213" s="128"/>
      <c r="J213" s="100"/>
      <c r="K213" s="147"/>
      <c r="L213" s="129"/>
      <c r="M213" s="446"/>
      <c r="N213" s="425"/>
      <c r="O213" s="428"/>
      <c r="P213" s="425"/>
      <c r="Q213" s="429"/>
      <c r="R213" s="422"/>
      <c r="S213" s="150"/>
      <c r="T213" s="96"/>
      <c r="U213" s="47" t="s">
        <v>627</v>
      </c>
      <c r="V213" s="172"/>
      <c r="W213" s="172"/>
      <c r="X213" s="172"/>
      <c r="Y213" s="95" t="str">
        <f t="shared" si="37"/>
        <v/>
      </c>
      <c r="Z213" s="172"/>
      <c r="AA213" s="95" t="str">
        <f t="shared" si="38"/>
        <v/>
      </c>
      <c r="AB213" s="150"/>
      <c r="AC213" s="95" t="str">
        <f t="shared" si="39"/>
        <v/>
      </c>
      <c r="AD213" s="150"/>
      <c r="AE213" s="95" t="str">
        <f t="shared" si="40"/>
        <v/>
      </c>
      <c r="AF213" s="150"/>
      <c r="AG213" s="95" t="str">
        <f t="shared" si="41"/>
        <v/>
      </c>
      <c r="AH213" s="150"/>
      <c r="AI213" s="95" t="str">
        <f t="shared" si="42"/>
        <v/>
      </c>
      <c r="AJ213" s="150"/>
      <c r="AK213" s="27" t="str">
        <f t="shared" si="43"/>
        <v/>
      </c>
      <c r="AL213" s="48" t="str">
        <f t="shared" si="44"/>
        <v/>
      </c>
      <c r="AM213" s="48" t="str">
        <f t="shared" si="45"/>
        <v/>
      </c>
      <c r="AN213" s="196"/>
      <c r="AO213" s="196"/>
      <c r="AP213" s="196"/>
      <c r="AQ213" s="196"/>
      <c r="AR213" s="196"/>
      <c r="AS213" s="196"/>
      <c r="AT213" s="196"/>
      <c r="AU213" s="197" t="str">
        <f>IFERROR(VLOOKUP(AT213,'Seguridad Información'!$I$61:$J$65,2,0),"")</f>
        <v/>
      </c>
      <c r="AV213" s="79"/>
      <c r="AW213" s="78" t="str">
        <f t="shared" si="36"/>
        <v/>
      </c>
      <c r="AX213" s="77" t="str">
        <f t="shared" si="46"/>
        <v/>
      </c>
      <c r="AY213" s="21" t="str">
        <f>IFERROR(VLOOKUP((CONCATENATE(AM213,AX213)),Listados!$U$3:$V$11,2,FALSE),"")</f>
        <v/>
      </c>
      <c r="AZ213" s="48">
        <f t="shared" si="47"/>
        <v>100</v>
      </c>
      <c r="BA213" s="431"/>
      <c r="BB213" s="433"/>
      <c r="BC213" s="169">
        <f>+IF(AND(W213="Preventivo",BB211="Fuerte"),2,IF(AND(W213="Preventivo",BB211="Moderado"),1,0))</f>
        <v>0</v>
      </c>
      <c r="BD213" s="64">
        <f>+IF(AND(W213="Detectivo/Correctivo",$BB211="Fuerte"),2,IF(AND(W213="Detectivo/Correctivo",$BB213="Moderado"),1,IF(AND(W213="Preventivo",$BB211="Fuerte"),1,0)))</f>
        <v>0</v>
      </c>
      <c r="BE213" s="169" t="e">
        <f>+N211-BC213</f>
        <v>#N/A</v>
      </c>
      <c r="BF213" s="169" t="e">
        <f>+P211-BD213</f>
        <v>#N/A</v>
      </c>
      <c r="BG213" s="422"/>
      <c r="BH213" s="422"/>
      <c r="BI213" s="422"/>
      <c r="BJ213" s="645"/>
      <c r="BK213" s="645"/>
      <c r="BL213" s="645"/>
      <c r="BM213" s="645"/>
    </row>
    <row r="214" spans="1:65" ht="65.099999999999994" customHeight="1" thickBot="1">
      <c r="A214" s="405"/>
      <c r="B214" s="625"/>
      <c r="C214" s="440"/>
      <c r="D214" s="152"/>
      <c r="E214" s="152"/>
      <c r="F214" s="475"/>
      <c r="G214" s="443"/>
      <c r="H214" s="100"/>
      <c r="I214" s="128"/>
      <c r="J214" s="100"/>
      <c r="K214" s="147"/>
      <c r="L214" s="129"/>
      <c r="M214" s="446"/>
      <c r="N214" s="425"/>
      <c r="O214" s="428"/>
      <c r="P214" s="425"/>
      <c r="Q214" s="429"/>
      <c r="R214" s="422"/>
      <c r="S214" s="150"/>
      <c r="T214" s="97"/>
      <c r="U214" s="47" t="s">
        <v>627</v>
      </c>
      <c r="V214" s="172"/>
      <c r="W214" s="172"/>
      <c r="X214" s="172"/>
      <c r="Y214" s="95" t="str">
        <f t="shared" si="37"/>
        <v/>
      </c>
      <c r="Z214" s="172"/>
      <c r="AA214" s="95" t="str">
        <f t="shared" si="38"/>
        <v/>
      </c>
      <c r="AB214" s="150"/>
      <c r="AC214" s="95" t="str">
        <f t="shared" si="39"/>
        <v/>
      </c>
      <c r="AD214" s="150"/>
      <c r="AE214" s="95" t="str">
        <f t="shared" si="40"/>
        <v/>
      </c>
      <c r="AF214" s="150"/>
      <c r="AG214" s="95" t="str">
        <f t="shared" si="41"/>
        <v/>
      </c>
      <c r="AH214" s="150"/>
      <c r="AI214" s="95" t="str">
        <f t="shared" si="42"/>
        <v/>
      </c>
      <c r="AJ214" s="150"/>
      <c r="AK214" s="27" t="str">
        <f t="shared" si="43"/>
        <v/>
      </c>
      <c r="AL214" s="48" t="str">
        <f t="shared" si="44"/>
        <v/>
      </c>
      <c r="AM214" s="48" t="str">
        <f t="shared" si="45"/>
        <v/>
      </c>
      <c r="AN214" s="196"/>
      <c r="AO214" s="196"/>
      <c r="AP214" s="196"/>
      <c r="AQ214" s="196"/>
      <c r="AR214" s="196"/>
      <c r="AS214" s="196"/>
      <c r="AT214" s="196"/>
      <c r="AU214" s="197" t="str">
        <f>IFERROR(VLOOKUP(AT214,'Seguridad Información'!$I$61:$J$65,2,0),"")</f>
        <v/>
      </c>
      <c r="AV214" s="79"/>
      <c r="AW214" s="78" t="str">
        <f t="shared" si="36"/>
        <v/>
      </c>
      <c r="AX214" s="77" t="str">
        <f t="shared" si="46"/>
        <v/>
      </c>
      <c r="AY214" s="21" t="str">
        <f>IFERROR(VLOOKUP((CONCATENATE(AM214,AX214)),Listados!$U$3:$V$11,2,FALSE),"")</f>
        <v/>
      </c>
      <c r="AZ214" s="48">
        <f t="shared" si="47"/>
        <v>100</v>
      </c>
      <c r="BA214" s="431"/>
      <c r="BB214" s="433"/>
      <c r="BC214" s="169">
        <f>+IF(AND(W214="Preventivo",BB211="Fuerte"),2,IF(AND(W214="Preventivo",BB211="Moderado"),1,0))</f>
        <v>0</v>
      </c>
      <c r="BD214" s="64">
        <f>+IF(AND(W214="Detectivo/Correctivo",$BB211="Fuerte"),2,IF(AND(W214="Detectivo/Correctivo",$BB214="Moderado"),1,IF(AND(W214="Preventivo",$BB211="Fuerte"),1,0)))</f>
        <v>0</v>
      </c>
      <c r="BE214" s="169" t="e">
        <f>+N211-BC214</f>
        <v>#N/A</v>
      </c>
      <c r="BF214" s="169" t="e">
        <f>+P211-BD214</f>
        <v>#N/A</v>
      </c>
      <c r="BG214" s="422"/>
      <c r="BH214" s="422"/>
      <c r="BI214" s="422"/>
      <c r="BJ214" s="645"/>
      <c r="BK214" s="645"/>
      <c r="BL214" s="645"/>
      <c r="BM214" s="645"/>
    </row>
    <row r="215" spans="1:65" ht="65.099999999999994" customHeight="1" thickBot="1">
      <c r="A215" s="405"/>
      <c r="B215" s="625"/>
      <c r="C215" s="440"/>
      <c r="D215" s="109"/>
      <c r="E215" s="109"/>
      <c r="F215" s="475"/>
      <c r="G215" s="443"/>
      <c r="H215" s="100"/>
      <c r="I215" s="128"/>
      <c r="J215" s="100"/>
      <c r="K215" s="29"/>
      <c r="L215" s="129"/>
      <c r="M215" s="446"/>
      <c r="N215" s="425"/>
      <c r="O215" s="428"/>
      <c r="P215" s="425"/>
      <c r="Q215" s="429"/>
      <c r="R215" s="422"/>
      <c r="S215" s="150"/>
      <c r="T215" s="198"/>
      <c r="U215" s="47" t="s">
        <v>627</v>
      </c>
      <c r="V215" s="172"/>
      <c r="W215" s="172"/>
      <c r="X215" s="172"/>
      <c r="Y215" s="95" t="str">
        <f t="shared" si="37"/>
        <v/>
      </c>
      <c r="Z215" s="172"/>
      <c r="AA215" s="95" t="str">
        <f t="shared" si="38"/>
        <v/>
      </c>
      <c r="AB215" s="150"/>
      <c r="AC215" s="95" t="str">
        <f t="shared" si="39"/>
        <v/>
      </c>
      <c r="AD215" s="150"/>
      <c r="AE215" s="95" t="str">
        <f t="shared" si="40"/>
        <v/>
      </c>
      <c r="AF215" s="150"/>
      <c r="AG215" s="95" t="str">
        <f t="shared" si="41"/>
        <v/>
      </c>
      <c r="AH215" s="150"/>
      <c r="AI215" s="95" t="str">
        <f t="shared" si="42"/>
        <v/>
      </c>
      <c r="AJ215" s="150"/>
      <c r="AK215" s="27" t="str">
        <f t="shared" si="43"/>
        <v/>
      </c>
      <c r="AL215" s="48" t="str">
        <f t="shared" si="44"/>
        <v/>
      </c>
      <c r="AM215" s="48" t="str">
        <f t="shared" si="45"/>
        <v/>
      </c>
      <c r="AN215" s="196"/>
      <c r="AO215" s="196"/>
      <c r="AP215" s="196"/>
      <c r="AQ215" s="196"/>
      <c r="AR215" s="196"/>
      <c r="AS215" s="196"/>
      <c r="AT215" s="196"/>
      <c r="AU215" s="197" t="str">
        <f>IFERROR(VLOOKUP(AT215,'Seguridad Información'!$I$61:$J$65,2,0),"")</f>
        <v/>
      </c>
      <c r="AV215" s="79"/>
      <c r="AW215" s="78" t="str">
        <f t="shared" si="36"/>
        <v/>
      </c>
      <c r="AX215" s="77" t="str">
        <f t="shared" si="46"/>
        <v/>
      </c>
      <c r="AY215" s="21" t="str">
        <f>IFERROR(VLOOKUP((CONCATENATE(AM215,AX215)),Listados!$U$3:$V$11,2,FALSE),"")</f>
        <v/>
      </c>
      <c r="AZ215" s="48">
        <f t="shared" si="47"/>
        <v>100</v>
      </c>
      <c r="BA215" s="431"/>
      <c r="BB215" s="433"/>
      <c r="BC215" s="169">
        <f>+IF(AND(W215="Preventivo",BB211="Fuerte"),2,IF(AND(W215="Preventivo",BB211="Moderado"),1,0))</f>
        <v>0</v>
      </c>
      <c r="BD215" s="64">
        <f>+IF(AND(W215="Detectivo/Correctivo",$BB211="Fuerte"),2,IF(AND(W215="Detectivo/Correctivo",$BB215="Moderado"),1,IF(AND(W215="Preventivo",$BB211="Fuerte"),1,0)))</f>
        <v>0</v>
      </c>
      <c r="BE215" s="169" t="e">
        <f>+N211-BC215</f>
        <v>#N/A</v>
      </c>
      <c r="BF215" s="169" t="e">
        <f>+P211-BD215</f>
        <v>#N/A</v>
      </c>
      <c r="BG215" s="422"/>
      <c r="BH215" s="422"/>
      <c r="BI215" s="422"/>
      <c r="BJ215" s="645"/>
      <c r="BK215" s="645"/>
      <c r="BL215" s="645"/>
      <c r="BM215" s="645"/>
    </row>
    <row r="216" spans="1:65" ht="65.099999999999994" customHeight="1" thickBot="1">
      <c r="A216" s="406"/>
      <c r="B216" s="625"/>
      <c r="C216" s="441"/>
      <c r="D216" s="106"/>
      <c r="E216" s="106"/>
      <c r="F216" s="619"/>
      <c r="G216" s="444"/>
      <c r="H216" s="100"/>
      <c r="I216" s="128"/>
      <c r="J216" s="100"/>
      <c r="K216" s="31"/>
      <c r="L216" s="129"/>
      <c r="M216" s="446"/>
      <c r="N216" s="426"/>
      <c r="O216" s="428"/>
      <c r="P216" s="426"/>
      <c r="Q216" s="429"/>
      <c r="R216" s="423"/>
      <c r="S216" s="150"/>
      <c r="T216" s="98"/>
      <c r="U216" s="47" t="s">
        <v>627</v>
      </c>
      <c r="V216" s="172"/>
      <c r="W216" s="172"/>
      <c r="X216" s="172"/>
      <c r="Y216" s="95" t="str">
        <f t="shared" si="37"/>
        <v/>
      </c>
      <c r="Z216" s="172"/>
      <c r="AA216" s="95" t="str">
        <f t="shared" si="38"/>
        <v/>
      </c>
      <c r="AB216" s="150"/>
      <c r="AC216" s="95" t="str">
        <f t="shared" si="39"/>
        <v/>
      </c>
      <c r="AD216" s="150"/>
      <c r="AE216" s="95" t="str">
        <f t="shared" si="40"/>
        <v/>
      </c>
      <c r="AF216" s="150"/>
      <c r="AG216" s="95" t="str">
        <f t="shared" si="41"/>
        <v/>
      </c>
      <c r="AH216" s="150"/>
      <c r="AI216" s="95" t="str">
        <f t="shared" si="42"/>
        <v/>
      </c>
      <c r="AJ216" s="150"/>
      <c r="AK216" s="27" t="str">
        <f t="shared" si="43"/>
        <v/>
      </c>
      <c r="AL216" s="48" t="str">
        <f t="shared" si="44"/>
        <v/>
      </c>
      <c r="AM216" s="48" t="str">
        <f t="shared" si="45"/>
        <v/>
      </c>
      <c r="AN216" s="196"/>
      <c r="AO216" s="196"/>
      <c r="AP216" s="196"/>
      <c r="AQ216" s="196"/>
      <c r="AR216" s="196"/>
      <c r="AS216" s="196"/>
      <c r="AT216" s="196"/>
      <c r="AU216" s="197" t="str">
        <f>IFERROR(VLOOKUP(AT216,'Seguridad Información'!$I$61:$J$65,2,0),"")</f>
        <v/>
      </c>
      <c r="AV216" s="79"/>
      <c r="AW216" s="78" t="str">
        <f t="shared" si="36"/>
        <v/>
      </c>
      <c r="AX216" s="77" t="str">
        <f t="shared" si="46"/>
        <v/>
      </c>
      <c r="AY216" s="21" t="str">
        <f>IFERROR(VLOOKUP((CONCATENATE(AM216,AX216)),Listados!$U$3:$V$11,2,FALSE),"")</f>
        <v/>
      </c>
      <c r="AZ216" s="48">
        <f t="shared" si="47"/>
        <v>100</v>
      </c>
      <c r="BA216" s="432"/>
      <c r="BB216" s="433"/>
      <c r="BC216" s="169">
        <f>+IF(AND(W216="Preventivo",BB211="Fuerte"),2,IF(AND(W216="Preventivo",BB211="Moderado"),1,0))</f>
        <v>0</v>
      </c>
      <c r="BD216" s="64">
        <f>+IF(AND(W216="Detectivo/Correctivo",$BB211="Fuerte"),2,IF(AND(W216="Detectivo/Correctivo",$BB216="Moderado"),1,IF(AND(W216="Preventivo",$BB211="Fuerte"),1,0)))</f>
        <v>0</v>
      </c>
      <c r="BE216" s="169" t="e">
        <f>+N211-BC216</f>
        <v>#N/A</v>
      </c>
      <c r="BF216" s="169" t="e">
        <f>+P211-BD216</f>
        <v>#N/A</v>
      </c>
      <c r="BG216" s="423"/>
      <c r="BH216" s="423"/>
      <c r="BI216" s="423"/>
      <c r="BJ216" s="646"/>
      <c r="BK216" s="646"/>
      <c r="BL216" s="646"/>
      <c r="BM216" s="646"/>
    </row>
    <row r="217" spans="1:65" ht="65.099999999999994" customHeight="1" thickBot="1">
      <c r="A217" s="404">
        <v>36</v>
      </c>
      <c r="B217" s="628"/>
      <c r="C217" s="447" t="str">
        <f>IFERROR(VLOOKUP(B217,Listados!B$3:C$20,2,FALSE),"")</f>
        <v/>
      </c>
      <c r="D217" s="107"/>
      <c r="E217" s="107"/>
      <c r="F217" s="618"/>
      <c r="G217" s="448"/>
      <c r="H217" s="100"/>
      <c r="I217" s="128"/>
      <c r="J217" s="100"/>
      <c r="K217" s="103"/>
      <c r="L217" s="17"/>
      <c r="M217" s="445"/>
      <c r="N217" s="424" t="e">
        <f>+VLOOKUP(M217,Listados!$K$8:$L$12,2,0)</f>
        <v>#N/A</v>
      </c>
      <c r="O217" s="427"/>
      <c r="P217" s="424" t="e">
        <f>+VLOOKUP(O217,Listados!$K$13:$L$17,2,0)</f>
        <v>#N/A</v>
      </c>
      <c r="Q217" s="423" t="str">
        <f>IF(AND(M217&lt;&gt;"",O217&lt;&gt;""),VLOOKUP(M217&amp;O217,Listados!$M$3:$N$27,2,FALSE),"")</f>
        <v/>
      </c>
      <c r="R217" s="421" t="e">
        <f>+VLOOKUP(Q217,Listados!$P$3:$Q$6,2,FALSE)</f>
        <v>#N/A</v>
      </c>
      <c r="S217" s="150"/>
      <c r="T217" s="94"/>
      <c r="U217" s="47" t="s">
        <v>627</v>
      </c>
      <c r="V217" s="172"/>
      <c r="W217" s="172"/>
      <c r="X217" s="172"/>
      <c r="Y217" s="95" t="str">
        <f t="shared" si="37"/>
        <v/>
      </c>
      <c r="Z217" s="172"/>
      <c r="AA217" s="95" t="str">
        <f t="shared" si="38"/>
        <v/>
      </c>
      <c r="AB217" s="150"/>
      <c r="AC217" s="95" t="str">
        <f t="shared" si="39"/>
        <v/>
      </c>
      <c r="AD217" s="150"/>
      <c r="AE217" s="95" t="str">
        <f t="shared" si="40"/>
        <v/>
      </c>
      <c r="AF217" s="150"/>
      <c r="AG217" s="95" t="str">
        <f t="shared" si="41"/>
        <v/>
      </c>
      <c r="AH217" s="150"/>
      <c r="AI217" s="95" t="str">
        <f t="shared" si="42"/>
        <v/>
      </c>
      <c r="AJ217" s="150"/>
      <c r="AK217" s="27" t="str">
        <f t="shared" si="43"/>
        <v/>
      </c>
      <c r="AL217" s="48" t="str">
        <f t="shared" si="44"/>
        <v/>
      </c>
      <c r="AM217" s="48" t="str">
        <f t="shared" si="45"/>
        <v/>
      </c>
      <c r="AN217" s="196"/>
      <c r="AO217" s="196"/>
      <c r="AP217" s="196"/>
      <c r="AQ217" s="196"/>
      <c r="AR217" s="196"/>
      <c r="AS217" s="196"/>
      <c r="AT217" s="196"/>
      <c r="AU217" s="197" t="str">
        <f>IFERROR(VLOOKUP(AT217,'Seguridad Información'!$I$61:$J$65,2,0),"")</f>
        <v/>
      </c>
      <c r="AV217" s="79"/>
      <c r="AW217" s="78" t="str">
        <f t="shared" si="36"/>
        <v/>
      </c>
      <c r="AX217" s="77" t="str">
        <f t="shared" si="46"/>
        <v/>
      </c>
      <c r="AY217" s="21" t="str">
        <f>IFERROR(VLOOKUP((CONCATENATE(AM217,AX217)),Listados!$U$3:$V$11,2,FALSE),"")</f>
        <v/>
      </c>
      <c r="AZ217" s="48">
        <f t="shared" si="47"/>
        <v>100</v>
      </c>
      <c r="BA217" s="430">
        <f>AVERAGE(AZ217:AZ222)</f>
        <v>100</v>
      </c>
      <c r="BB217" s="432" t="str">
        <f>IF(BA217&lt;=50, "Débil", IF(BA217&lt;=99,"Moderado","Fuerte"))</f>
        <v>Fuerte</v>
      </c>
      <c r="BC217" s="169">
        <f>+IF(AND(W217="Preventivo",BB217="Fuerte"),2,IF(AND(W217="Preventivo",BB217="Moderado"),1,0))</f>
        <v>0</v>
      </c>
      <c r="BD217" s="64">
        <f>+IF(AND(W217="Detectivo/Correctivo",$BB217="Fuerte"),2,IF(AND(W217="Detectivo/Correctivo",$BB217="Moderado"),1,IF(AND(W217="Preventivo",$BB217="Fuerte"),1,0)))</f>
        <v>0</v>
      </c>
      <c r="BE217" s="169" t="e">
        <f>+N217-BC217</f>
        <v>#N/A</v>
      </c>
      <c r="BF217" s="169" t="e">
        <f>+P217-BD217</f>
        <v>#N/A</v>
      </c>
      <c r="BG217" s="421" t="e">
        <f>+VLOOKUP(MIN(BE217,BE218,BE219,BE220,BE221,BE222),Listados!$J$18:$K$24,2,TRUE)</f>
        <v>#N/A</v>
      </c>
      <c r="BH217" s="421" t="e">
        <f>+VLOOKUP(MIN(BF217,BF218,BF219,BF220,BF221,BF222),Listados!$J$27:$K$32,2,TRUE)</f>
        <v>#N/A</v>
      </c>
      <c r="BI217" s="421" t="e">
        <f>IF(AND(BG217&lt;&gt;"",BH217&lt;&gt;""),VLOOKUP(BG217&amp;BH217,Listados!$M$3:$N$27,2,FALSE),"")</f>
        <v>#N/A</v>
      </c>
      <c r="BJ217" s="644" t="e">
        <f>+IF($R217="Asumir el riesgo","NA","")</f>
        <v>#N/A</v>
      </c>
      <c r="BK217" s="644" t="e">
        <f>+IF($R217="Asumir el riesgo","NA","")</f>
        <v>#N/A</v>
      </c>
      <c r="BL217" s="644" t="e">
        <f>+IF($R217="Asumir el riesgo","NA","")</f>
        <v>#N/A</v>
      </c>
      <c r="BM217" s="644" t="e">
        <f>+IF($R217="Asumir el riesgo","NA","")</f>
        <v>#N/A</v>
      </c>
    </row>
    <row r="218" spans="1:65" ht="65.099999999999994" customHeight="1" thickBot="1">
      <c r="A218" s="405"/>
      <c r="B218" s="625"/>
      <c r="C218" s="440"/>
      <c r="D218" s="152"/>
      <c r="E218" s="152"/>
      <c r="F218" s="475"/>
      <c r="G218" s="443"/>
      <c r="H218" s="100"/>
      <c r="I218" s="128"/>
      <c r="J218" s="100"/>
      <c r="K218" s="147"/>
      <c r="L218" s="129"/>
      <c r="M218" s="446"/>
      <c r="N218" s="425"/>
      <c r="O218" s="428"/>
      <c r="P218" s="425"/>
      <c r="Q218" s="429"/>
      <c r="R218" s="422"/>
      <c r="S218" s="150"/>
      <c r="T218" s="198"/>
      <c r="U218" s="47" t="s">
        <v>627</v>
      </c>
      <c r="V218" s="172"/>
      <c r="W218" s="172"/>
      <c r="X218" s="172"/>
      <c r="Y218" s="95" t="str">
        <f t="shared" si="37"/>
        <v/>
      </c>
      <c r="Z218" s="172"/>
      <c r="AA218" s="95" t="str">
        <f t="shared" si="38"/>
        <v/>
      </c>
      <c r="AB218" s="150"/>
      <c r="AC218" s="95" t="str">
        <f t="shared" si="39"/>
        <v/>
      </c>
      <c r="AD218" s="150"/>
      <c r="AE218" s="95" t="str">
        <f t="shared" si="40"/>
        <v/>
      </c>
      <c r="AF218" s="150"/>
      <c r="AG218" s="95" t="str">
        <f t="shared" si="41"/>
        <v/>
      </c>
      <c r="AH218" s="150"/>
      <c r="AI218" s="95" t="str">
        <f t="shared" si="42"/>
        <v/>
      </c>
      <c r="AJ218" s="150"/>
      <c r="AK218" s="27" t="str">
        <f t="shared" si="43"/>
        <v/>
      </c>
      <c r="AL218" s="48" t="str">
        <f t="shared" si="44"/>
        <v/>
      </c>
      <c r="AM218" s="48" t="str">
        <f t="shared" si="45"/>
        <v/>
      </c>
      <c r="AN218" s="196"/>
      <c r="AO218" s="196"/>
      <c r="AP218" s="196"/>
      <c r="AQ218" s="196"/>
      <c r="AR218" s="196"/>
      <c r="AS218" s="196"/>
      <c r="AT218" s="196"/>
      <c r="AU218" s="197" t="str">
        <f>IFERROR(VLOOKUP(AT218,'Seguridad Información'!$I$61:$J$65,2,0),"")</f>
        <v/>
      </c>
      <c r="AV218" s="79"/>
      <c r="AW218" s="78" t="str">
        <f t="shared" si="36"/>
        <v/>
      </c>
      <c r="AX218" s="77" t="str">
        <f t="shared" si="46"/>
        <v/>
      </c>
      <c r="AY218" s="21" t="str">
        <f>IFERROR(VLOOKUP((CONCATENATE(AM218,AX218)),Listados!$U$3:$V$11,2,FALSE),"")</f>
        <v/>
      </c>
      <c r="AZ218" s="48">
        <f t="shared" si="47"/>
        <v>100</v>
      </c>
      <c r="BA218" s="431"/>
      <c r="BB218" s="433"/>
      <c r="BC218" s="169">
        <f>+IF(AND(W218="Preventivo",BB217="Fuerte"),2,IF(AND(W218="Preventivo",BB217="Moderado"),1,0))</f>
        <v>0</v>
      </c>
      <c r="BD218" s="64">
        <f>+IF(AND(W218="Detectivo/Correctivo",$BB217="Fuerte"),2,IF(AND(W218="Detectivo/Correctivo",$BB218="Moderado"),1,IF(AND(W218="Preventivo",$BB217="Fuerte"),1,0)))</f>
        <v>0</v>
      </c>
      <c r="BE218" s="169" t="e">
        <f>+N217-BC218</f>
        <v>#N/A</v>
      </c>
      <c r="BF218" s="169" t="e">
        <f>+P217-BD218</f>
        <v>#N/A</v>
      </c>
      <c r="BG218" s="422"/>
      <c r="BH218" s="422"/>
      <c r="BI218" s="422"/>
      <c r="BJ218" s="645"/>
      <c r="BK218" s="645"/>
      <c r="BL218" s="645"/>
      <c r="BM218" s="645"/>
    </row>
    <row r="219" spans="1:65" ht="65.099999999999994" customHeight="1" thickBot="1">
      <c r="A219" s="405"/>
      <c r="B219" s="625"/>
      <c r="C219" s="440"/>
      <c r="D219" s="152"/>
      <c r="E219" s="152"/>
      <c r="F219" s="475"/>
      <c r="G219" s="443"/>
      <c r="H219" s="100"/>
      <c r="I219" s="128"/>
      <c r="J219" s="100"/>
      <c r="K219" s="147"/>
      <c r="L219" s="129"/>
      <c r="M219" s="446"/>
      <c r="N219" s="425"/>
      <c r="O219" s="428"/>
      <c r="P219" s="425"/>
      <c r="Q219" s="429"/>
      <c r="R219" s="422"/>
      <c r="S219" s="150"/>
      <c r="T219" s="96"/>
      <c r="U219" s="47" t="s">
        <v>627</v>
      </c>
      <c r="V219" s="172"/>
      <c r="W219" s="172"/>
      <c r="X219" s="172"/>
      <c r="Y219" s="95" t="str">
        <f t="shared" si="37"/>
        <v/>
      </c>
      <c r="Z219" s="172"/>
      <c r="AA219" s="95" t="str">
        <f t="shared" si="38"/>
        <v/>
      </c>
      <c r="AB219" s="150"/>
      <c r="AC219" s="95" t="str">
        <f t="shared" si="39"/>
        <v/>
      </c>
      <c r="AD219" s="150"/>
      <c r="AE219" s="95" t="str">
        <f t="shared" si="40"/>
        <v/>
      </c>
      <c r="AF219" s="150"/>
      <c r="AG219" s="95" t="str">
        <f t="shared" si="41"/>
        <v/>
      </c>
      <c r="AH219" s="150"/>
      <c r="AI219" s="95" t="str">
        <f t="shared" si="42"/>
        <v/>
      </c>
      <c r="AJ219" s="150"/>
      <c r="AK219" s="27" t="str">
        <f t="shared" si="43"/>
        <v/>
      </c>
      <c r="AL219" s="48" t="str">
        <f t="shared" si="44"/>
        <v/>
      </c>
      <c r="AM219" s="48" t="str">
        <f t="shared" si="45"/>
        <v/>
      </c>
      <c r="AN219" s="196"/>
      <c r="AO219" s="196"/>
      <c r="AP219" s="196"/>
      <c r="AQ219" s="196"/>
      <c r="AR219" s="196"/>
      <c r="AS219" s="196"/>
      <c r="AT219" s="196"/>
      <c r="AU219" s="197" t="str">
        <f>IFERROR(VLOOKUP(AT219,'Seguridad Información'!$I$61:$J$65,2,0),"")</f>
        <v/>
      </c>
      <c r="AV219" s="79"/>
      <c r="AW219" s="78" t="str">
        <f t="shared" si="36"/>
        <v/>
      </c>
      <c r="AX219" s="77" t="str">
        <f t="shared" si="46"/>
        <v/>
      </c>
      <c r="AY219" s="21" t="str">
        <f>IFERROR(VLOOKUP((CONCATENATE(AM219,AX219)),Listados!$U$3:$V$11,2,FALSE),"")</f>
        <v/>
      </c>
      <c r="AZ219" s="48">
        <f t="shared" si="47"/>
        <v>100</v>
      </c>
      <c r="BA219" s="431"/>
      <c r="BB219" s="433"/>
      <c r="BC219" s="169">
        <f>+IF(AND(W219="Preventivo",BB217="Fuerte"),2,IF(AND(W219="Preventivo",BB217="Moderado"),1,0))</f>
        <v>0</v>
      </c>
      <c r="BD219" s="64">
        <f>+IF(AND(W219="Detectivo/Correctivo",$BB217="Fuerte"),2,IF(AND(W219="Detectivo/Correctivo",$BB219="Moderado"),1,IF(AND(W219="Preventivo",$BB217="Fuerte"),1,0)))</f>
        <v>0</v>
      </c>
      <c r="BE219" s="169" t="e">
        <f>+N217-BC219</f>
        <v>#N/A</v>
      </c>
      <c r="BF219" s="169" t="e">
        <f>+P217-BD219</f>
        <v>#N/A</v>
      </c>
      <c r="BG219" s="422"/>
      <c r="BH219" s="422"/>
      <c r="BI219" s="422"/>
      <c r="BJ219" s="645"/>
      <c r="BK219" s="645"/>
      <c r="BL219" s="645"/>
      <c r="BM219" s="645"/>
    </row>
    <row r="220" spans="1:65" ht="65.099999999999994" customHeight="1" thickBot="1">
      <c r="A220" s="405"/>
      <c r="B220" s="625"/>
      <c r="C220" s="440"/>
      <c r="D220" s="152"/>
      <c r="E220" s="152"/>
      <c r="F220" s="475"/>
      <c r="G220" s="443"/>
      <c r="H220" s="100"/>
      <c r="I220" s="128"/>
      <c r="J220" s="100"/>
      <c r="K220" s="147"/>
      <c r="L220" s="129"/>
      <c r="M220" s="446"/>
      <c r="N220" s="425"/>
      <c r="O220" s="428"/>
      <c r="P220" s="425"/>
      <c r="Q220" s="429"/>
      <c r="R220" s="422"/>
      <c r="S220" s="150"/>
      <c r="T220" s="97"/>
      <c r="U220" s="47" t="s">
        <v>627</v>
      </c>
      <c r="V220" s="172"/>
      <c r="W220" s="172"/>
      <c r="X220" s="172"/>
      <c r="Y220" s="95" t="str">
        <f t="shared" si="37"/>
        <v/>
      </c>
      <c r="Z220" s="172"/>
      <c r="AA220" s="95" t="str">
        <f t="shared" si="38"/>
        <v/>
      </c>
      <c r="AB220" s="150"/>
      <c r="AC220" s="95" t="str">
        <f t="shared" si="39"/>
        <v/>
      </c>
      <c r="AD220" s="150"/>
      <c r="AE220" s="95" t="str">
        <f t="shared" si="40"/>
        <v/>
      </c>
      <c r="AF220" s="150"/>
      <c r="AG220" s="95" t="str">
        <f t="shared" si="41"/>
        <v/>
      </c>
      <c r="AH220" s="150"/>
      <c r="AI220" s="95" t="str">
        <f t="shared" si="42"/>
        <v/>
      </c>
      <c r="AJ220" s="150"/>
      <c r="AK220" s="27" t="str">
        <f t="shared" si="43"/>
        <v/>
      </c>
      <c r="AL220" s="48" t="str">
        <f t="shared" si="44"/>
        <v/>
      </c>
      <c r="AM220" s="48" t="str">
        <f t="shared" si="45"/>
        <v/>
      </c>
      <c r="AN220" s="196"/>
      <c r="AO220" s="196"/>
      <c r="AP220" s="196"/>
      <c r="AQ220" s="196"/>
      <c r="AR220" s="196"/>
      <c r="AS220" s="196"/>
      <c r="AT220" s="196"/>
      <c r="AU220" s="197" t="str">
        <f>IFERROR(VLOOKUP(AT220,'Seguridad Información'!$I$61:$J$65,2,0),"")</f>
        <v/>
      </c>
      <c r="AV220" s="79"/>
      <c r="AW220" s="78" t="str">
        <f t="shared" si="36"/>
        <v/>
      </c>
      <c r="AX220" s="77" t="str">
        <f t="shared" si="46"/>
        <v/>
      </c>
      <c r="AY220" s="21" t="str">
        <f>IFERROR(VLOOKUP((CONCATENATE(AM220,AX220)),Listados!$U$3:$V$11,2,FALSE),"")</f>
        <v/>
      </c>
      <c r="AZ220" s="48">
        <f t="shared" si="47"/>
        <v>100</v>
      </c>
      <c r="BA220" s="431"/>
      <c r="BB220" s="433"/>
      <c r="BC220" s="169">
        <f>+IF(AND(W220="Preventivo",BB217="Fuerte"),2,IF(AND(W220="Preventivo",BB217="Moderado"),1,0))</f>
        <v>0</v>
      </c>
      <c r="BD220" s="64">
        <f>+IF(AND(W220="Detectivo/Correctivo",$BB217="Fuerte"),2,IF(AND(W220="Detectivo/Correctivo",$BB220="Moderado"),1,IF(AND(W220="Preventivo",$BB217="Fuerte"),1,0)))</f>
        <v>0</v>
      </c>
      <c r="BE220" s="169" t="e">
        <f>+N217-BC220</f>
        <v>#N/A</v>
      </c>
      <c r="BF220" s="169" t="e">
        <f>+P217-BD220</f>
        <v>#N/A</v>
      </c>
      <c r="BG220" s="422"/>
      <c r="BH220" s="422"/>
      <c r="BI220" s="422"/>
      <c r="BJ220" s="645"/>
      <c r="BK220" s="645"/>
      <c r="BL220" s="645"/>
      <c r="BM220" s="645"/>
    </row>
    <row r="221" spans="1:65" ht="65.099999999999994" customHeight="1" thickBot="1">
      <c r="A221" s="405"/>
      <c r="B221" s="625"/>
      <c r="C221" s="440"/>
      <c r="D221" s="109"/>
      <c r="E221" s="109"/>
      <c r="F221" s="475"/>
      <c r="G221" s="443"/>
      <c r="H221" s="100"/>
      <c r="I221" s="128"/>
      <c r="J221" s="100"/>
      <c r="K221" s="29"/>
      <c r="L221" s="129"/>
      <c r="M221" s="446"/>
      <c r="N221" s="425"/>
      <c r="O221" s="428"/>
      <c r="P221" s="425"/>
      <c r="Q221" s="429"/>
      <c r="R221" s="422"/>
      <c r="S221" s="150"/>
      <c r="T221" s="198"/>
      <c r="U221" s="47" t="s">
        <v>627</v>
      </c>
      <c r="V221" s="172"/>
      <c r="W221" s="172"/>
      <c r="X221" s="172"/>
      <c r="Y221" s="95" t="str">
        <f t="shared" si="37"/>
        <v/>
      </c>
      <c r="Z221" s="172"/>
      <c r="AA221" s="95" t="str">
        <f t="shared" si="38"/>
        <v/>
      </c>
      <c r="AB221" s="150"/>
      <c r="AC221" s="95" t="str">
        <f t="shared" si="39"/>
        <v/>
      </c>
      <c r="AD221" s="150"/>
      <c r="AE221" s="95" t="str">
        <f t="shared" si="40"/>
        <v/>
      </c>
      <c r="AF221" s="150"/>
      <c r="AG221" s="95" t="str">
        <f t="shared" si="41"/>
        <v/>
      </c>
      <c r="AH221" s="150"/>
      <c r="AI221" s="95" t="str">
        <f t="shared" si="42"/>
        <v/>
      </c>
      <c r="AJ221" s="150"/>
      <c r="AK221" s="27" t="str">
        <f t="shared" si="43"/>
        <v/>
      </c>
      <c r="AL221" s="48" t="str">
        <f t="shared" si="44"/>
        <v/>
      </c>
      <c r="AM221" s="48" t="str">
        <f t="shared" si="45"/>
        <v/>
      </c>
      <c r="AN221" s="196"/>
      <c r="AO221" s="196"/>
      <c r="AP221" s="196"/>
      <c r="AQ221" s="196"/>
      <c r="AR221" s="196"/>
      <c r="AS221" s="196"/>
      <c r="AT221" s="196"/>
      <c r="AU221" s="197" t="str">
        <f>IFERROR(VLOOKUP(AT221,'Seguridad Información'!$I$61:$J$65,2,0),"")</f>
        <v/>
      </c>
      <c r="AV221" s="79"/>
      <c r="AW221" s="78" t="str">
        <f t="shared" si="36"/>
        <v/>
      </c>
      <c r="AX221" s="77" t="str">
        <f t="shared" si="46"/>
        <v/>
      </c>
      <c r="AY221" s="21" t="str">
        <f>IFERROR(VLOOKUP((CONCATENATE(AM221,AX221)),Listados!$U$3:$V$11,2,FALSE),"")</f>
        <v/>
      </c>
      <c r="AZ221" s="48">
        <f t="shared" si="47"/>
        <v>100</v>
      </c>
      <c r="BA221" s="431"/>
      <c r="BB221" s="433"/>
      <c r="BC221" s="169">
        <f>+IF(AND(W221="Preventivo",BB217="Fuerte"),2,IF(AND(W221="Preventivo",BB217="Moderado"),1,0))</f>
        <v>0</v>
      </c>
      <c r="BD221" s="64">
        <f>+IF(AND(W221="Detectivo/Correctivo",$BB217="Fuerte"),2,IF(AND(W221="Detectivo/Correctivo",$BB221="Moderado"),1,IF(AND(W221="Preventivo",$BB217="Fuerte"),1,0)))</f>
        <v>0</v>
      </c>
      <c r="BE221" s="169" t="e">
        <f>+N217-BC221</f>
        <v>#N/A</v>
      </c>
      <c r="BF221" s="169" t="e">
        <f>+P217-BD221</f>
        <v>#N/A</v>
      </c>
      <c r="BG221" s="422"/>
      <c r="BH221" s="422"/>
      <c r="BI221" s="422"/>
      <c r="BJ221" s="645"/>
      <c r="BK221" s="645"/>
      <c r="BL221" s="645"/>
      <c r="BM221" s="645"/>
    </row>
    <row r="222" spans="1:65" ht="65.099999999999994" customHeight="1" thickBot="1">
      <c r="A222" s="406"/>
      <c r="B222" s="625"/>
      <c r="C222" s="441"/>
      <c r="D222" s="106"/>
      <c r="E222" s="106"/>
      <c r="F222" s="619"/>
      <c r="G222" s="444"/>
      <c r="H222" s="100"/>
      <c r="I222" s="128"/>
      <c r="J222" s="100"/>
      <c r="K222" s="31"/>
      <c r="L222" s="129"/>
      <c r="M222" s="446"/>
      <c r="N222" s="426"/>
      <c r="O222" s="428"/>
      <c r="P222" s="426"/>
      <c r="Q222" s="429"/>
      <c r="R222" s="423"/>
      <c r="S222" s="150"/>
      <c r="T222" s="98"/>
      <c r="U222" s="47" t="s">
        <v>627</v>
      </c>
      <c r="V222" s="172"/>
      <c r="W222" s="172"/>
      <c r="X222" s="172"/>
      <c r="Y222" s="95" t="str">
        <f t="shared" si="37"/>
        <v/>
      </c>
      <c r="Z222" s="172"/>
      <c r="AA222" s="95" t="str">
        <f t="shared" si="38"/>
        <v/>
      </c>
      <c r="AB222" s="150"/>
      <c r="AC222" s="95" t="str">
        <f t="shared" si="39"/>
        <v/>
      </c>
      <c r="AD222" s="150"/>
      <c r="AE222" s="95" t="str">
        <f t="shared" si="40"/>
        <v/>
      </c>
      <c r="AF222" s="150"/>
      <c r="AG222" s="95" t="str">
        <f t="shared" si="41"/>
        <v/>
      </c>
      <c r="AH222" s="150"/>
      <c r="AI222" s="95" t="str">
        <f t="shared" si="42"/>
        <v/>
      </c>
      <c r="AJ222" s="150"/>
      <c r="AK222" s="27" t="str">
        <f t="shared" si="43"/>
        <v/>
      </c>
      <c r="AL222" s="48" t="str">
        <f t="shared" si="44"/>
        <v/>
      </c>
      <c r="AM222" s="48" t="str">
        <f t="shared" si="45"/>
        <v/>
      </c>
      <c r="AN222" s="196"/>
      <c r="AO222" s="196"/>
      <c r="AP222" s="196"/>
      <c r="AQ222" s="196"/>
      <c r="AR222" s="196"/>
      <c r="AS222" s="196"/>
      <c r="AT222" s="196"/>
      <c r="AU222" s="197" t="str">
        <f>IFERROR(VLOOKUP(AT222,'Seguridad Información'!$I$61:$J$65,2,0),"")</f>
        <v/>
      </c>
      <c r="AV222" s="79"/>
      <c r="AW222" s="78" t="str">
        <f t="shared" si="36"/>
        <v/>
      </c>
      <c r="AX222" s="77" t="str">
        <f t="shared" si="46"/>
        <v/>
      </c>
      <c r="AY222" s="21" t="str">
        <f>IFERROR(VLOOKUP((CONCATENATE(AM222,AX222)),Listados!$U$3:$V$11,2,FALSE),"")</f>
        <v/>
      </c>
      <c r="AZ222" s="48">
        <f t="shared" si="47"/>
        <v>100</v>
      </c>
      <c r="BA222" s="432"/>
      <c r="BB222" s="433"/>
      <c r="BC222" s="169">
        <f>+IF(AND(W222="Preventivo",BB217="Fuerte"),2,IF(AND(W222="Preventivo",BB217="Moderado"),1,0))</f>
        <v>0</v>
      </c>
      <c r="BD222" s="64">
        <f>+IF(AND(W222="Detectivo/Correctivo",$BB217="Fuerte"),2,IF(AND(W222="Detectivo/Correctivo",$BB222="Moderado"),1,IF(AND(W222="Preventivo",$BB217="Fuerte"),1,0)))</f>
        <v>0</v>
      </c>
      <c r="BE222" s="169" t="e">
        <f>+N217-BC222</f>
        <v>#N/A</v>
      </c>
      <c r="BF222" s="169" t="e">
        <f>+P217-BD222</f>
        <v>#N/A</v>
      </c>
      <c r="BG222" s="423"/>
      <c r="BH222" s="423"/>
      <c r="BI222" s="423"/>
      <c r="BJ222" s="646"/>
      <c r="BK222" s="646"/>
      <c r="BL222" s="646"/>
      <c r="BM222" s="646"/>
    </row>
    <row r="223" spans="1:65" ht="65.099999999999994" customHeight="1" thickBot="1">
      <c r="A223" s="404">
        <v>37</v>
      </c>
      <c r="B223" s="628"/>
      <c r="C223" s="447" t="str">
        <f>IFERROR(VLOOKUP(B223,Listados!B$3:C$20,2,FALSE),"")</f>
        <v/>
      </c>
      <c r="D223" s="107"/>
      <c r="E223" s="107"/>
      <c r="F223" s="618"/>
      <c r="G223" s="448"/>
      <c r="H223" s="100"/>
      <c r="I223" s="128"/>
      <c r="J223" s="100"/>
      <c r="K223" s="103"/>
      <c r="L223" s="17"/>
      <c r="M223" s="445"/>
      <c r="N223" s="424" t="e">
        <f>+VLOOKUP(M223,Listados!$K$8:$L$12,2,0)</f>
        <v>#N/A</v>
      </c>
      <c r="O223" s="427"/>
      <c r="P223" s="424" t="e">
        <f>+VLOOKUP(O223,Listados!$K$13:$L$17,2,0)</f>
        <v>#N/A</v>
      </c>
      <c r="Q223" s="423" t="str">
        <f>IF(AND(M223&lt;&gt;"",O223&lt;&gt;""),VLOOKUP(M223&amp;O223,Listados!$M$3:$N$27,2,FALSE),"")</f>
        <v/>
      </c>
      <c r="R223" s="421" t="e">
        <f>+VLOOKUP(Q223,Listados!$P$3:$Q$6,2,FALSE)</f>
        <v>#N/A</v>
      </c>
      <c r="S223" s="150"/>
      <c r="T223" s="94"/>
      <c r="U223" s="47" t="s">
        <v>627</v>
      </c>
      <c r="V223" s="172"/>
      <c r="W223" s="172"/>
      <c r="X223" s="172"/>
      <c r="Y223" s="95" t="str">
        <f t="shared" si="37"/>
        <v/>
      </c>
      <c r="Z223" s="172"/>
      <c r="AA223" s="95" t="str">
        <f t="shared" si="38"/>
        <v/>
      </c>
      <c r="AB223" s="150"/>
      <c r="AC223" s="95" t="str">
        <f t="shared" si="39"/>
        <v/>
      </c>
      <c r="AD223" s="150"/>
      <c r="AE223" s="95" t="str">
        <f t="shared" si="40"/>
        <v/>
      </c>
      <c r="AF223" s="150"/>
      <c r="AG223" s="95" t="str">
        <f t="shared" si="41"/>
        <v/>
      </c>
      <c r="AH223" s="150"/>
      <c r="AI223" s="95" t="str">
        <f t="shared" si="42"/>
        <v/>
      </c>
      <c r="AJ223" s="150"/>
      <c r="AK223" s="27" t="str">
        <f t="shared" si="43"/>
        <v/>
      </c>
      <c r="AL223" s="48" t="str">
        <f t="shared" si="44"/>
        <v/>
      </c>
      <c r="AM223" s="48" t="str">
        <f t="shared" si="45"/>
        <v/>
      </c>
      <c r="AN223" s="196"/>
      <c r="AO223" s="196"/>
      <c r="AP223" s="196"/>
      <c r="AQ223" s="196"/>
      <c r="AR223" s="196"/>
      <c r="AS223" s="196"/>
      <c r="AT223" s="196"/>
      <c r="AU223" s="197" t="str">
        <f>IFERROR(VLOOKUP(AT223,'Seguridad Información'!$I$61:$J$65,2,0),"")</f>
        <v/>
      </c>
      <c r="AV223" s="79"/>
      <c r="AW223" s="78" t="str">
        <f t="shared" si="36"/>
        <v/>
      </c>
      <c r="AX223" s="77" t="str">
        <f t="shared" si="46"/>
        <v/>
      </c>
      <c r="AY223" s="21" t="str">
        <f>IFERROR(VLOOKUP((CONCATENATE(AM223,AX223)),Listados!$U$3:$V$11,2,FALSE),"")</f>
        <v/>
      </c>
      <c r="AZ223" s="48">
        <f t="shared" si="47"/>
        <v>100</v>
      </c>
      <c r="BA223" s="430">
        <f>AVERAGE(AZ223:AZ228)</f>
        <v>100</v>
      </c>
      <c r="BB223" s="432" t="str">
        <f>IF(BA223&lt;=50, "Débil", IF(BA223&lt;=99,"Moderado","Fuerte"))</f>
        <v>Fuerte</v>
      </c>
      <c r="BC223" s="169">
        <f>+IF(AND(W223="Preventivo",BB223="Fuerte"),2,IF(AND(W223="Preventivo",BB223="Moderado"),1,0))</f>
        <v>0</v>
      </c>
      <c r="BD223" s="64">
        <f>+IF(AND(W223="Detectivo/Correctivo",$BB223="Fuerte"),2,IF(AND(W223="Detectivo/Correctivo",$BB223="Moderado"),1,IF(AND(W223="Preventivo",$BB223="Fuerte"),1,0)))</f>
        <v>0</v>
      </c>
      <c r="BE223" s="169" t="e">
        <f>+N223-BC223</f>
        <v>#N/A</v>
      </c>
      <c r="BF223" s="169" t="e">
        <f>+P223-BD223</f>
        <v>#N/A</v>
      </c>
      <c r="BG223" s="421" t="e">
        <f>+VLOOKUP(MIN(BE223,BE224,BE225,BE226,BE227,BE228),Listados!$J$18:$K$24,2,TRUE)</f>
        <v>#N/A</v>
      </c>
      <c r="BH223" s="421" t="e">
        <f>+VLOOKUP(MIN(BF223,BF224,BF225,BF226,BF227,BF228),Listados!$J$27:$K$32,2,TRUE)</f>
        <v>#N/A</v>
      </c>
      <c r="BI223" s="421" t="e">
        <f>IF(AND(BG223&lt;&gt;"",BH223&lt;&gt;""),VLOOKUP(BG223&amp;BH223,Listados!$M$3:$N$27,2,FALSE),"")</f>
        <v>#N/A</v>
      </c>
      <c r="BJ223" s="644" t="e">
        <f>+IF($R223="Asumir el riesgo","NA","")</f>
        <v>#N/A</v>
      </c>
      <c r="BK223" s="644" t="e">
        <f>+IF($R223="Asumir el riesgo","NA","")</f>
        <v>#N/A</v>
      </c>
      <c r="BL223" s="644" t="e">
        <f>+IF($R223="Asumir el riesgo","NA","")</f>
        <v>#N/A</v>
      </c>
      <c r="BM223" s="644" t="e">
        <f>+IF($R223="Asumir el riesgo","NA","")</f>
        <v>#N/A</v>
      </c>
    </row>
    <row r="224" spans="1:65" ht="65.099999999999994" customHeight="1" thickBot="1">
      <c r="A224" s="405"/>
      <c r="B224" s="625"/>
      <c r="C224" s="440"/>
      <c r="D224" s="152"/>
      <c r="E224" s="152"/>
      <c r="F224" s="475"/>
      <c r="G224" s="443"/>
      <c r="H224" s="100"/>
      <c r="I224" s="128"/>
      <c r="J224" s="100"/>
      <c r="K224" s="147"/>
      <c r="L224" s="129"/>
      <c r="M224" s="446"/>
      <c r="N224" s="425"/>
      <c r="O224" s="428"/>
      <c r="P224" s="425"/>
      <c r="Q224" s="429"/>
      <c r="R224" s="422"/>
      <c r="S224" s="150"/>
      <c r="T224" s="198"/>
      <c r="U224" s="47" t="s">
        <v>627</v>
      </c>
      <c r="V224" s="172"/>
      <c r="W224" s="172"/>
      <c r="X224" s="172"/>
      <c r="Y224" s="95" t="str">
        <f t="shared" si="37"/>
        <v/>
      </c>
      <c r="Z224" s="172"/>
      <c r="AA224" s="95" t="str">
        <f t="shared" si="38"/>
        <v/>
      </c>
      <c r="AB224" s="150"/>
      <c r="AC224" s="95" t="str">
        <f t="shared" si="39"/>
        <v/>
      </c>
      <c r="AD224" s="150"/>
      <c r="AE224" s="95" t="str">
        <f t="shared" si="40"/>
        <v/>
      </c>
      <c r="AF224" s="150"/>
      <c r="AG224" s="95" t="str">
        <f t="shared" si="41"/>
        <v/>
      </c>
      <c r="AH224" s="150"/>
      <c r="AI224" s="95" t="str">
        <f t="shared" si="42"/>
        <v/>
      </c>
      <c r="AJ224" s="150"/>
      <c r="AK224" s="27" t="str">
        <f t="shared" si="43"/>
        <v/>
      </c>
      <c r="AL224" s="48" t="str">
        <f t="shared" si="44"/>
        <v/>
      </c>
      <c r="AM224" s="48" t="str">
        <f t="shared" si="45"/>
        <v/>
      </c>
      <c r="AN224" s="196"/>
      <c r="AO224" s="196"/>
      <c r="AP224" s="196"/>
      <c r="AQ224" s="196"/>
      <c r="AR224" s="196"/>
      <c r="AS224" s="196"/>
      <c r="AT224" s="196"/>
      <c r="AU224" s="197" t="str">
        <f>IFERROR(VLOOKUP(AT224,'Seguridad Información'!$I$61:$J$65,2,0),"")</f>
        <v/>
      </c>
      <c r="AV224" s="79"/>
      <c r="AW224" s="78" t="str">
        <f t="shared" si="36"/>
        <v/>
      </c>
      <c r="AX224" s="77" t="str">
        <f t="shared" si="46"/>
        <v/>
      </c>
      <c r="AY224" s="21" t="str">
        <f>IFERROR(VLOOKUP((CONCATENATE(AM224,AX224)),Listados!$U$3:$V$11,2,FALSE),"")</f>
        <v/>
      </c>
      <c r="AZ224" s="48">
        <f t="shared" si="47"/>
        <v>100</v>
      </c>
      <c r="BA224" s="431"/>
      <c r="BB224" s="433"/>
      <c r="BC224" s="169">
        <f>+IF(AND(W224="Preventivo",BB223="Fuerte"),2,IF(AND(W224="Preventivo",BB223="Moderado"),1,0))</f>
        <v>0</v>
      </c>
      <c r="BD224" s="64">
        <f>+IF(AND(W224="Detectivo/Correctivo",$BB223="Fuerte"),2,IF(AND(W224="Detectivo/Correctivo",$BB224="Moderado"),1,IF(AND(W224="Preventivo",$BB223="Fuerte"),1,0)))</f>
        <v>0</v>
      </c>
      <c r="BE224" s="169" t="e">
        <f>+N223-BC224</f>
        <v>#N/A</v>
      </c>
      <c r="BF224" s="169" t="e">
        <f>+P223-BD224</f>
        <v>#N/A</v>
      </c>
      <c r="BG224" s="422"/>
      <c r="BH224" s="422"/>
      <c r="BI224" s="422"/>
      <c r="BJ224" s="645"/>
      <c r="BK224" s="645"/>
      <c r="BL224" s="645"/>
      <c r="BM224" s="645"/>
    </row>
    <row r="225" spans="1:65" ht="65.099999999999994" customHeight="1" thickBot="1">
      <c r="A225" s="405"/>
      <c r="B225" s="625"/>
      <c r="C225" s="440"/>
      <c r="D225" s="152"/>
      <c r="E225" s="152"/>
      <c r="F225" s="475"/>
      <c r="G225" s="443"/>
      <c r="H225" s="100"/>
      <c r="I225" s="128"/>
      <c r="J225" s="100"/>
      <c r="K225" s="147"/>
      <c r="L225" s="129"/>
      <c r="M225" s="446"/>
      <c r="N225" s="425"/>
      <c r="O225" s="428"/>
      <c r="P225" s="425"/>
      <c r="Q225" s="429"/>
      <c r="R225" s="422"/>
      <c r="S225" s="150"/>
      <c r="T225" s="96"/>
      <c r="U225" s="47" t="s">
        <v>627</v>
      </c>
      <c r="V225" s="172"/>
      <c r="W225" s="172"/>
      <c r="X225" s="172"/>
      <c r="Y225" s="95" t="str">
        <f t="shared" si="37"/>
        <v/>
      </c>
      <c r="Z225" s="172"/>
      <c r="AA225" s="95" t="str">
        <f t="shared" si="38"/>
        <v/>
      </c>
      <c r="AB225" s="150"/>
      <c r="AC225" s="95" t="str">
        <f t="shared" si="39"/>
        <v/>
      </c>
      <c r="AD225" s="150"/>
      <c r="AE225" s="95" t="str">
        <f t="shared" si="40"/>
        <v/>
      </c>
      <c r="AF225" s="150"/>
      <c r="AG225" s="95" t="str">
        <f t="shared" si="41"/>
        <v/>
      </c>
      <c r="AH225" s="150"/>
      <c r="AI225" s="95" t="str">
        <f t="shared" si="42"/>
        <v/>
      </c>
      <c r="AJ225" s="150"/>
      <c r="AK225" s="27" t="str">
        <f t="shared" si="43"/>
        <v/>
      </c>
      <c r="AL225" s="48" t="str">
        <f t="shared" si="44"/>
        <v/>
      </c>
      <c r="AM225" s="48" t="str">
        <f t="shared" si="45"/>
        <v/>
      </c>
      <c r="AN225" s="196"/>
      <c r="AO225" s="196"/>
      <c r="AP225" s="196"/>
      <c r="AQ225" s="196"/>
      <c r="AR225" s="196"/>
      <c r="AS225" s="196"/>
      <c r="AT225" s="196"/>
      <c r="AU225" s="197" t="str">
        <f>IFERROR(VLOOKUP(AT225,'Seguridad Información'!$I$61:$J$65,2,0),"")</f>
        <v/>
      </c>
      <c r="AV225" s="79"/>
      <c r="AW225" s="78" t="str">
        <f t="shared" si="36"/>
        <v/>
      </c>
      <c r="AX225" s="77" t="str">
        <f t="shared" si="46"/>
        <v/>
      </c>
      <c r="AY225" s="21" t="str">
        <f>IFERROR(VLOOKUP((CONCATENATE(AM225,AX225)),Listados!$U$3:$V$11,2,FALSE),"")</f>
        <v/>
      </c>
      <c r="AZ225" s="48">
        <f t="shared" si="47"/>
        <v>100</v>
      </c>
      <c r="BA225" s="431"/>
      <c r="BB225" s="433"/>
      <c r="BC225" s="169">
        <f>+IF(AND(W225="Preventivo",BB223="Fuerte"),2,IF(AND(W225="Preventivo",BB223="Moderado"),1,0))</f>
        <v>0</v>
      </c>
      <c r="BD225" s="64">
        <f>+IF(AND(W225="Detectivo/Correctivo",$BB223="Fuerte"),2,IF(AND(W225="Detectivo/Correctivo",$BB225="Moderado"),1,IF(AND(W225="Preventivo",$BB223="Fuerte"),1,0)))</f>
        <v>0</v>
      </c>
      <c r="BE225" s="169" t="e">
        <f>+N223-BC225</f>
        <v>#N/A</v>
      </c>
      <c r="BF225" s="169" t="e">
        <f>+P223-BD225</f>
        <v>#N/A</v>
      </c>
      <c r="BG225" s="422"/>
      <c r="BH225" s="422"/>
      <c r="BI225" s="422"/>
      <c r="BJ225" s="645"/>
      <c r="BK225" s="645"/>
      <c r="BL225" s="645"/>
      <c r="BM225" s="645"/>
    </row>
    <row r="226" spans="1:65" ht="65.099999999999994" customHeight="1" thickBot="1">
      <c r="A226" s="405"/>
      <c r="B226" s="625"/>
      <c r="C226" s="440"/>
      <c r="D226" s="152"/>
      <c r="E226" s="152"/>
      <c r="F226" s="475"/>
      <c r="G226" s="443"/>
      <c r="H226" s="100"/>
      <c r="I226" s="128"/>
      <c r="J226" s="100"/>
      <c r="K226" s="147"/>
      <c r="L226" s="129"/>
      <c r="M226" s="446"/>
      <c r="N226" s="425"/>
      <c r="O226" s="428"/>
      <c r="P226" s="425"/>
      <c r="Q226" s="429"/>
      <c r="R226" s="422"/>
      <c r="S226" s="150"/>
      <c r="T226" s="97"/>
      <c r="U226" s="47" t="s">
        <v>627</v>
      </c>
      <c r="V226" s="172"/>
      <c r="W226" s="172"/>
      <c r="X226" s="172"/>
      <c r="Y226" s="95" t="str">
        <f t="shared" si="37"/>
        <v/>
      </c>
      <c r="Z226" s="172"/>
      <c r="AA226" s="95" t="str">
        <f t="shared" si="38"/>
        <v/>
      </c>
      <c r="AB226" s="150"/>
      <c r="AC226" s="95" t="str">
        <f t="shared" si="39"/>
        <v/>
      </c>
      <c r="AD226" s="150"/>
      <c r="AE226" s="95" t="str">
        <f t="shared" si="40"/>
        <v/>
      </c>
      <c r="AF226" s="150"/>
      <c r="AG226" s="95" t="str">
        <f t="shared" si="41"/>
        <v/>
      </c>
      <c r="AH226" s="150"/>
      <c r="AI226" s="95" t="str">
        <f t="shared" si="42"/>
        <v/>
      </c>
      <c r="AJ226" s="150"/>
      <c r="AK226" s="27" t="str">
        <f t="shared" si="43"/>
        <v/>
      </c>
      <c r="AL226" s="48" t="str">
        <f t="shared" si="44"/>
        <v/>
      </c>
      <c r="AM226" s="48" t="str">
        <f t="shared" si="45"/>
        <v/>
      </c>
      <c r="AN226" s="196"/>
      <c r="AO226" s="196"/>
      <c r="AP226" s="196"/>
      <c r="AQ226" s="196"/>
      <c r="AR226" s="196"/>
      <c r="AS226" s="196"/>
      <c r="AT226" s="196"/>
      <c r="AU226" s="197" t="str">
        <f>IFERROR(VLOOKUP(AT226,'Seguridad Información'!$I$61:$J$65,2,0),"")</f>
        <v/>
      </c>
      <c r="AV226" s="79"/>
      <c r="AW226" s="78" t="str">
        <f t="shared" si="36"/>
        <v/>
      </c>
      <c r="AX226" s="77" t="str">
        <f t="shared" si="46"/>
        <v/>
      </c>
      <c r="AY226" s="21" t="str">
        <f>IFERROR(VLOOKUP((CONCATENATE(AM226,AX226)),Listados!$U$3:$V$11,2,FALSE),"")</f>
        <v/>
      </c>
      <c r="AZ226" s="48">
        <f t="shared" si="47"/>
        <v>100</v>
      </c>
      <c r="BA226" s="431"/>
      <c r="BB226" s="433"/>
      <c r="BC226" s="169">
        <f>+IF(AND(W226="Preventivo",BB223="Fuerte"),2,IF(AND(W226="Preventivo",BB223="Moderado"),1,0))</f>
        <v>0</v>
      </c>
      <c r="BD226" s="64">
        <f>+IF(AND(W226="Detectivo/Correctivo",$BB223="Fuerte"),2,IF(AND(W226="Detectivo/Correctivo",$BB226="Moderado"),1,IF(AND(W226="Preventivo",$BB223="Fuerte"),1,0)))</f>
        <v>0</v>
      </c>
      <c r="BE226" s="169" t="e">
        <f>+N223-BC226</f>
        <v>#N/A</v>
      </c>
      <c r="BF226" s="169" t="e">
        <f>+P223-BD226</f>
        <v>#N/A</v>
      </c>
      <c r="BG226" s="422"/>
      <c r="BH226" s="422"/>
      <c r="BI226" s="422"/>
      <c r="BJ226" s="645"/>
      <c r="BK226" s="645"/>
      <c r="BL226" s="645"/>
      <c r="BM226" s="645"/>
    </row>
    <row r="227" spans="1:65" ht="65.099999999999994" customHeight="1" thickBot="1">
      <c r="A227" s="405"/>
      <c r="B227" s="625"/>
      <c r="C227" s="440"/>
      <c r="D227" s="109"/>
      <c r="E227" s="109"/>
      <c r="F227" s="475"/>
      <c r="G227" s="443"/>
      <c r="H227" s="100"/>
      <c r="I227" s="128"/>
      <c r="J227" s="100"/>
      <c r="K227" s="29"/>
      <c r="L227" s="129"/>
      <c r="M227" s="446"/>
      <c r="N227" s="425"/>
      <c r="O227" s="428"/>
      <c r="P227" s="425"/>
      <c r="Q227" s="429"/>
      <c r="R227" s="422"/>
      <c r="S227" s="150"/>
      <c r="T227" s="198"/>
      <c r="U227" s="47" t="s">
        <v>627</v>
      </c>
      <c r="V227" s="172"/>
      <c r="W227" s="172"/>
      <c r="X227" s="172"/>
      <c r="Y227" s="95" t="str">
        <f t="shared" si="37"/>
        <v/>
      </c>
      <c r="Z227" s="172"/>
      <c r="AA227" s="95" t="str">
        <f t="shared" si="38"/>
        <v/>
      </c>
      <c r="AB227" s="150"/>
      <c r="AC227" s="95" t="str">
        <f t="shared" si="39"/>
        <v/>
      </c>
      <c r="AD227" s="150"/>
      <c r="AE227" s="95" t="str">
        <f t="shared" si="40"/>
        <v/>
      </c>
      <c r="AF227" s="150"/>
      <c r="AG227" s="95" t="str">
        <f t="shared" si="41"/>
        <v/>
      </c>
      <c r="AH227" s="150"/>
      <c r="AI227" s="95" t="str">
        <f t="shared" si="42"/>
        <v/>
      </c>
      <c r="AJ227" s="150"/>
      <c r="AK227" s="27" t="str">
        <f t="shared" si="43"/>
        <v/>
      </c>
      <c r="AL227" s="48" t="str">
        <f t="shared" si="44"/>
        <v/>
      </c>
      <c r="AM227" s="48" t="str">
        <f t="shared" si="45"/>
        <v/>
      </c>
      <c r="AN227" s="196"/>
      <c r="AO227" s="196"/>
      <c r="AP227" s="196"/>
      <c r="AQ227" s="196"/>
      <c r="AR227" s="196"/>
      <c r="AS227" s="196"/>
      <c r="AT227" s="196"/>
      <c r="AU227" s="197" t="str">
        <f>IFERROR(VLOOKUP(AT227,'Seguridad Información'!$I$61:$J$65,2,0),"")</f>
        <v/>
      </c>
      <c r="AV227" s="79"/>
      <c r="AW227" s="78" t="str">
        <f t="shared" si="36"/>
        <v/>
      </c>
      <c r="AX227" s="77" t="str">
        <f t="shared" si="46"/>
        <v/>
      </c>
      <c r="AY227" s="21" t="str">
        <f>IFERROR(VLOOKUP((CONCATENATE(AM227,AX227)),Listados!$U$3:$V$11,2,FALSE),"")</f>
        <v/>
      </c>
      <c r="AZ227" s="48">
        <f t="shared" si="47"/>
        <v>100</v>
      </c>
      <c r="BA227" s="431"/>
      <c r="BB227" s="433"/>
      <c r="BC227" s="169">
        <f>+IF(AND(W227="Preventivo",BB223="Fuerte"),2,IF(AND(W227="Preventivo",BB223="Moderado"),1,0))</f>
        <v>0</v>
      </c>
      <c r="BD227" s="64">
        <f>+IF(AND(W227="Detectivo/Correctivo",$BB223="Fuerte"),2,IF(AND(W227="Detectivo/Correctivo",$BB227="Moderado"),1,IF(AND(W227="Preventivo",$BB223="Fuerte"),1,0)))</f>
        <v>0</v>
      </c>
      <c r="BE227" s="169" t="e">
        <f>+N223-BC227</f>
        <v>#N/A</v>
      </c>
      <c r="BF227" s="169" t="e">
        <f>+P223-BD227</f>
        <v>#N/A</v>
      </c>
      <c r="BG227" s="422"/>
      <c r="BH227" s="422"/>
      <c r="BI227" s="422"/>
      <c r="BJ227" s="645"/>
      <c r="BK227" s="645"/>
      <c r="BL227" s="645"/>
      <c r="BM227" s="645"/>
    </row>
    <row r="228" spans="1:65" ht="65.099999999999994" customHeight="1" thickBot="1">
      <c r="A228" s="406"/>
      <c r="B228" s="625"/>
      <c r="C228" s="441"/>
      <c r="D228" s="106"/>
      <c r="E228" s="106"/>
      <c r="F228" s="619"/>
      <c r="G228" s="444"/>
      <c r="H228" s="100"/>
      <c r="I228" s="128"/>
      <c r="J228" s="100"/>
      <c r="K228" s="31"/>
      <c r="L228" s="129"/>
      <c r="M228" s="446"/>
      <c r="N228" s="426"/>
      <c r="O228" s="428"/>
      <c r="P228" s="426"/>
      <c r="Q228" s="429"/>
      <c r="R228" s="423"/>
      <c r="S228" s="150"/>
      <c r="T228" s="98"/>
      <c r="U228" s="47" t="s">
        <v>627</v>
      </c>
      <c r="V228" s="172"/>
      <c r="W228" s="172"/>
      <c r="X228" s="172"/>
      <c r="Y228" s="95" t="str">
        <f t="shared" si="37"/>
        <v/>
      </c>
      <c r="Z228" s="172"/>
      <c r="AA228" s="95" t="str">
        <f t="shared" si="38"/>
        <v/>
      </c>
      <c r="AB228" s="150"/>
      <c r="AC228" s="95" t="str">
        <f t="shared" si="39"/>
        <v/>
      </c>
      <c r="AD228" s="150"/>
      <c r="AE228" s="95" t="str">
        <f t="shared" si="40"/>
        <v/>
      </c>
      <c r="AF228" s="150"/>
      <c r="AG228" s="95" t="str">
        <f t="shared" si="41"/>
        <v/>
      </c>
      <c r="AH228" s="150"/>
      <c r="AI228" s="95" t="str">
        <f t="shared" si="42"/>
        <v/>
      </c>
      <c r="AJ228" s="150"/>
      <c r="AK228" s="27" t="str">
        <f t="shared" si="43"/>
        <v/>
      </c>
      <c r="AL228" s="48" t="str">
        <f t="shared" si="44"/>
        <v/>
      </c>
      <c r="AM228" s="48" t="str">
        <f t="shared" si="45"/>
        <v/>
      </c>
      <c r="AN228" s="196"/>
      <c r="AO228" s="196"/>
      <c r="AP228" s="196"/>
      <c r="AQ228" s="196"/>
      <c r="AR228" s="196"/>
      <c r="AS228" s="196"/>
      <c r="AT228" s="196"/>
      <c r="AU228" s="197" t="str">
        <f>IFERROR(VLOOKUP(AT228,'Seguridad Información'!$I$61:$J$65,2,0),"")</f>
        <v/>
      </c>
      <c r="AV228" s="79"/>
      <c r="AW228" s="78" t="str">
        <f t="shared" si="36"/>
        <v/>
      </c>
      <c r="AX228" s="77" t="str">
        <f t="shared" si="46"/>
        <v/>
      </c>
      <c r="AY228" s="21" t="str">
        <f>IFERROR(VLOOKUP((CONCATENATE(AM228,AX228)),Listados!$U$3:$V$11,2,FALSE),"")</f>
        <v/>
      </c>
      <c r="AZ228" s="48">
        <f t="shared" si="47"/>
        <v>100</v>
      </c>
      <c r="BA228" s="432"/>
      <c r="BB228" s="433"/>
      <c r="BC228" s="169">
        <f>+IF(AND(W228="Preventivo",BB223="Fuerte"),2,IF(AND(W228="Preventivo",BB223="Moderado"),1,0))</f>
        <v>0</v>
      </c>
      <c r="BD228" s="64">
        <f>+IF(AND(W228="Detectivo/Correctivo",$BB223="Fuerte"),2,IF(AND(W228="Detectivo/Correctivo",$BB228="Moderado"),1,IF(AND(W228="Preventivo",$BB223="Fuerte"),1,0)))</f>
        <v>0</v>
      </c>
      <c r="BE228" s="169" t="e">
        <f>+N223-BC228</f>
        <v>#N/A</v>
      </c>
      <c r="BF228" s="169" t="e">
        <f>+P223-BD228</f>
        <v>#N/A</v>
      </c>
      <c r="BG228" s="423"/>
      <c r="BH228" s="423"/>
      <c r="BI228" s="423"/>
      <c r="BJ228" s="646"/>
      <c r="BK228" s="646"/>
      <c r="BL228" s="646"/>
      <c r="BM228" s="646"/>
    </row>
    <row r="229" spans="1:65" ht="65.099999999999994" customHeight="1" thickBot="1">
      <c r="A229" s="404">
        <v>38</v>
      </c>
      <c r="B229" s="628"/>
      <c r="C229" s="447" t="str">
        <f>IFERROR(VLOOKUP(B229,Listados!B$3:C$20,2,FALSE),"")</f>
        <v/>
      </c>
      <c r="D229" s="107"/>
      <c r="E229" s="107"/>
      <c r="F229" s="618"/>
      <c r="G229" s="448"/>
      <c r="H229" s="100"/>
      <c r="I229" s="128"/>
      <c r="J229" s="100"/>
      <c r="K229" s="103"/>
      <c r="L229" s="17"/>
      <c r="M229" s="445"/>
      <c r="N229" s="424" t="e">
        <f>+VLOOKUP(M229,Listados!$K$8:$L$12,2,0)</f>
        <v>#N/A</v>
      </c>
      <c r="O229" s="427"/>
      <c r="P229" s="424" t="e">
        <f>+VLOOKUP(O229,Listados!$K$13:$L$17,2,0)</f>
        <v>#N/A</v>
      </c>
      <c r="Q229" s="423" t="str">
        <f>IF(AND(M229&lt;&gt;"",O229&lt;&gt;""),VLOOKUP(M229&amp;O229,Listados!$M$3:$N$27,2,FALSE),"")</f>
        <v/>
      </c>
      <c r="R229" s="421" t="e">
        <f>+VLOOKUP(Q229,Listados!$P$3:$Q$6,2,FALSE)</f>
        <v>#N/A</v>
      </c>
      <c r="S229" s="150"/>
      <c r="T229" s="94"/>
      <c r="U229" s="47" t="s">
        <v>627</v>
      </c>
      <c r="V229" s="172"/>
      <c r="W229" s="172"/>
      <c r="X229" s="172"/>
      <c r="Y229" s="95" t="str">
        <f t="shared" si="37"/>
        <v/>
      </c>
      <c r="Z229" s="172"/>
      <c r="AA229" s="95" t="str">
        <f t="shared" si="38"/>
        <v/>
      </c>
      <c r="AB229" s="150"/>
      <c r="AC229" s="95" t="str">
        <f t="shared" si="39"/>
        <v/>
      </c>
      <c r="AD229" s="150"/>
      <c r="AE229" s="95" t="str">
        <f t="shared" si="40"/>
        <v/>
      </c>
      <c r="AF229" s="150"/>
      <c r="AG229" s="95" t="str">
        <f t="shared" si="41"/>
        <v/>
      </c>
      <c r="AH229" s="150"/>
      <c r="AI229" s="95" t="str">
        <f t="shared" si="42"/>
        <v/>
      </c>
      <c r="AJ229" s="150"/>
      <c r="AK229" s="27" t="str">
        <f t="shared" si="43"/>
        <v/>
      </c>
      <c r="AL229" s="48" t="str">
        <f t="shared" si="44"/>
        <v/>
      </c>
      <c r="AM229" s="48" t="str">
        <f t="shared" si="45"/>
        <v/>
      </c>
      <c r="AN229" s="196"/>
      <c r="AO229" s="196"/>
      <c r="AP229" s="196"/>
      <c r="AQ229" s="196"/>
      <c r="AR229" s="196"/>
      <c r="AS229" s="196"/>
      <c r="AT229" s="196"/>
      <c r="AU229" s="197" t="str">
        <f>IFERROR(VLOOKUP(AT229,'Seguridad Información'!$I$61:$J$65,2,0),"")</f>
        <v/>
      </c>
      <c r="AV229" s="79"/>
      <c r="AW229" s="78" t="str">
        <f t="shared" si="36"/>
        <v/>
      </c>
      <c r="AX229" s="77" t="str">
        <f t="shared" si="46"/>
        <v/>
      </c>
      <c r="AY229" s="21" t="str">
        <f>IFERROR(VLOOKUP((CONCATENATE(AM229,AX229)),Listados!$U$3:$V$11,2,FALSE),"")</f>
        <v/>
      </c>
      <c r="AZ229" s="48">
        <f t="shared" si="47"/>
        <v>100</v>
      </c>
      <c r="BA229" s="430">
        <f>AVERAGE(AZ229:AZ234)</f>
        <v>100</v>
      </c>
      <c r="BB229" s="432" t="str">
        <f>IF(BA229&lt;=50, "Débil", IF(BA229&lt;=99,"Moderado","Fuerte"))</f>
        <v>Fuerte</v>
      </c>
      <c r="BC229" s="169">
        <f>+IF(AND(W229="Preventivo",BB229="Fuerte"),2,IF(AND(W229="Preventivo",BB229="Moderado"),1,0))</f>
        <v>0</v>
      </c>
      <c r="BD229" s="64">
        <f>+IF(AND(W229="Detectivo/Correctivo",$BB229="Fuerte"),2,IF(AND(W229="Detectivo/Correctivo",$BB229="Moderado"),1,IF(AND(W229="Preventivo",$BB229="Fuerte"),1,0)))</f>
        <v>0</v>
      </c>
      <c r="BE229" s="169" t="e">
        <f>+N229-BC229</f>
        <v>#N/A</v>
      </c>
      <c r="BF229" s="169" t="e">
        <f>+P229-BD229</f>
        <v>#N/A</v>
      </c>
      <c r="BG229" s="421" t="e">
        <f>+VLOOKUP(MIN(BE229,BE230,BE231,BE232,BE233,BE234),Listados!$J$18:$K$24,2,TRUE)</f>
        <v>#N/A</v>
      </c>
      <c r="BH229" s="421" t="e">
        <f>+VLOOKUP(MIN(BF229,BF230,BF231,BF232,BF233,BF234),Listados!$J$27:$K$32,2,TRUE)</f>
        <v>#N/A</v>
      </c>
      <c r="BI229" s="421" t="e">
        <f>IF(AND(BG229&lt;&gt;"",BH229&lt;&gt;""),VLOOKUP(BG229&amp;BH229,Listados!$M$3:$N$27,2,FALSE),"")</f>
        <v>#N/A</v>
      </c>
      <c r="BJ229" s="644" t="e">
        <f>+IF($R229="Asumir el riesgo","NA","")</f>
        <v>#N/A</v>
      </c>
      <c r="BK229" s="644" t="e">
        <f>+IF($R229="Asumir el riesgo","NA","")</f>
        <v>#N/A</v>
      </c>
      <c r="BL229" s="644" t="e">
        <f>+IF($R229="Asumir el riesgo","NA","")</f>
        <v>#N/A</v>
      </c>
      <c r="BM229" s="644" t="e">
        <f>+IF($R229="Asumir el riesgo","NA","")</f>
        <v>#N/A</v>
      </c>
    </row>
    <row r="230" spans="1:65" ht="65.099999999999994" customHeight="1" thickBot="1">
      <c r="A230" s="405"/>
      <c r="B230" s="625"/>
      <c r="C230" s="440"/>
      <c r="D230" s="152"/>
      <c r="E230" s="152"/>
      <c r="F230" s="475"/>
      <c r="G230" s="443"/>
      <c r="H230" s="100"/>
      <c r="I230" s="128"/>
      <c r="J230" s="100"/>
      <c r="K230" s="147"/>
      <c r="L230" s="129"/>
      <c r="M230" s="446"/>
      <c r="N230" s="425"/>
      <c r="O230" s="428"/>
      <c r="P230" s="425"/>
      <c r="Q230" s="429"/>
      <c r="R230" s="422"/>
      <c r="S230" s="150"/>
      <c r="T230" s="198"/>
      <c r="U230" s="47" t="s">
        <v>627</v>
      </c>
      <c r="V230" s="172"/>
      <c r="W230" s="172"/>
      <c r="X230" s="172"/>
      <c r="Y230" s="95" t="str">
        <f t="shared" si="37"/>
        <v/>
      </c>
      <c r="Z230" s="172"/>
      <c r="AA230" s="95" t="str">
        <f t="shared" si="38"/>
        <v/>
      </c>
      <c r="AB230" s="150"/>
      <c r="AC230" s="95" t="str">
        <f t="shared" si="39"/>
        <v/>
      </c>
      <c r="AD230" s="150"/>
      <c r="AE230" s="95" t="str">
        <f t="shared" si="40"/>
        <v/>
      </c>
      <c r="AF230" s="150"/>
      <c r="AG230" s="95" t="str">
        <f t="shared" si="41"/>
        <v/>
      </c>
      <c r="AH230" s="150"/>
      <c r="AI230" s="95" t="str">
        <f t="shared" si="42"/>
        <v/>
      </c>
      <c r="AJ230" s="150"/>
      <c r="AK230" s="27" t="str">
        <f t="shared" si="43"/>
        <v/>
      </c>
      <c r="AL230" s="48" t="str">
        <f t="shared" si="44"/>
        <v/>
      </c>
      <c r="AM230" s="48" t="str">
        <f t="shared" si="45"/>
        <v/>
      </c>
      <c r="AN230" s="196"/>
      <c r="AO230" s="196"/>
      <c r="AP230" s="196"/>
      <c r="AQ230" s="196"/>
      <c r="AR230" s="196"/>
      <c r="AS230" s="196"/>
      <c r="AT230" s="196"/>
      <c r="AU230" s="197" t="str">
        <f>IFERROR(VLOOKUP(AT230,'Seguridad Información'!$I$61:$J$65,2,0),"")</f>
        <v/>
      </c>
      <c r="AV230" s="79"/>
      <c r="AW230" s="78" t="str">
        <f t="shared" si="36"/>
        <v/>
      </c>
      <c r="AX230" s="77" t="str">
        <f t="shared" si="46"/>
        <v/>
      </c>
      <c r="AY230" s="21" t="str">
        <f>IFERROR(VLOOKUP((CONCATENATE(AM230,AX230)),Listados!$U$3:$V$11,2,FALSE),"")</f>
        <v/>
      </c>
      <c r="AZ230" s="48">
        <f t="shared" si="47"/>
        <v>100</v>
      </c>
      <c r="BA230" s="431"/>
      <c r="BB230" s="433"/>
      <c r="BC230" s="169">
        <f>+IF(AND(W230="Preventivo",BB229="Fuerte"),2,IF(AND(W230="Preventivo",BB229="Moderado"),1,0))</f>
        <v>0</v>
      </c>
      <c r="BD230" s="64">
        <f>+IF(AND(W230="Detectivo/Correctivo",$BB229="Fuerte"),2,IF(AND(W230="Detectivo/Correctivo",$BB230="Moderado"),1,IF(AND(W230="Preventivo",$BB229="Fuerte"),1,0)))</f>
        <v>0</v>
      </c>
      <c r="BE230" s="169" t="e">
        <f>+N229-BC230</f>
        <v>#N/A</v>
      </c>
      <c r="BF230" s="169" t="e">
        <f>+P229-BD230</f>
        <v>#N/A</v>
      </c>
      <c r="BG230" s="422"/>
      <c r="BH230" s="422"/>
      <c r="BI230" s="422"/>
      <c r="BJ230" s="645"/>
      <c r="BK230" s="645"/>
      <c r="BL230" s="645"/>
      <c r="BM230" s="645"/>
    </row>
    <row r="231" spans="1:65" ht="65.099999999999994" customHeight="1" thickBot="1">
      <c r="A231" s="405"/>
      <c r="B231" s="625"/>
      <c r="C231" s="440"/>
      <c r="D231" s="152"/>
      <c r="E231" s="152"/>
      <c r="F231" s="475"/>
      <c r="G231" s="443"/>
      <c r="H231" s="100"/>
      <c r="I231" s="128"/>
      <c r="J231" s="100"/>
      <c r="K231" s="147"/>
      <c r="L231" s="129"/>
      <c r="M231" s="446"/>
      <c r="N231" s="425"/>
      <c r="O231" s="428"/>
      <c r="P231" s="425"/>
      <c r="Q231" s="429"/>
      <c r="R231" s="422"/>
      <c r="S231" s="150"/>
      <c r="T231" s="96"/>
      <c r="U231" s="47" t="s">
        <v>627</v>
      </c>
      <c r="V231" s="172"/>
      <c r="W231" s="172"/>
      <c r="X231" s="172"/>
      <c r="Y231" s="95" t="str">
        <f t="shared" si="37"/>
        <v/>
      </c>
      <c r="Z231" s="172"/>
      <c r="AA231" s="95" t="str">
        <f t="shared" si="38"/>
        <v/>
      </c>
      <c r="AB231" s="150"/>
      <c r="AC231" s="95" t="str">
        <f t="shared" si="39"/>
        <v/>
      </c>
      <c r="AD231" s="150"/>
      <c r="AE231" s="95" t="str">
        <f t="shared" si="40"/>
        <v/>
      </c>
      <c r="AF231" s="150"/>
      <c r="AG231" s="95" t="str">
        <f t="shared" si="41"/>
        <v/>
      </c>
      <c r="AH231" s="150"/>
      <c r="AI231" s="95" t="str">
        <f t="shared" si="42"/>
        <v/>
      </c>
      <c r="AJ231" s="150"/>
      <c r="AK231" s="27" t="str">
        <f t="shared" si="43"/>
        <v/>
      </c>
      <c r="AL231" s="48" t="str">
        <f t="shared" si="44"/>
        <v/>
      </c>
      <c r="AM231" s="48" t="str">
        <f t="shared" si="45"/>
        <v/>
      </c>
      <c r="AN231" s="196"/>
      <c r="AO231" s="196"/>
      <c r="AP231" s="196"/>
      <c r="AQ231" s="196"/>
      <c r="AR231" s="196"/>
      <c r="AS231" s="196"/>
      <c r="AT231" s="196"/>
      <c r="AU231" s="197" t="str">
        <f>IFERROR(VLOOKUP(AT231,'Seguridad Información'!$I$61:$J$65,2,0),"")</f>
        <v/>
      </c>
      <c r="AV231" s="79"/>
      <c r="AW231" s="78" t="str">
        <f t="shared" si="36"/>
        <v/>
      </c>
      <c r="AX231" s="77" t="str">
        <f t="shared" si="46"/>
        <v/>
      </c>
      <c r="AY231" s="21" t="str">
        <f>IFERROR(VLOOKUP((CONCATENATE(AM231,AX231)),Listados!$U$3:$V$11,2,FALSE),"")</f>
        <v/>
      </c>
      <c r="AZ231" s="48">
        <f t="shared" si="47"/>
        <v>100</v>
      </c>
      <c r="BA231" s="431"/>
      <c r="BB231" s="433"/>
      <c r="BC231" s="169">
        <f>+IF(AND(W231="Preventivo",BB229="Fuerte"),2,IF(AND(W231="Preventivo",BB229="Moderado"),1,0))</f>
        <v>0</v>
      </c>
      <c r="BD231" s="64">
        <f>+IF(AND(W231="Detectivo/Correctivo",$BB229="Fuerte"),2,IF(AND(W231="Detectivo/Correctivo",$BB231="Moderado"),1,IF(AND(W231="Preventivo",$BB229="Fuerte"),1,0)))</f>
        <v>0</v>
      </c>
      <c r="BE231" s="169" t="e">
        <f>+N229-BC231</f>
        <v>#N/A</v>
      </c>
      <c r="BF231" s="169" t="e">
        <f>+P229-BD231</f>
        <v>#N/A</v>
      </c>
      <c r="BG231" s="422"/>
      <c r="BH231" s="422"/>
      <c r="BI231" s="422"/>
      <c r="BJ231" s="645"/>
      <c r="BK231" s="645"/>
      <c r="BL231" s="645"/>
      <c r="BM231" s="645"/>
    </row>
    <row r="232" spans="1:65" ht="65.099999999999994" customHeight="1" thickBot="1">
      <c r="A232" s="405"/>
      <c r="B232" s="625"/>
      <c r="C232" s="440"/>
      <c r="D232" s="152"/>
      <c r="E232" s="152"/>
      <c r="F232" s="475"/>
      <c r="G232" s="443"/>
      <c r="H232" s="100"/>
      <c r="I232" s="128"/>
      <c r="J232" s="100"/>
      <c r="K232" s="147"/>
      <c r="L232" s="129"/>
      <c r="M232" s="446"/>
      <c r="N232" s="425"/>
      <c r="O232" s="428"/>
      <c r="P232" s="425"/>
      <c r="Q232" s="429"/>
      <c r="R232" s="422"/>
      <c r="S232" s="150"/>
      <c r="T232" s="97"/>
      <c r="U232" s="47" t="s">
        <v>627</v>
      </c>
      <c r="V232" s="172"/>
      <c r="W232" s="172"/>
      <c r="X232" s="172"/>
      <c r="Y232" s="95" t="str">
        <f t="shared" si="37"/>
        <v/>
      </c>
      <c r="Z232" s="172"/>
      <c r="AA232" s="95" t="str">
        <f t="shared" si="38"/>
        <v/>
      </c>
      <c r="AB232" s="150"/>
      <c r="AC232" s="95" t="str">
        <f t="shared" si="39"/>
        <v/>
      </c>
      <c r="AD232" s="150"/>
      <c r="AE232" s="95" t="str">
        <f t="shared" si="40"/>
        <v/>
      </c>
      <c r="AF232" s="150"/>
      <c r="AG232" s="95" t="str">
        <f t="shared" si="41"/>
        <v/>
      </c>
      <c r="AH232" s="150"/>
      <c r="AI232" s="95" t="str">
        <f t="shared" si="42"/>
        <v/>
      </c>
      <c r="AJ232" s="150"/>
      <c r="AK232" s="27" t="str">
        <f t="shared" si="43"/>
        <v/>
      </c>
      <c r="AL232" s="48" t="str">
        <f t="shared" si="44"/>
        <v/>
      </c>
      <c r="AM232" s="48" t="str">
        <f t="shared" si="45"/>
        <v/>
      </c>
      <c r="AN232" s="196"/>
      <c r="AO232" s="196"/>
      <c r="AP232" s="196"/>
      <c r="AQ232" s="196"/>
      <c r="AR232" s="196"/>
      <c r="AS232" s="196"/>
      <c r="AT232" s="196"/>
      <c r="AU232" s="197" t="str">
        <f>IFERROR(VLOOKUP(AT232,'Seguridad Información'!$I$61:$J$65,2,0),"")</f>
        <v/>
      </c>
      <c r="AV232" s="79"/>
      <c r="AW232" s="78" t="str">
        <f t="shared" si="36"/>
        <v/>
      </c>
      <c r="AX232" s="77" t="str">
        <f t="shared" si="46"/>
        <v/>
      </c>
      <c r="AY232" s="21" t="str">
        <f>IFERROR(VLOOKUP((CONCATENATE(AM232,AX232)),Listados!$U$3:$V$11,2,FALSE),"")</f>
        <v/>
      </c>
      <c r="AZ232" s="48">
        <f t="shared" si="47"/>
        <v>100</v>
      </c>
      <c r="BA232" s="431"/>
      <c r="BB232" s="433"/>
      <c r="BC232" s="169">
        <f>+IF(AND(W232="Preventivo",BB229="Fuerte"),2,IF(AND(W232="Preventivo",BB229="Moderado"),1,0))</f>
        <v>0</v>
      </c>
      <c r="BD232" s="64">
        <f>+IF(AND(W232="Detectivo/Correctivo",$BB229="Fuerte"),2,IF(AND(W232="Detectivo/Correctivo",$BB232="Moderado"),1,IF(AND(W232="Preventivo",$BB229="Fuerte"),1,0)))</f>
        <v>0</v>
      </c>
      <c r="BE232" s="169" t="e">
        <f>+N229-BC232</f>
        <v>#N/A</v>
      </c>
      <c r="BF232" s="169" t="e">
        <f>+P229-BD232</f>
        <v>#N/A</v>
      </c>
      <c r="BG232" s="422"/>
      <c r="BH232" s="422"/>
      <c r="BI232" s="422"/>
      <c r="BJ232" s="645"/>
      <c r="BK232" s="645"/>
      <c r="BL232" s="645"/>
      <c r="BM232" s="645"/>
    </row>
    <row r="233" spans="1:65" ht="65.099999999999994" customHeight="1" thickBot="1">
      <c r="A233" s="405"/>
      <c r="B233" s="625"/>
      <c r="C233" s="440"/>
      <c r="D233" s="109"/>
      <c r="E233" s="109"/>
      <c r="F233" s="475"/>
      <c r="G233" s="443"/>
      <c r="H233" s="100"/>
      <c r="I233" s="128"/>
      <c r="J233" s="100"/>
      <c r="K233" s="29"/>
      <c r="L233" s="129"/>
      <c r="M233" s="446"/>
      <c r="N233" s="425"/>
      <c r="O233" s="428"/>
      <c r="P233" s="425"/>
      <c r="Q233" s="429"/>
      <c r="R233" s="422"/>
      <c r="S233" s="150"/>
      <c r="T233" s="198"/>
      <c r="U233" s="47" t="s">
        <v>627</v>
      </c>
      <c r="V233" s="172"/>
      <c r="W233" s="172"/>
      <c r="X233" s="172"/>
      <c r="Y233" s="95" t="str">
        <f t="shared" si="37"/>
        <v/>
      </c>
      <c r="Z233" s="172"/>
      <c r="AA233" s="95" t="str">
        <f t="shared" si="38"/>
        <v/>
      </c>
      <c r="AB233" s="150"/>
      <c r="AC233" s="95" t="str">
        <f t="shared" si="39"/>
        <v/>
      </c>
      <c r="AD233" s="150"/>
      <c r="AE233" s="95" t="str">
        <f t="shared" si="40"/>
        <v/>
      </c>
      <c r="AF233" s="150"/>
      <c r="AG233" s="95" t="str">
        <f t="shared" si="41"/>
        <v/>
      </c>
      <c r="AH233" s="150"/>
      <c r="AI233" s="95" t="str">
        <f t="shared" si="42"/>
        <v/>
      </c>
      <c r="AJ233" s="150"/>
      <c r="AK233" s="27" t="str">
        <f t="shared" si="43"/>
        <v/>
      </c>
      <c r="AL233" s="48" t="str">
        <f t="shared" si="44"/>
        <v/>
      </c>
      <c r="AM233" s="48" t="str">
        <f t="shared" si="45"/>
        <v/>
      </c>
      <c r="AN233" s="196"/>
      <c r="AO233" s="196"/>
      <c r="AP233" s="196"/>
      <c r="AQ233" s="196"/>
      <c r="AR233" s="196"/>
      <c r="AS233" s="196"/>
      <c r="AT233" s="196"/>
      <c r="AU233" s="197" t="str">
        <f>IFERROR(VLOOKUP(AT233,'Seguridad Información'!$I$61:$J$65,2,0),"")</f>
        <v/>
      </c>
      <c r="AV233" s="79"/>
      <c r="AW233" s="78" t="str">
        <f t="shared" si="36"/>
        <v/>
      </c>
      <c r="AX233" s="77" t="str">
        <f t="shared" si="46"/>
        <v/>
      </c>
      <c r="AY233" s="21" t="str">
        <f>IFERROR(VLOOKUP((CONCATENATE(AM233,AX233)),Listados!$U$3:$V$11,2,FALSE),"")</f>
        <v/>
      </c>
      <c r="AZ233" s="48">
        <f t="shared" si="47"/>
        <v>100</v>
      </c>
      <c r="BA233" s="431"/>
      <c r="BB233" s="433"/>
      <c r="BC233" s="169">
        <f>+IF(AND(W233="Preventivo",BB229="Fuerte"),2,IF(AND(W233="Preventivo",BB229="Moderado"),1,0))</f>
        <v>0</v>
      </c>
      <c r="BD233" s="64">
        <f>+IF(AND(W233="Detectivo/Correctivo",$BB229="Fuerte"),2,IF(AND(W233="Detectivo/Correctivo",$BB233="Moderado"),1,IF(AND(W233="Preventivo",$BB229="Fuerte"),1,0)))</f>
        <v>0</v>
      </c>
      <c r="BE233" s="169" t="e">
        <f>+N229-BC233</f>
        <v>#N/A</v>
      </c>
      <c r="BF233" s="169" t="e">
        <f>+P229-BD233</f>
        <v>#N/A</v>
      </c>
      <c r="BG233" s="422"/>
      <c r="BH233" s="422"/>
      <c r="BI233" s="422"/>
      <c r="BJ233" s="645"/>
      <c r="BK233" s="645"/>
      <c r="BL233" s="645"/>
      <c r="BM233" s="645"/>
    </row>
    <row r="234" spans="1:65" ht="65.099999999999994" customHeight="1" thickBot="1">
      <c r="A234" s="406"/>
      <c r="B234" s="625"/>
      <c r="C234" s="441"/>
      <c r="D234" s="106"/>
      <c r="E234" s="106"/>
      <c r="F234" s="619"/>
      <c r="G234" s="444"/>
      <c r="H234" s="100"/>
      <c r="I234" s="128"/>
      <c r="J234" s="100"/>
      <c r="K234" s="31"/>
      <c r="L234" s="129"/>
      <c r="M234" s="446"/>
      <c r="N234" s="426"/>
      <c r="O234" s="428"/>
      <c r="P234" s="426"/>
      <c r="Q234" s="429"/>
      <c r="R234" s="423"/>
      <c r="S234" s="150"/>
      <c r="T234" s="98"/>
      <c r="U234" s="47" t="s">
        <v>627</v>
      </c>
      <c r="V234" s="172"/>
      <c r="W234" s="172"/>
      <c r="X234" s="172"/>
      <c r="Y234" s="95" t="str">
        <f t="shared" si="37"/>
        <v/>
      </c>
      <c r="Z234" s="172"/>
      <c r="AA234" s="95" t="str">
        <f t="shared" si="38"/>
        <v/>
      </c>
      <c r="AB234" s="150"/>
      <c r="AC234" s="95" t="str">
        <f t="shared" si="39"/>
        <v/>
      </c>
      <c r="AD234" s="150"/>
      <c r="AE234" s="95" t="str">
        <f t="shared" si="40"/>
        <v/>
      </c>
      <c r="AF234" s="150"/>
      <c r="AG234" s="95" t="str">
        <f t="shared" si="41"/>
        <v/>
      </c>
      <c r="AH234" s="150"/>
      <c r="AI234" s="95" t="str">
        <f t="shared" si="42"/>
        <v/>
      </c>
      <c r="AJ234" s="150"/>
      <c r="AK234" s="27" t="str">
        <f t="shared" si="43"/>
        <v/>
      </c>
      <c r="AL234" s="48" t="str">
        <f t="shared" si="44"/>
        <v/>
      </c>
      <c r="AM234" s="48" t="str">
        <f t="shared" si="45"/>
        <v/>
      </c>
      <c r="AN234" s="196"/>
      <c r="AO234" s="196"/>
      <c r="AP234" s="196"/>
      <c r="AQ234" s="196"/>
      <c r="AR234" s="196"/>
      <c r="AS234" s="196"/>
      <c r="AT234" s="196"/>
      <c r="AU234" s="197" t="str">
        <f>IFERROR(VLOOKUP(AT234,'Seguridad Información'!$I$61:$J$65,2,0),"")</f>
        <v/>
      </c>
      <c r="AV234" s="79"/>
      <c r="AW234" s="78" t="str">
        <f t="shared" si="36"/>
        <v/>
      </c>
      <c r="AX234" s="77" t="str">
        <f t="shared" si="46"/>
        <v/>
      </c>
      <c r="AY234" s="21" t="str">
        <f>IFERROR(VLOOKUP((CONCATENATE(AM234,AX234)),Listados!$U$3:$V$11,2,FALSE),"")</f>
        <v/>
      </c>
      <c r="AZ234" s="48">
        <f t="shared" si="47"/>
        <v>100</v>
      </c>
      <c r="BA234" s="432"/>
      <c r="BB234" s="433"/>
      <c r="BC234" s="169">
        <f>+IF(AND(W234="Preventivo",BB229="Fuerte"),2,IF(AND(W234="Preventivo",BB229="Moderado"),1,0))</f>
        <v>0</v>
      </c>
      <c r="BD234" s="64">
        <f>+IF(AND(W234="Detectivo/Correctivo",$BB229="Fuerte"),2,IF(AND(W234="Detectivo/Correctivo",$BB234="Moderado"),1,IF(AND(W234="Preventivo",$BB229="Fuerte"),1,0)))</f>
        <v>0</v>
      </c>
      <c r="BE234" s="169" t="e">
        <f>+N229-BC234</f>
        <v>#N/A</v>
      </c>
      <c r="BF234" s="169" t="e">
        <f>+P229-BD234</f>
        <v>#N/A</v>
      </c>
      <c r="BG234" s="423"/>
      <c r="BH234" s="423"/>
      <c r="BI234" s="423"/>
      <c r="BJ234" s="646"/>
      <c r="BK234" s="646"/>
      <c r="BL234" s="646"/>
      <c r="BM234" s="646"/>
    </row>
    <row r="235" spans="1:65" ht="65.099999999999994" customHeight="1" thickBot="1">
      <c r="A235" s="404">
        <v>39</v>
      </c>
      <c r="B235" s="628"/>
      <c r="C235" s="447" t="str">
        <f>IFERROR(VLOOKUP(B235,Listados!B$3:C$20,2,FALSE),"")</f>
        <v/>
      </c>
      <c r="D235" s="107"/>
      <c r="E235" s="107"/>
      <c r="F235" s="618"/>
      <c r="G235" s="448"/>
      <c r="H235" s="100"/>
      <c r="I235" s="128"/>
      <c r="J235" s="100"/>
      <c r="K235" s="103"/>
      <c r="L235" s="17"/>
      <c r="M235" s="445"/>
      <c r="N235" s="424" t="e">
        <f>+VLOOKUP(M235,Listados!$K$8:$L$12,2,0)</f>
        <v>#N/A</v>
      </c>
      <c r="O235" s="427"/>
      <c r="P235" s="424" t="e">
        <f>+VLOOKUP(O235,Listados!$K$13:$L$17,2,0)</f>
        <v>#N/A</v>
      </c>
      <c r="Q235" s="423" t="str">
        <f>IF(AND(M235&lt;&gt;"",O235&lt;&gt;""),VLOOKUP(M235&amp;O235,Listados!$M$3:$N$27,2,FALSE),"")</f>
        <v/>
      </c>
      <c r="R235" s="421" t="e">
        <f>+VLOOKUP(Q235,Listados!$P$3:$Q$6,2,FALSE)</f>
        <v>#N/A</v>
      </c>
      <c r="S235" s="150"/>
      <c r="T235" s="94"/>
      <c r="U235" s="47" t="s">
        <v>627</v>
      </c>
      <c r="V235" s="172"/>
      <c r="W235" s="172"/>
      <c r="X235" s="172"/>
      <c r="Y235" s="95" t="str">
        <f t="shared" si="37"/>
        <v/>
      </c>
      <c r="Z235" s="172"/>
      <c r="AA235" s="95" t="str">
        <f t="shared" si="38"/>
        <v/>
      </c>
      <c r="AB235" s="150"/>
      <c r="AC235" s="95" t="str">
        <f t="shared" si="39"/>
        <v/>
      </c>
      <c r="AD235" s="150"/>
      <c r="AE235" s="95" t="str">
        <f t="shared" si="40"/>
        <v/>
      </c>
      <c r="AF235" s="150"/>
      <c r="AG235" s="95" t="str">
        <f t="shared" si="41"/>
        <v/>
      </c>
      <c r="AH235" s="150"/>
      <c r="AI235" s="95" t="str">
        <f t="shared" si="42"/>
        <v/>
      </c>
      <c r="AJ235" s="150"/>
      <c r="AK235" s="27" t="str">
        <f t="shared" si="43"/>
        <v/>
      </c>
      <c r="AL235" s="48" t="str">
        <f t="shared" si="44"/>
        <v/>
      </c>
      <c r="AM235" s="48" t="str">
        <f t="shared" si="45"/>
        <v/>
      </c>
      <c r="AN235" s="196"/>
      <c r="AO235" s="196"/>
      <c r="AP235" s="196"/>
      <c r="AQ235" s="196"/>
      <c r="AR235" s="196"/>
      <c r="AS235" s="196"/>
      <c r="AT235" s="196"/>
      <c r="AU235" s="197" t="str">
        <f>IFERROR(VLOOKUP(AT235,'Seguridad Información'!$I$61:$J$65,2,0),"")</f>
        <v/>
      </c>
      <c r="AV235" s="79"/>
      <c r="AW235" s="78" t="str">
        <f t="shared" si="36"/>
        <v/>
      </c>
      <c r="AX235" s="77" t="str">
        <f t="shared" si="46"/>
        <v/>
      </c>
      <c r="AY235" s="21" t="str">
        <f>IFERROR(VLOOKUP((CONCATENATE(AM235,AX235)),Listados!$U$3:$V$11,2,FALSE),"")</f>
        <v/>
      </c>
      <c r="AZ235" s="48">
        <f t="shared" si="47"/>
        <v>100</v>
      </c>
      <c r="BA235" s="430">
        <f>AVERAGE(AZ235:AZ240)</f>
        <v>100</v>
      </c>
      <c r="BB235" s="432" t="str">
        <f>IF(BA235&lt;=50, "Débil", IF(BA235&lt;=99,"Moderado","Fuerte"))</f>
        <v>Fuerte</v>
      </c>
      <c r="BC235" s="169">
        <f>+IF(AND(W235="Preventivo",BB235="Fuerte"),2,IF(AND(W235="Preventivo",BB235="Moderado"),1,0))</f>
        <v>0</v>
      </c>
      <c r="BD235" s="64">
        <f>+IF(AND(W235="Detectivo/Correctivo",$BB235="Fuerte"),2,IF(AND(W235="Detectivo/Correctivo",$BB235="Moderado"),1,IF(AND(W235="Preventivo",$BB235="Fuerte"),1,0)))</f>
        <v>0</v>
      </c>
      <c r="BE235" s="169" t="e">
        <f>+N235-BC235</f>
        <v>#N/A</v>
      </c>
      <c r="BF235" s="169" t="e">
        <f>+P235-BD235</f>
        <v>#N/A</v>
      </c>
      <c r="BG235" s="421" t="e">
        <f>+VLOOKUP(MIN(BE235,BE236,BE237,BE238,BE239,BE240),Listados!$J$18:$K$24,2,TRUE)</f>
        <v>#N/A</v>
      </c>
      <c r="BH235" s="421" t="e">
        <f>+VLOOKUP(MIN(BF235,BF236,BF237,BF238,BF239,BF240),Listados!$J$27:$K$32,2,TRUE)</f>
        <v>#N/A</v>
      </c>
      <c r="BI235" s="421" t="e">
        <f>IF(AND(BG235&lt;&gt;"",BH235&lt;&gt;""),VLOOKUP(BG235&amp;BH235,Listados!$M$3:$N$27,2,FALSE),"")</f>
        <v>#N/A</v>
      </c>
      <c r="BJ235" s="644" t="e">
        <f>+IF($R235="Asumir el riesgo","NA","")</f>
        <v>#N/A</v>
      </c>
      <c r="BK235" s="644" t="e">
        <f>+IF($R235="Asumir el riesgo","NA","")</f>
        <v>#N/A</v>
      </c>
      <c r="BL235" s="644" t="e">
        <f>+IF($R235="Asumir el riesgo","NA","")</f>
        <v>#N/A</v>
      </c>
      <c r="BM235" s="644" t="e">
        <f>+IF($R235="Asumir el riesgo","NA","")</f>
        <v>#N/A</v>
      </c>
    </row>
    <row r="236" spans="1:65" ht="65.099999999999994" customHeight="1" thickBot="1">
      <c r="A236" s="405"/>
      <c r="B236" s="625"/>
      <c r="C236" s="440"/>
      <c r="D236" s="152"/>
      <c r="E236" s="152"/>
      <c r="F236" s="475"/>
      <c r="G236" s="443"/>
      <c r="H236" s="100"/>
      <c r="I236" s="128"/>
      <c r="J236" s="100"/>
      <c r="K236" s="147"/>
      <c r="L236" s="129"/>
      <c r="M236" s="446"/>
      <c r="N236" s="425"/>
      <c r="O236" s="428"/>
      <c r="P236" s="425"/>
      <c r="Q236" s="429"/>
      <c r="R236" s="422"/>
      <c r="S236" s="150"/>
      <c r="T236" s="198"/>
      <c r="U236" s="47" t="s">
        <v>627</v>
      </c>
      <c r="V236" s="172"/>
      <c r="W236" s="172"/>
      <c r="X236" s="172"/>
      <c r="Y236" s="95" t="str">
        <f t="shared" si="37"/>
        <v/>
      </c>
      <c r="Z236" s="172"/>
      <c r="AA236" s="95" t="str">
        <f t="shared" si="38"/>
        <v/>
      </c>
      <c r="AB236" s="150"/>
      <c r="AC236" s="95" t="str">
        <f t="shared" si="39"/>
        <v/>
      </c>
      <c r="AD236" s="150"/>
      <c r="AE236" s="95" t="str">
        <f t="shared" si="40"/>
        <v/>
      </c>
      <c r="AF236" s="150"/>
      <c r="AG236" s="95" t="str">
        <f t="shared" si="41"/>
        <v/>
      </c>
      <c r="AH236" s="150"/>
      <c r="AI236" s="95" t="str">
        <f t="shared" si="42"/>
        <v/>
      </c>
      <c r="AJ236" s="150"/>
      <c r="AK236" s="27" t="str">
        <f t="shared" si="43"/>
        <v/>
      </c>
      <c r="AL236" s="48" t="str">
        <f t="shared" si="44"/>
        <v/>
      </c>
      <c r="AM236" s="48" t="str">
        <f t="shared" si="45"/>
        <v/>
      </c>
      <c r="AN236" s="196"/>
      <c r="AO236" s="196"/>
      <c r="AP236" s="196"/>
      <c r="AQ236" s="196"/>
      <c r="AR236" s="196"/>
      <c r="AS236" s="196"/>
      <c r="AT236" s="196"/>
      <c r="AU236" s="197" t="str">
        <f>IFERROR(VLOOKUP(AT236,'Seguridad Información'!$I$61:$J$65,2,0),"")</f>
        <v/>
      </c>
      <c r="AV236" s="79"/>
      <c r="AW236" s="78" t="str">
        <f t="shared" si="36"/>
        <v/>
      </c>
      <c r="AX236" s="77" t="str">
        <f t="shared" si="46"/>
        <v/>
      </c>
      <c r="AY236" s="21" t="str">
        <f>IFERROR(VLOOKUP((CONCATENATE(AM236,AX236)),Listados!$U$3:$V$11,2,FALSE),"")</f>
        <v/>
      </c>
      <c r="AZ236" s="48">
        <f t="shared" si="47"/>
        <v>100</v>
      </c>
      <c r="BA236" s="431"/>
      <c r="BB236" s="433"/>
      <c r="BC236" s="169">
        <f>+IF(AND(W236="Preventivo",BB235="Fuerte"),2,IF(AND(W236="Preventivo",BB235="Moderado"),1,0))</f>
        <v>0</v>
      </c>
      <c r="BD236" s="64">
        <f>+IF(AND(W236="Detectivo/Correctivo",$BB235="Fuerte"),2,IF(AND(W236="Detectivo/Correctivo",$BB236="Moderado"),1,IF(AND(W236="Preventivo",$BB235="Fuerte"),1,0)))</f>
        <v>0</v>
      </c>
      <c r="BE236" s="169" t="e">
        <f>+N235-BC236</f>
        <v>#N/A</v>
      </c>
      <c r="BF236" s="169" t="e">
        <f>+P235-BD236</f>
        <v>#N/A</v>
      </c>
      <c r="BG236" s="422"/>
      <c r="BH236" s="422"/>
      <c r="BI236" s="422"/>
      <c r="BJ236" s="645"/>
      <c r="BK236" s="645"/>
      <c r="BL236" s="645"/>
      <c r="BM236" s="645"/>
    </row>
    <row r="237" spans="1:65" ht="65.099999999999994" customHeight="1" thickBot="1">
      <c r="A237" s="405"/>
      <c r="B237" s="625"/>
      <c r="C237" s="440"/>
      <c r="D237" s="152"/>
      <c r="E237" s="152"/>
      <c r="F237" s="475"/>
      <c r="G237" s="443"/>
      <c r="H237" s="100"/>
      <c r="I237" s="128"/>
      <c r="J237" s="100"/>
      <c r="K237" s="147"/>
      <c r="L237" s="129"/>
      <c r="M237" s="446"/>
      <c r="N237" s="425"/>
      <c r="O237" s="428"/>
      <c r="P237" s="425"/>
      <c r="Q237" s="429"/>
      <c r="R237" s="422"/>
      <c r="S237" s="150"/>
      <c r="T237" s="96"/>
      <c r="U237" s="47" t="s">
        <v>627</v>
      </c>
      <c r="V237" s="172"/>
      <c r="W237" s="172"/>
      <c r="X237" s="172"/>
      <c r="Y237" s="95" t="str">
        <f t="shared" si="37"/>
        <v/>
      </c>
      <c r="Z237" s="172"/>
      <c r="AA237" s="95" t="str">
        <f t="shared" si="38"/>
        <v/>
      </c>
      <c r="AB237" s="150"/>
      <c r="AC237" s="95" t="str">
        <f t="shared" si="39"/>
        <v/>
      </c>
      <c r="AD237" s="150"/>
      <c r="AE237" s="95" t="str">
        <f t="shared" si="40"/>
        <v/>
      </c>
      <c r="AF237" s="150"/>
      <c r="AG237" s="95" t="str">
        <f t="shared" si="41"/>
        <v/>
      </c>
      <c r="AH237" s="150"/>
      <c r="AI237" s="95" t="str">
        <f t="shared" si="42"/>
        <v/>
      </c>
      <c r="AJ237" s="150"/>
      <c r="AK237" s="27" t="str">
        <f t="shared" si="43"/>
        <v/>
      </c>
      <c r="AL237" s="48" t="str">
        <f t="shared" si="44"/>
        <v/>
      </c>
      <c r="AM237" s="48" t="str">
        <f t="shared" si="45"/>
        <v/>
      </c>
      <c r="AN237" s="196"/>
      <c r="AO237" s="196"/>
      <c r="AP237" s="196"/>
      <c r="AQ237" s="196"/>
      <c r="AR237" s="196"/>
      <c r="AS237" s="196"/>
      <c r="AT237" s="196"/>
      <c r="AU237" s="197" t="str">
        <f>IFERROR(VLOOKUP(AT237,'Seguridad Información'!$I$61:$J$65,2,0),"")</f>
        <v/>
      </c>
      <c r="AV237" s="79"/>
      <c r="AW237" s="78" t="str">
        <f t="shared" si="36"/>
        <v/>
      </c>
      <c r="AX237" s="77" t="str">
        <f t="shared" si="46"/>
        <v/>
      </c>
      <c r="AY237" s="21" t="str">
        <f>IFERROR(VLOOKUP((CONCATENATE(AM237,AX237)),Listados!$U$3:$V$11,2,FALSE),"")</f>
        <v/>
      </c>
      <c r="AZ237" s="48">
        <f t="shared" si="47"/>
        <v>100</v>
      </c>
      <c r="BA237" s="431"/>
      <c r="BB237" s="433"/>
      <c r="BC237" s="169">
        <f>+IF(AND(W237="Preventivo",BB235="Fuerte"),2,IF(AND(W237="Preventivo",BB235="Moderado"),1,0))</f>
        <v>0</v>
      </c>
      <c r="BD237" s="64">
        <f>+IF(AND(W237="Detectivo/Correctivo",$BB235="Fuerte"),2,IF(AND(W237="Detectivo/Correctivo",$BB237="Moderado"),1,IF(AND(W237="Preventivo",$BB235="Fuerte"),1,0)))</f>
        <v>0</v>
      </c>
      <c r="BE237" s="169" t="e">
        <f>+N235-BC237</f>
        <v>#N/A</v>
      </c>
      <c r="BF237" s="169" t="e">
        <f>+P235-BD237</f>
        <v>#N/A</v>
      </c>
      <c r="BG237" s="422"/>
      <c r="BH237" s="422"/>
      <c r="BI237" s="422"/>
      <c r="BJ237" s="645"/>
      <c r="BK237" s="645"/>
      <c r="BL237" s="645"/>
      <c r="BM237" s="645"/>
    </row>
    <row r="238" spans="1:65" ht="65.099999999999994" customHeight="1" thickBot="1">
      <c r="A238" s="405"/>
      <c r="B238" s="625"/>
      <c r="C238" s="440"/>
      <c r="D238" s="152"/>
      <c r="E238" s="152"/>
      <c r="F238" s="475"/>
      <c r="G238" s="443"/>
      <c r="H238" s="100"/>
      <c r="I238" s="128"/>
      <c r="J238" s="100"/>
      <c r="K238" s="147"/>
      <c r="L238" s="129"/>
      <c r="M238" s="446"/>
      <c r="N238" s="425"/>
      <c r="O238" s="428"/>
      <c r="P238" s="425"/>
      <c r="Q238" s="429"/>
      <c r="R238" s="422"/>
      <c r="S238" s="150"/>
      <c r="T238" s="97"/>
      <c r="U238" s="47" t="s">
        <v>627</v>
      </c>
      <c r="V238" s="172"/>
      <c r="W238" s="172"/>
      <c r="X238" s="172"/>
      <c r="Y238" s="95" t="str">
        <f t="shared" si="37"/>
        <v/>
      </c>
      <c r="Z238" s="172"/>
      <c r="AA238" s="95" t="str">
        <f t="shared" si="38"/>
        <v/>
      </c>
      <c r="AB238" s="150"/>
      <c r="AC238" s="95" t="str">
        <f t="shared" si="39"/>
        <v/>
      </c>
      <c r="AD238" s="150"/>
      <c r="AE238" s="95" t="str">
        <f t="shared" si="40"/>
        <v/>
      </c>
      <c r="AF238" s="150"/>
      <c r="AG238" s="95" t="str">
        <f t="shared" si="41"/>
        <v/>
      </c>
      <c r="AH238" s="150"/>
      <c r="AI238" s="95" t="str">
        <f t="shared" si="42"/>
        <v/>
      </c>
      <c r="AJ238" s="150"/>
      <c r="AK238" s="27" t="str">
        <f t="shared" si="43"/>
        <v/>
      </c>
      <c r="AL238" s="48" t="str">
        <f t="shared" si="44"/>
        <v/>
      </c>
      <c r="AM238" s="48" t="str">
        <f t="shared" si="45"/>
        <v/>
      </c>
      <c r="AN238" s="196"/>
      <c r="AO238" s="196"/>
      <c r="AP238" s="196"/>
      <c r="AQ238" s="196"/>
      <c r="AR238" s="196"/>
      <c r="AS238" s="196"/>
      <c r="AT238" s="196"/>
      <c r="AU238" s="197" t="str">
        <f>IFERROR(VLOOKUP(AT238,'Seguridad Información'!$I$61:$J$65,2,0),"")</f>
        <v/>
      </c>
      <c r="AV238" s="79"/>
      <c r="AW238" s="78" t="str">
        <f t="shared" si="36"/>
        <v/>
      </c>
      <c r="AX238" s="77" t="str">
        <f t="shared" si="46"/>
        <v/>
      </c>
      <c r="AY238" s="21" t="str">
        <f>IFERROR(VLOOKUP((CONCATENATE(AM238,AX238)),Listados!$U$3:$V$11,2,FALSE),"")</f>
        <v/>
      </c>
      <c r="AZ238" s="48">
        <f t="shared" si="47"/>
        <v>100</v>
      </c>
      <c r="BA238" s="431"/>
      <c r="BB238" s="433"/>
      <c r="BC238" s="169">
        <f>+IF(AND(W238="Preventivo",BB235="Fuerte"),2,IF(AND(W238="Preventivo",BB235="Moderado"),1,0))</f>
        <v>0</v>
      </c>
      <c r="BD238" s="64">
        <f>+IF(AND(W238="Detectivo/Correctivo",$BB235="Fuerte"),2,IF(AND(W238="Detectivo/Correctivo",$BB238="Moderado"),1,IF(AND(W238="Preventivo",$BB235="Fuerte"),1,0)))</f>
        <v>0</v>
      </c>
      <c r="BE238" s="169" t="e">
        <f>+N235-BC238</f>
        <v>#N/A</v>
      </c>
      <c r="BF238" s="169" t="e">
        <f>+P235-BD238</f>
        <v>#N/A</v>
      </c>
      <c r="BG238" s="422"/>
      <c r="BH238" s="422"/>
      <c r="BI238" s="422"/>
      <c r="BJ238" s="645"/>
      <c r="BK238" s="645"/>
      <c r="BL238" s="645"/>
      <c r="BM238" s="645"/>
    </row>
    <row r="239" spans="1:65" ht="65.099999999999994" customHeight="1" thickBot="1">
      <c r="A239" s="405"/>
      <c r="B239" s="625"/>
      <c r="C239" s="440"/>
      <c r="D239" s="109"/>
      <c r="E239" s="109"/>
      <c r="F239" s="475"/>
      <c r="G239" s="443"/>
      <c r="H239" s="100"/>
      <c r="I239" s="128"/>
      <c r="J239" s="100"/>
      <c r="K239" s="29"/>
      <c r="L239" s="129"/>
      <c r="M239" s="446"/>
      <c r="N239" s="425"/>
      <c r="O239" s="428"/>
      <c r="P239" s="425"/>
      <c r="Q239" s="429"/>
      <c r="R239" s="422"/>
      <c r="S239" s="150"/>
      <c r="T239" s="198"/>
      <c r="U239" s="47" t="s">
        <v>627</v>
      </c>
      <c r="V239" s="172"/>
      <c r="W239" s="172"/>
      <c r="X239" s="172"/>
      <c r="Y239" s="95" t="str">
        <f t="shared" si="37"/>
        <v/>
      </c>
      <c r="Z239" s="172"/>
      <c r="AA239" s="95" t="str">
        <f t="shared" si="38"/>
        <v/>
      </c>
      <c r="AB239" s="150"/>
      <c r="AC239" s="95" t="str">
        <f t="shared" si="39"/>
        <v/>
      </c>
      <c r="AD239" s="150"/>
      <c r="AE239" s="95" t="str">
        <f t="shared" si="40"/>
        <v/>
      </c>
      <c r="AF239" s="150"/>
      <c r="AG239" s="95" t="str">
        <f t="shared" si="41"/>
        <v/>
      </c>
      <c r="AH239" s="150"/>
      <c r="AI239" s="95" t="str">
        <f t="shared" si="42"/>
        <v/>
      </c>
      <c r="AJ239" s="150"/>
      <c r="AK239" s="27" t="str">
        <f t="shared" si="43"/>
        <v/>
      </c>
      <c r="AL239" s="48" t="str">
        <f t="shared" si="44"/>
        <v/>
      </c>
      <c r="AM239" s="48" t="str">
        <f t="shared" si="45"/>
        <v/>
      </c>
      <c r="AN239" s="196"/>
      <c r="AO239" s="196"/>
      <c r="AP239" s="196"/>
      <c r="AQ239" s="196"/>
      <c r="AR239" s="196"/>
      <c r="AS239" s="196"/>
      <c r="AT239" s="196"/>
      <c r="AU239" s="197" t="str">
        <f>IFERROR(VLOOKUP(AT239,'Seguridad Información'!$I$61:$J$65,2,0),"")</f>
        <v/>
      </c>
      <c r="AV239" s="79"/>
      <c r="AW239" s="78" t="str">
        <f t="shared" si="36"/>
        <v/>
      </c>
      <c r="AX239" s="77" t="str">
        <f t="shared" si="46"/>
        <v/>
      </c>
      <c r="AY239" s="21" t="str">
        <f>IFERROR(VLOOKUP((CONCATENATE(AM239,AX239)),Listados!$U$3:$V$11,2,FALSE),"")</f>
        <v/>
      </c>
      <c r="AZ239" s="48">
        <f t="shared" si="47"/>
        <v>100</v>
      </c>
      <c r="BA239" s="431"/>
      <c r="BB239" s="433"/>
      <c r="BC239" s="169">
        <f>+IF(AND(W239="Preventivo",BB235="Fuerte"),2,IF(AND(W239="Preventivo",BB235="Moderado"),1,0))</f>
        <v>0</v>
      </c>
      <c r="BD239" s="64">
        <f>+IF(AND(W239="Detectivo/Correctivo",$BB235="Fuerte"),2,IF(AND(W239="Detectivo/Correctivo",$BB239="Moderado"),1,IF(AND(W239="Preventivo",$BB235="Fuerte"),1,0)))</f>
        <v>0</v>
      </c>
      <c r="BE239" s="169" t="e">
        <f>+N235-BC239</f>
        <v>#N/A</v>
      </c>
      <c r="BF239" s="169" t="e">
        <f>+P235-BD239</f>
        <v>#N/A</v>
      </c>
      <c r="BG239" s="422"/>
      <c r="BH239" s="422"/>
      <c r="BI239" s="422"/>
      <c r="BJ239" s="645"/>
      <c r="BK239" s="645"/>
      <c r="BL239" s="645"/>
      <c r="BM239" s="645"/>
    </row>
    <row r="240" spans="1:65" ht="65.099999999999994" customHeight="1" thickBot="1">
      <c r="A240" s="406"/>
      <c r="B240" s="625"/>
      <c r="C240" s="441"/>
      <c r="D240" s="106"/>
      <c r="E240" s="106"/>
      <c r="F240" s="619"/>
      <c r="G240" s="444"/>
      <c r="H240" s="100"/>
      <c r="I240" s="128"/>
      <c r="J240" s="100"/>
      <c r="K240" s="31"/>
      <c r="L240" s="129"/>
      <c r="M240" s="446"/>
      <c r="N240" s="426"/>
      <c r="O240" s="428"/>
      <c r="P240" s="426"/>
      <c r="Q240" s="429"/>
      <c r="R240" s="423"/>
      <c r="S240" s="150"/>
      <c r="T240" s="98"/>
      <c r="U240" s="47" t="s">
        <v>627</v>
      </c>
      <c r="V240" s="172"/>
      <c r="W240" s="172"/>
      <c r="X240" s="172"/>
      <c r="Y240" s="95" t="str">
        <f t="shared" si="37"/>
        <v/>
      </c>
      <c r="Z240" s="172"/>
      <c r="AA240" s="95" t="str">
        <f t="shared" si="38"/>
        <v/>
      </c>
      <c r="AB240" s="150"/>
      <c r="AC240" s="95" t="str">
        <f t="shared" si="39"/>
        <v/>
      </c>
      <c r="AD240" s="150"/>
      <c r="AE240" s="95" t="str">
        <f t="shared" si="40"/>
        <v/>
      </c>
      <c r="AF240" s="150"/>
      <c r="AG240" s="95" t="str">
        <f t="shared" si="41"/>
        <v/>
      </c>
      <c r="AH240" s="150"/>
      <c r="AI240" s="95" t="str">
        <f t="shared" si="42"/>
        <v/>
      </c>
      <c r="AJ240" s="150"/>
      <c r="AK240" s="27" t="str">
        <f t="shared" si="43"/>
        <v/>
      </c>
      <c r="AL240" s="48" t="str">
        <f t="shared" si="44"/>
        <v/>
      </c>
      <c r="AM240" s="48" t="str">
        <f t="shared" si="45"/>
        <v/>
      </c>
      <c r="AN240" s="196"/>
      <c r="AO240" s="196"/>
      <c r="AP240" s="196"/>
      <c r="AQ240" s="196"/>
      <c r="AR240" s="196"/>
      <c r="AS240" s="196"/>
      <c r="AT240" s="196"/>
      <c r="AU240" s="197" t="str">
        <f>IFERROR(VLOOKUP(AT240,'Seguridad Información'!$I$61:$J$65,2,0),"")</f>
        <v/>
      </c>
      <c r="AV240" s="79"/>
      <c r="AW240" s="78" t="str">
        <f t="shared" si="36"/>
        <v/>
      </c>
      <c r="AX240" s="77" t="str">
        <f t="shared" si="46"/>
        <v/>
      </c>
      <c r="AY240" s="21" t="str">
        <f>IFERROR(VLOOKUP((CONCATENATE(AM240,AX240)),Listados!$U$3:$V$11,2,FALSE),"")</f>
        <v/>
      </c>
      <c r="AZ240" s="48">
        <f t="shared" si="47"/>
        <v>100</v>
      </c>
      <c r="BA240" s="432"/>
      <c r="BB240" s="433"/>
      <c r="BC240" s="169">
        <f>+IF(AND(W240="Preventivo",BB235="Fuerte"),2,IF(AND(W240="Preventivo",BB235="Moderado"),1,0))</f>
        <v>0</v>
      </c>
      <c r="BD240" s="64">
        <f>+IF(AND(W240="Detectivo/Correctivo",$BB235="Fuerte"),2,IF(AND(W240="Detectivo/Correctivo",$BB240="Moderado"),1,IF(AND(W240="Preventivo",$BB235="Fuerte"),1,0)))</f>
        <v>0</v>
      </c>
      <c r="BE240" s="169" t="e">
        <f>+N235-BC240</f>
        <v>#N/A</v>
      </c>
      <c r="BF240" s="169" t="e">
        <f>+P235-BD240</f>
        <v>#N/A</v>
      </c>
      <c r="BG240" s="423"/>
      <c r="BH240" s="423"/>
      <c r="BI240" s="423"/>
      <c r="BJ240" s="646"/>
      <c r="BK240" s="646"/>
      <c r="BL240" s="646"/>
      <c r="BM240" s="646"/>
    </row>
    <row r="241" spans="1:65" ht="65.099999999999994" customHeight="1" thickBot="1">
      <c r="A241" s="404">
        <v>40</v>
      </c>
      <c r="B241" s="628"/>
      <c r="C241" s="447" t="str">
        <f>IFERROR(VLOOKUP(B241,Listados!B$3:C$20,2,FALSE),"")</f>
        <v/>
      </c>
      <c r="D241" s="107"/>
      <c r="E241" s="107"/>
      <c r="F241" s="618"/>
      <c r="G241" s="448"/>
      <c r="H241" s="100"/>
      <c r="I241" s="128"/>
      <c r="J241" s="100"/>
      <c r="K241" s="103"/>
      <c r="L241" s="17"/>
      <c r="M241" s="445"/>
      <c r="N241" s="424" t="e">
        <f>+VLOOKUP(M241,Listados!$K$8:$L$12,2,0)</f>
        <v>#N/A</v>
      </c>
      <c r="O241" s="427"/>
      <c r="P241" s="424" t="e">
        <f>+VLOOKUP(O241,Listados!$K$13:$L$17,2,0)</f>
        <v>#N/A</v>
      </c>
      <c r="Q241" s="423" t="str">
        <f>IF(AND(M241&lt;&gt;"",O241&lt;&gt;""),VLOOKUP(M241&amp;O241,Listados!$M$3:$N$27,2,FALSE),"")</f>
        <v/>
      </c>
      <c r="R241" s="421" t="e">
        <f>+VLOOKUP(Q241,Listados!$P$3:$Q$6,2,FALSE)</f>
        <v>#N/A</v>
      </c>
      <c r="S241" s="150"/>
      <c r="T241" s="94"/>
      <c r="U241" s="47" t="s">
        <v>627</v>
      </c>
      <c r="V241" s="172"/>
      <c r="W241" s="172"/>
      <c r="X241" s="172"/>
      <c r="Y241" s="95" t="str">
        <f t="shared" si="37"/>
        <v/>
      </c>
      <c r="Z241" s="172"/>
      <c r="AA241" s="95" t="str">
        <f t="shared" si="38"/>
        <v/>
      </c>
      <c r="AB241" s="150"/>
      <c r="AC241" s="95" t="str">
        <f t="shared" si="39"/>
        <v/>
      </c>
      <c r="AD241" s="150"/>
      <c r="AE241" s="95" t="str">
        <f t="shared" si="40"/>
        <v/>
      </c>
      <c r="AF241" s="150"/>
      <c r="AG241" s="95" t="str">
        <f t="shared" si="41"/>
        <v/>
      </c>
      <c r="AH241" s="150"/>
      <c r="AI241" s="95" t="str">
        <f t="shared" si="42"/>
        <v/>
      </c>
      <c r="AJ241" s="150"/>
      <c r="AK241" s="27" t="str">
        <f t="shared" si="43"/>
        <v/>
      </c>
      <c r="AL241" s="48" t="str">
        <f t="shared" si="44"/>
        <v/>
      </c>
      <c r="AM241" s="48" t="str">
        <f t="shared" si="45"/>
        <v/>
      </c>
      <c r="AN241" s="196"/>
      <c r="AO241" s="196"/>
      <c r="AP241" s="196"/>
      <c r="AQ241" s="196"/>
      <c r="AR241" s="196"/>
      <c r="AS241" s="196"/>
      <c r="AT241" s="196"/>
      <c r="AU241" s="197" t="str">
        <f>IFERROR(VLOOKUP(AT241,'Seguridad Información'!$I$61:$J$65,2,0),"")</f>
        <v/>
      </c>
      <c r="AV241" s="79"/>
      <c r="AW241" s="78" t="str">
        <f t="shared" si="36"/>
        <v/>
      </c>
      <c r="AX241" s="77" t="str">
        <f t="shared" si="46"/>
        <v/>
      </c>
      <c r="AY241" s="21" t="str">
        <f>IFERROR(VLOOKUP((CONCATENATE(AM241,AX241)),Listados!$U$3:$V$11,2,FALSE),"")</f>
        <v/>
      </c>
      <c r="AZ241" s="48">
        <f t="shared" si="47"/>
        <v>100</v>
      </c>
      <c r="BA241" s="430">
        <f>AVERAGE(AZ241:AZ246)</f>
        <v>100</v>
      </c>
      <c r="BB241" s="432" t="str">
        <f>IF(BA241&lt;=50, "Débil", IF(BA241&lt;=99,"Moderado","Fuerte"))</f>
        <v>Fuerte</v>
      </c>
      <c r="BC241" s="169">
        <f>+IF(AND(W241="Preventivo",BB241="Fuerte"),2,IF(AND(W241="Preventivo",BB241="Moderado"),1,0))</f>
        <v>0</v>
      </c>
      <c r="BD241" s="64">
        <f>+IF(AND(W241="Detectivo/Correctivo",$BB241="Fuerte"),2,IF(AND(W241="Detectivo/Correctivo",$BB241="Moderado"),1,IF(AND(W241="Preventivo",$BB241="Fuerte"),1,0)))</f>
        <v>0</v>
      </c>
      <c r="BE241" s="169" t="e">
        <f>+N241-BC241</f>
        <v>#N/A</v>
      </c>
      <c r="BF241" s="169" t="e">
        <f>+P241-BD241</f>
        <v>#N/A</v>
      </c>
      <c r="BG241" s="421" t="e">
        <f>+VLOOKUP(MIN(BE241,BE242,BE243,BE244,BE245,BE246),Listados!$J$18:$K$24,2,TRUE)</f>
        <v>#N/A</v>
      </c>
      <c r="BH241" s="421" t="e">
        <f>+VLOOKUP(MIN(BF241,BF242,BF243,BF244,BF245,BF246),Listados!$J$27:$K$32,2,TRUE)</f>
        <v>#N/A</v>
      </c>
      <c r="BI241" s="421" t="e">
        <f>IF(AND(BG241&lt;&gt;"",BH241&lt;&gt;""),VLOOKUP(BG241&amp;BH241,Listados!$M$3:$N$27,2,FALSE),"")</f>
        <v>#N/A</v>
      </c>
      <c r="BJ241" s="644" t="e">
        <f>+IF($R241="Asumir el riesgo","NA","")</f>
        <v>#N/A</v>
      </c>
      <c r="BK241" s="644" t="e">
        <f>+IF($R241="Asumir el riesgo","NA","")</f>
        <v>#N/A</v>
      </c>
      <c r="BL241" s="644" t="e">
        <f>+IF($R241="Asumir el riesgo","NA","")</f>
        <v>#N/A</v>
      </c>
      <c r="BM241" s="644" t="e">
        <f>+IF($R241="Asumir el riesgo","NA","")</f>
        <v>#N/A</v>
      </c>
    </row>
    <row r="242" spans="1:65" ht="65.099999999999994" customHeight="1" thickBot="1">
      <c r="A242" s="405"/>
      <c r="B242" s="625"/>
      <c r="C242" s="440"/>
      <c r="D242" s="152"/>
      <c r="E242" s="152"/>
      <c r="F242" s="475"/>
      <c r="G242" s="443"/>
      <c r="H242" s="100"/>
      <c r="I242" s="128"/>
      <c r="J242" s="100"/>
      <c r="K242" s="147"/>
      <c r="L242" s="129"/>
      <c r="M242" s="446"/>
      <c r="N242" s="425"/>
      <c r="O242" s="428"/>
      <c r="P242" s="425"/>
      <c r="Q242" s="429"/>
      <c r="R242" s="422"/>
      <c r="S242" s="150"/>
      <c r="T242" s="198"/>
      <c r="U242" s="47" t="s">
        <v>627</v>
      </c>
      <c r="V242" s="172"/>
      <c r="W242" s="172"/>
      <c r="X242" s="172"/>
      <c r="Y242" s="95" t="str">
        <f t="shared" si="37"/>
        <v/>
      </c>
      <c r="Z242" s="172"/>
      <c r="AA242" s="95" t="str">
        <f t="shared" si="38"/>
        <v/>
      </c>
      <c r="AB242" s="150"/>
      <c r="AC242" s="95" t="str">
        <f t="shared" si="39"/>
        <v/>
      </c>
      <c r="AD242" s="150"/>
      <c r="AE242" s="95" t="str">
        <f t="shared" si="40"/>
        <v/>
      </c>
      <c r="AF242" s="150"/>
      <c r="AG242" s="95" t="str">
        <f t="shared" si="41"/>
        <v/>
      </c>
      <c r="AH242" s="150"/>
      <c r="AI242" s="95" t="str">
        <f t="shared" si="42"/>
        <v/>
      </c>
      <c r="AJ242" s="150"/>
      <c r="AK242" s="27" t="str">
        <f t="shared" si="43"/>
        <v/>
      </c>
      <c r="AL242" s="48" t="str">
        <f t="shared" si="44"/>
        <v/>
      </c>
      <c r="AM242" s="48" t="str">
        <f t="shared" si="45"/>
        <v/>
      </c>
      <c r="AN242" s="196"/>
      <c r="AO242" s="196"/>
      <c r="AP242" s="196"/>
      <c r="AQ242" s="196"/>
      <c r="AR242" s="196"/>
      <c r="AS242" s="196"/>
      <c r="AT242" s="196"/>
      <c r="AU242" s="197" t="str">
        <f>IFERROR(VLOOKUP(AT242,'Seguridad Información'!$I$61:$J$65,2,0),"")</f>
        <v/>
      </c>
      <c r="AV242" s="79"/>
      <c r="AW242" s="78" t="str">
        <f t="shared" si="36"/>
        <v/>
      </c>
      <c r="AX242" s="77" t="str">
        <f t="shared" si="46"/>
        <v/>
      </c>
      <c r="AY242" s="21" t="str">
        <f>IFERROR(VLOOKUP((CONCATENATE(AM242,AX242)),Listados!$U$3:$V$11,2,FALSE),"")</f>
        <v/>
      </c>
      <c r="AZ242" s="48">
        <f t="shared" si="47"/>
        <v>100</v>
      </c>
      <c r="BA242" s="431"/>
      <c r="BB242" s="433"/>
      <c r="BC242" s="169">
        <f>+IF(AND(W242="Preventivo",BB241="Fuerte"),2,IF(AND(W242="Preventivo",BB241="Moderado"),1,0))</f>
        <v>0</v>
      </c>
      <c r="BD242" s="64">
        <f>+IF(AND(W242="Detectivo/Correctivo",$BB241="Fuerte"),2,IF(AND(W242="Detectivo/Correctivo",$BB242="Moderado"),1,IF(AND(W242="Preventivo",$BB241="Fuerte"),1,0)))</f>
        <v>0</v>
      </c>
      <c r="BE242" s="169" t="e">
        <f>+N241-BC242</f>
        <v>#N/A</v>
      </c>
      <c r="BF242" s="169" t="e">
        <f>+P241-BD242</f>
        <v>#N/A</v>
      </c>
      <c r="BG242" s="422"/>
      <c r="BH242" s="422"/>
      <c r="BI242" s="422"/>
      <c r="BJ242" s="645"/>
      <c r="BK242" s="645"/>
      <c r="BL242" s="645"/>
      <c r="BM242" s="645"/>
    </row>
    <row r="243" spans="1:65" ht="65.099999999999994" customHeight="1" thickBot="1">
      <c r="A243" s="405"/>
      <c r="B243" s="625"/>
      <c r="C243" s="440"/>
      <c r="D243" s="152"/>
      <c r="E243" s="152"/>
      <c r="F243" s="475"/>
      <c r="G243" s="443"/>
      <c r="H243" s="100"/>
      <c r="I243" s="128"/>
      <c r="J243" s="100"/>
      <c r="K243" s="147"/>
      <c r="L243" s="129"/>
      <c r="M243" s="446"/>
      <c r="N243" s="425"/>
      <c r="O243" s="428"/>
      <c r="P243" s="425"/>
      <c r="Q243" s="429"/>
      <c r="R243" s="422"/>
      <c r="S243" s="150"/>
      <c r="T243" s="96"/>
      <c r="U243" s="47" t="s">
        <v>627</v>
      </c>
      <c r="V243" s="172"/>
      <c r="W243" s="172"/>
      <c r="X243" s="172"/>
      <c r="Y243" s="95" t="str">
        <f t="shared" si="37"/>
        <v/>
      </c>
      <c r="Z243" s="172"/>
      <c r="AA243" s="95" t="str">
        <f t="shared" si="38"/>
        <v/>
      </c>
      <c r="AB243" s="150"/>
      <c r="AC243" s="95" t="str">
        <f t="shared" si="39"/>
        <v/>
      </c>
      <c r="AD243" s="150"/>
      <c r="AE243" s="95" t="str">
        <f t="shared" si="40"/>
        <v/>
      </c>
      <c r="AF243" s="150"/>
      <c r="AG243" s="95" t="str">
        <f t="shared" si="41"/>
        <v/>
      </c>
      <c r="AH243" s="150"/>
      <c r="AI243" s="95" t="str">
        <f t="shared" si="42"/>
        <v/>
      </c>
      <c r="AJ243" s="150"/>
      <c r="AK243" s="27" t="str">
        <f t="shared" si="43"/>
        <v/>
      </c>
      <c r="AL243" s="48" t="str">
        <f t="shared" si="44"/>
        <v/>
      </c>
      <c r="AM243" s="48" t="str">
        <f t="shared" si="45"/>
        <v/>
      </c>
      <c r="AN243" s="196"/>
      <c r="AO243" s="196"/>
      <c r="AP243" s="196"/>
      <c r="AQ243" s="196"/>
      <c r="AR243" s="196"/>
      <c r="AS243" s="196"/>
      <c r="AT243" s="196"/>
      <c r="AU243" s="197" t="str">
        <f>IFERROR(VLOOKUP(AT243,'Seguridad Información'!$I$61:$J$65,2,0),"")</f>
        <v/>
      </c>
      <c r="AV243" s="79"/>
      <c r="AW243" s="78" t="str">
        <f t="shared" si="36"/>
        <v/>
      </c>
      <c r="AX243" s="77" t="str">
        <f t="shared" si="46"/>
        <v/>
      </c>
      <c r="AY243" s="21" t="str">
        <f>IFERROR(VLOOKUP((CONCATENATE(AM243,AX243)),Listados!$U$3:$V$11,2,FALSE),"")</f>
        <v/>
      </c>
      <c r="AZ243" s="48">
        <f t="shared" si="47"/>
        <v>100</v>
      </c>
      <c r="BA243" s="431"/>
      <c r="BB243" s="433"/>
      <c r="BC243" s="169">
        <f>+IF(AND(W243="Preventivo",BB241="Fuerte"),2,IF(AND(W243="Preventivo",BB241="Moderado"),1,0))</f>
        <v>0</v>
      </c>
      <c r="BD243" s="64">
        <f>+IF(AND(W243="Detectivo/Correctivo",$BB241="Fuerte"),2,IF(AND(W243="Detectivo/Correctivo",$BB243="Moderado"),1,IF(AND(W243="Preventivo",$BB241="Fuerte"),1,0)))</f>
        <v>0</v>
      </c>
      <c r="BE243" s="169" t="e">
        <f>+N241-BC243</f>
        <v>#N/A</v>
      </c>
      <c r="BF243" s="169" t="e">
        <f>+P241-BD243</f>
        <v>#N/A</v>
      </c>
      <c r="BG243" s="422"/>
      <c r="BH243" s="422"/>
      <c r="BI243" s="422"/>
      <c r="BJ243" s="645"/>
      <c r="BK243" s="645"/>
      <c r="BL243" s="645"/>
      <c r="BM243" s="645"/>
    </row>
    <row r="244" spans="1:65" ht="65.099999999999994" customHeight="1" thickBot="1">
      <c r="A244" s="405"/>
      <c r="B244" s="625"/>
      <c r="C244" s="440"/>
      <c r="D244" s="152"/>
      <c r="E244" s="152"/>
      <c r="F244" s="475"/>
      <c r="G244" s="443"/>
      <c r="H244" s="100"/>
      <c r="I244" s="128"/>
      <c r="J244" s="100"/>
      <c r="K244" s="147"/>
      <c r="L244" s="129"/>
      <c r="M244" s="446"/>
      <c r="N244" s="425"/>
      <c r="O244" s="428"/>
      <c r="P244" s="425"/>
      <c r="Q244" s="429"/>
      <c r="R244" s="422"/>
      <c r="S244" s="150"/>
      <c r="T244" s="97"/>
      <c r="U244" s="47" t="s">
        <v>627</v>
      </c>
      <c r="V244" s="172"/>
      <c r="W244" s="172"/>
      <c r="X244" s="172"/>
      <c r="Y244" s="95" t="str">
        <f t="shared" si="37"/>
        <v/>
      </c>
      <c r="Z244" s="172"/>
      <c r="AA244" s="95" t="str">
        <f t="shared" si="38"/>
        <v/>
      </c>
      <c r="AB244" s="150"/>
      <c r="AC244" s="95" t="str">
        <f t="shared" si="39"/>
        <v/>
      </c>
      <c r="AD244" s="150"/>
      <c r="AE244" s="95" t="str">
        <f t="shared" si="40"/>
        <v/>
      </c>
      <c r="AF244" s="150"/>
      <c r="AG244" s="95" t="str">
        <f t="shared" si="41"/>
        <v/>
      </c>
      <c r="AH244" s="150"/>
      <c r="AI244" s="95" t="str">
        <f t="shared" si="42"/>
        <v/>
      </c>
      <c r="AJ244" s="150"/>
      <c r="AK244" s="27" t="str">
        <f t="shared" si="43"/>
        <v/>
      </c>
      <c r="AL244" s="48" t="str">
        <f t="shared" si="44"/>
        <v/>
      </c>
      <c r="AM244" s="48" t="str">
        <f t="shared" si="45"/>
        <v/>
      </c>
      <c r="AN244" s="196"/>
      <c r="AO244" s="196"/>
      <c r="AP244" s="196"/>
      <c r="AQ244" s="196"/>
      <c r="AR244" s="196"/>
      <c r="AS244" s="196"/>
      <c r="AT244" s="196"/>
      <c r="AU244" s="197" t="str">
        <f>IFERROR(VLOOKUP(AT244,'Seguridad Información'!$I$61:$J$65,2,0),"")</f>
        <v/>
      </c>
      <c r="AV244" s="79"/>
      <c r="AW244" s="78" t="str">
        <f t="shared" si="36"/>
        <v/>
      </c>
      <c r="AX244" s="77" t="str">
        <f t="shared" si="46"/>
        <v/>
      </c>
      <c r="AY244" s="21" t="str">
        <f>IFERROR(VLOOKUP((CONCATENATE(AM244,AX244)),Listados!$U$3:$V$11,2,FALSE),"")</f>
        <v/>
      </c>
      <c r="AZ244" s="48">
        <f t="shared" si="47"/>
        <v>100</v>
      </c>
      <c r="BA244" s="431"/>
      <c r="BB244" s="433"/>
      <c r="BC244" s="169">
        <f>+IF(AND(W244="Preventivo",BB241="Fuerte"),2,IF(AND(W244="Preventivo",BB241="Moderado"),1,0))</f>
        <v>0</v>
      </c>
      <c r="BD244" s="64">
        <f>+IF(AND(W244="Detectivo/Correctivo",$BB241="Fuerte"),2,IF(AND(W244="Detectivo/Correctivo",$BB244="Moderado"),1,IF(AND(W244="Preventivo",$BB241="Fuerte"),1,0)))</f>
        <v>0</v>
      </c>
      <c r="BE244" s="169" t="e">
        <f>+N241-BC244</f>
        <v>#N/A</v>
      </c>
      <c r="BF244" s="169" t="e">
        <f>+P241-BD244</f>
        <v>#N/A</v>
      </c>
      <c r="BG244" s="422"/>
      <c r="BH244" s="422"/>
      <c r="BI244" s="422"/>
      <c r="BJ244" s="645"/>
      <c r="BK244" s="645"/>
      <c r="BL244" s="645"/>
      <c r="BM244" s="645"/>
    </row>
    <row r="245" spans="1:65" ht="65.099999999999994" customHeight="1" thickBot="1">
      <c r="A245" s="405"/>
      <c r="B245" s="625"/>
      <c r="C245" s="440"/>
      <c r="D245" s="109"/>
      <c r="E245" s="109"/>
      <c r="F245" s="475"/>
      <c r="G245" s="443"/>
      <c r="H245" s="100"/>
      <c r="I245" s="128"/>
      <c r="J245" s="100"/>
      <c r="K245" s="29"/>
      <c r="L245" s="129"/>
      <c r="M245" s="446"/>
      <c r="N245" s="425"/>
      <c r="O245" s="428"/>
      <c r="P245" s="425"/>
      <c r="Q245" s="429"/>
      <c r="R245" s="422"/>
      <c r="S245" s="150"/>
      <c r="T245" s="198"/>
      <c r="U245" s="47" t="s">
        <v>627</v>
      </c>
      <c r="V245" s="172"/>
      <c r="W245" s="172"/>
      <c r="X245" s="172"/>
      <c r="Y245" s="95" t="str">
        <f t="shared" si="37"/>
        <v/>
      </c>
      <c r="Z245" s="172"/>
      <c r="AA245" s="95" t="str">
        <f t="shared" si="38"/>
        <v/>
      </c>
      <c r="AB245" s="150"/>
      <c r="AC245" s="95" t="str">
        <f t="shared" si="39"/>
        <v/>
      </c>
      <c r="AD245" s="150"/>
      <c r="AE245" s="95" t="str">
        <f t="shared" si="40"/>
        <v/>
      </c>
      <c r="AF245" s="150"/>
      <c r="AG245" s="95" t="str">
        <f t="shared" si="41"/>
        <v/>
      </c>
      <c r="AH245" s="150"/>
      <c r="AI245" s="95" t="str">
        <f t="shared" si="42"/>
        <v/>
      </c>
      <c r="AJ245" s="150"/>
      <c r="AK245" s="27" t="str">
        <f t="shared" si="43"/>
        <v/>
      </c>
      <c r="AL245" s="48" t="str">
        <f t="shared" si="44"/>
        <v/>
      </c>
      <c r="AM245" s="48" t="str">
        <f t="shared" si="45"/>
        <v/>
      </c>
      <c r="AN245" s="196"/>
      <c r="AO245" s="196"/>
      <c r="AP245" s="196"/>
      <c r="AQ245" s="196"/>
      <c r="AR245" s="196"/>
      <c r="AS245" s="196"/>
      <c r="AT245" s="196"/>
      <c r="AU245" s="197" t="str">
        <f>IFERROR(VLOOKUP(AT245,'Seguridad Información'!$I$61:$J$65,2,0),"")</f>
        <v/>
      </c>
      <c r="AV245" s="79"/>
      <c r="AW245" s="78" t="str">
        <f t="shared" si="36"/>
        <v/>
      </c>
      <c r="AX245" s="77" t="str">
        <f t="shared" si="46"/>
        <v/>
      </c>
      <c r="AY245" s="21" t="str">
        <f>IFERROR(VLOOKUP((CONCATENATE(AM245,AX245)),Listados!$U$3:$V$11,2,FALSE),"")</f>
        <v/>
      </c>
      <c r="AZ245" s="48">
        <f t="shared" si="47"/>
        <v>100</v>
      </c>
      <c r="BA245" s="431"/>
      <c r="BB245" s="433"/>
      <c r="BC245" s="169">
        <f>+IF(AND(W245="Preventivo",BB241="Fuerte"),2,IF(AND(W245="Preventivo",BB241="Moderado"),1,0))</f>
        <v>0</v>
      </c>
      <c r="BD245" s="64">
        <f>+IF(AND(W245="Detectivo/Correctivo",$BB241="Fuerte"),2,IF(AND(W245="Detectivo/Correctivo",$BB245="Moderado"),1,IF(AND(W245="Preventivo",$BB241="Fuerte"),1,0)))</f>
        <v>0</v>
      </c>
      <c r="BE245" s="169" t="e">
        <f>+N241-BC245</f>
        <v>#N/A</v>
      </c>
      <c r="BF245" s="169" t="e">
        <f>+P241-BD245</f>
        <v>#N/A</v>
      </c>
      <c r="BG245" s="422"/>
      <c r="BH245" s="422"/>
      <c r="BI245" s="422"/>
      <c r="BJ245" s="645"/>
      <c r="BK245" s="645"/>
      <c r="BL245" s="645"/>
      <c r="BM245" s="645"/>
    </row>
    <row r="246" spans="1:65" ht="65.099999999999994" customHeight="1" thickBot="1">
      <c r="A246" s="406"/>
      <c r="B246" s="625"/>
      <c r="C246" s="441"/>
      <c r="D246" s="106"/>
      <c r="E246" s="106"/>
      <c r="F246" s="619"/>
      <c r="G246" s="444"/>
      <c r="H246" s="100"/>
      <c r="I246" s="128"/>
      <c r="J246" s="100"/>
      <c r="K246" s="31"/>
      <c r="L246" s="129"/>
      <c r="M246" s="446"/>
      <c r="N246" s="426"/>
      <c r="O246" s="428"/>
      <c r="P246" s="426"/>
      <c r="Q246" s="429"/>
      <c r="R246" s="423"/>
      <c r="S246" s="150"/>
      <c r="T246" s="98"/>
      <c r="U246" s="47" t="s">
        <v>627</v>
      </c>
      <c r="V246" s="172"/>
      <c r="W246" s="172"/>
      <c r="X246" s="172"/>
      <c r="Y246" s="95" t="str">
        <f t="shared" si="37"/>
        <v/>
      </c>
      <c r="Z246" s="172"/>
      <c r="AA246" s="95" t="str">
        <f t="shared" si="38"/>
        <v/>
      </c>
      <c r="AB246" s="150"/>
      <c r="AC246" s="95" t="str">
        <f t="shared" si="39"/>
        <v/>
      </c>
      <c r="AD246" s="150"/>
      <c r="AE246" s="95" t="str">
        <f t="shared" si="40"/>
        <v/>
      </c>
      <c r="AF246" s="150"/>
      <c r="AG246" s="95" t="str">
        <f t="shared" si="41"/>
        <v/>
      </c>
      <c r="AH246" s="150"/>
      <c r="AI246" s="95" t="str">
        <f t="shared" si="42"/>
        <v/>
      </c>
      <c r="AJ246" s="150"/>
      <c r="AK246" s="27" t="str">
        <f t="shared" si="43"/>
        <v/>
      </c>
      <c r="AL246" s="48" t="str">
        <f t="shared" si="44"/>
        <v/>
      </c>
      <c r="AM246" s="48" t="str">
        <f t="shared" si="45"/>
        <v/>
      </c>
      <c r="AN246" s="196"/>
      <c r="AO246" s="196"/>
      <c r="AP246" s="196"/>
      <c r="AQ246" s="196"/>
      <c r="AR246" s="196"/>
      <c r="AS246" s="196"/>
      <c r="AT246" s="196"/>
      <c r="AU246" s="197" t="str">
        <f>IFERROR(VLOOKUP(AT246,'Seguridad Información'!$I$61:$J$65,2,0),"")</f>
        <v/>
      </c>
      <c r="AV246" s="79"/>
      <c r="AW246" s="78" t="str">
        <f t="shared" si="36"/>
        <v/>
      </c>
      <c r="AX246" s="77" t="str">
        <f t="shared" si="46"/>
        <v/>
      </c>
      <c r="AY246" s="21" t="str">
        <f>IFERROR(VLOOKUP((CONCATENATE(AM246,AX246)),Listados!$U$3:$V$11,2,FALSE),"")</f>
        <v/>
      </c>
      <c r="AZ246" s="48">
        <f t="shared" si="47"/>
        <v>100</v>
      </c>
      <c r="BA246" s="432"/>
      <c r="BB246" s="433"/>
      <c r="BC246" s="169">
        <f>+IF(AND(W246="Preventivo",BB241="Fuerte"),2,IF(AND(W246="Preventivo",BB241="Moderado"),1,0))</f>
        <v>0</v>
      </c>
      <c r="BD246" s="64">
        <f>+IF(AND(W246="Detectivo/Correctivo",$BB241="Fuerte"),2,IF(AND(W246="Detectivo/Correctivo",$BB246="Moderado"),1,IF(AND(W246="Preventivo",$BB241="Fuerte"),1,0)))</f>
        <v>0</v>
      </c>
      <c r="BE246" s="169" t="e">
        <f>+N241-BC246</f>
        <v>#N/A</v>
      </c>
      <c r="BF246" s="169" t="e">
        <f>+P241-BD246</f>
        <v>#N/A</v>
      </c>
      <c r="BG246" s="423"/>
      <c r="BH246" s="423"/>
      <c r="BI246" s="423"/>
      <c r="BJ246" s="646"/>
      <c r="BK246" s="646"/>
      <c r="BL246" s="646"/>
      <c r="BM246" s="646"/>
    </row>
    <row r="247" spans="1:65" ht="65.099999999999994" customHeight="1" thickBot="1">
      <c r="A247" s="404">
        <v>41</v>
      </c>
      <c r="B247" s="628"/>
      <c r="C247" s="447" t="str">
        <f>IFERROR(VLOOKUP(B247,Listados!B$3:C$20,2,FALSE),"")</f>
        <v/>
      </c>
      <c r="D247" s="107"/>
      <c r="E247" s="107"/>
      <c r="F247" s="618"/>
      <c r="G247" s="448"/>
      <c r="H247" s="100"/>
      <c r="I247" s="128"/>
      <c r="J247" s="100"/>
      <c r="K247" s="103"/>
      <c r="L247" s="17"/>
      <c r="M247" s="445"/>
      <c r="N247" s="424" t="e">
        <f>+VLOOKUP(M247,Listados!$K$8:$L$12,2,0)</f>
        <v>#N/A</v>
      </c>
      <c r="O247" s="427"/>
      <c r="P247" s="424" t="e">
        <f>+VLOOKUP(O247,Listados!$K$13:$L$17,2,0)</f>
        <v>#N/A</v>
      </c>
      <c r="Q247" s="423" t="str">
        <f>IF(AND(M247&lt;&gt;"",O247&lt;&gt;""),VLOOKUP(M247&amp;O247,Listados!$M$3:$N$27,2,FALSE),"")</f>
        <v/>
      </c>
      <c r="R247" s="421" t="e">
        <f>+VLOOKUP(Q247,Listados!$P$3:$Q$6,2,FALSE)</f>
        <v>#N/A</v>
      </c>
      <c r="S247" s="150"/>
      <c r="T247" s="94"/>
      <c r="U247" s="47" t="s">
        <v>627</v>
      </c>
      <c r="V247" s="172"/>
      <c r="W247" s="172"/>
      <c r="X247" s="172"/>
      <c r="Y247" s="95" t="str">
        <f t="shared" si="37"/>
        <v/>
      </c>
      <c r="Z247" s="172"/>
      <c r="AA247" s="95" t="str">
        <f t="shared" si="38"/>
        <v/>
      </c>
      <c r="AB247" s="150"/>
      <c r="AC247" s="95" t="str">
        <f t="shared" si="39"/>
        <v/>
      </c>
      <c r="AD247" s="150"/>
      <c r="AE247" s="95" t="str">
        <f t="shared" si="40"/>
        <v/>
      </c>
      <c r="AF247" s="150"/>
      <c r="AG247" s="95" t="str">
        <f t="shared" si="41"/>
        <v/>
      </c>
      <c r="AH247" s="150"/>
      <c r="AI247" s="95" t="str">
        <f t="shared" si="42"/>
        <v/>
      </c>
      <c r="AJ247" s="150"/>
      <c r="AK247" s="27" t="str">
        <f t="shared" si="43"/>
        <v/>
      </c>
      <c r="AL247" s="48" t="str">
        <f t="shared" si="44"/>
        <v/>
      </c>
      <c r="AM247" s="48" t="str">
        <f t="shared" si="45"/>
        <v/>
      </c>
      <c r="AN247" s="196"/>
      <c r="AO247" s="196"/>
      <c r="AP247" s="196"/>
      <c r="AQ247" s="196"/>
      <c r="AR247" s="196"/>
      <c r="AS247" s="196"/>
      <c r="AT247" s="196"/>
      <c r="AU247" s="197" t="str">
        <f>IFERROR(VLOOKUP(AT247,'Seguridad Información'!$I$61:$J$65,2,0),"")</f>
        <v/>
      </c>
      <c r="AV247" s="79"/>
      <c r="AW247" s="78" t="str">
        <f t="shared" si="36"/>
        <v/>
      </c>
      <c r="AX247" s="77" t="str">
        <f t="shared" si="46"/>
        <v/>
      </c>
      <c r="AY247" s="21" t="str">
        <f>IFERROR(VLOOKUP((CONCATENATE(AM247,AX247)),Listados!$U$3:$V$11,2,FALSE),"")</f>
        <v/>
      </c>
      <c r="AZ247" s="48">
        <f t="shared" si="47"/>
        <v>100</v>
      </c>
      <c r="BA247" s="430">
        <f>AVERAGE(AZ247:AZ252)</f>
        <v>100</v>
      </c>
      <c r="BB247" s="432" t="str">
        <f>IF(BA247&lt;=50, "Débil", IF(BA247&lt;=99,"Moderado","Fuerte"))</f>
        <v>Fuerte</v>
      </c>
      <c r="BC247" s="169">
        <f>+IF(AND(W247="Preventivo",BB247="Fuerte"),2,IF(AND(W247="Preventivo",BB247="Moderado"),1,0))</f>
        <v>0</v>
      </c>
      <c r="BD247" s="64">
        <f>+IF(AND(W247="Detectivo/Correctivo",$BB247="Fuerte"),2,IF(AND(W247="Detectivo/Correctivo",$BB247="Moderado"),1,IF(AND(W247="Preventivo",$BB247="Fuerte"),1,0)))</f>
        <v>0</v>
      </c>
      <c r="BE247" s="169" t="e">
        <f>+N247-BC247</f>
        <v>#N/A</v>
      </c>
      <c r="BF247" s="169" t="e">
        <f>+P247-BD247</f>
        <v>#N/A</v>
      </c>
      <c r="BG247" s="421" t="e">
        <f>+VLOOKUP(MIN(BE247,BE248,BE249,BE250,BE251,BE252),Listados!$J$18:$K$24,2,TRUE)</f>
        <v>#N/A</v>
      </c>
      <c r="BH247" s="421" t="e">
        <f>+VLOOKUP(MIN(BF247,BF248,BF249,BF250,BF251,BF252),Listados!$J$27:$K$32,2,TRUE)</f>
        <v>#N/A</v>
      </c>
      <c r="BI247" s="421" t="e">
        <f>IF(AND(BG247&lt;&gt;"",BH247&lt;&gt;""),VLOOKUP(BG247&amp;BH247,Listados!$M$3:$N$27,2,FALSE),"")</f>
        <v>#N/A</v>
      </c>
      <c r="BJ247" s="644" t="e">
        <f>+IF($R247="Asumir el riesgo","NA","")</f>
        <v>#N/A</v>
      </c>
      <c r="BK247" s="644" t="e">
        <f>+IF($R247="Asumir el riesgo","NA","")</f>
        <v>#N/A</v>
      </c>
      <c r="BL247" s="644" t="e">
        <f>+IF($R247="Asumir el riesgo","NA","")</f>
        <v>#N/A</v>
      </c>
      <c r="BM247" s="644" t="e">
        <f>+IF($R247="Asumir el riesgo","NA","")</f>
        <v>#N/A</v>
      </c>
    </row>
    <row r="248" spans="1:65" ht="65.099999999999994" customHeight="1" thickBot="1">
      <c r="A248" s="405"/>
      <c r="B248" s="625"/>
      <c r="C248" s="440"/>
      <c r="D248" s="152"/>
      <c r="E248" s="152"/>
      <c r="F248" s="475"/>
      <c r="G248" s="443"/>
      <c r="H248" s="100"/>
      <c r="I248" s="128"/>
      <c r="J248" s="100"/>
      <c r="K248" s="147"/>
      <c r="L248" s="129"/>
      <c r="M248" s="446"/>
      <c r="N248" s="425"/>
      <c r="O248" s="428"/>
      <c r="P248" s="425"/>
      <c r="Q248" s="429"/>
      <c r="R248" s="422"/>
      <c r="S248" s="150"/>
      <c r="T248" s="198"/>
      <c r="U248" s="47" t="s">
        <v>627</v>
      </c>
      <c r="V248" s="172"/>
      <c r="W248" s="172"/>
      <c r="X248" s="172"/>
      <c r="Y248" s="95" t="str">
        <f t="shared" si="37"/>
        <v/>
      </c>
      <c r="Z248" s="172"/>
      <c r="AA248" s="95" t="str">
        <f t="shared" si="38"/>
        <v/>
      </c>
      <c r="AB248" s="150"/>
      <c r="AC248" s="95" t="str">
        <f t="shared" si="39"/>
        <v/>
      </c>
      <c r="AD248" s="150"/>
      <c r="AE248" s="95" t="str">
        <f t="shared" si="40"/>
        <v/>
      </c>
      <c r="AF248" s="150"/>
      <c r="AG248" s="95" t="str">
        <f t="shared" si="41"/>
        <v/>
      </c>
      <c r="AH248" s="150"/>
      <c r="AI248" s="95" t="str">
        <f t="shared" si="42"/>
        <v/>
      </c>
      <c r="AJ248" s="150"/>
      <c r="AK248" s="27" t="str">
        <f t="shared" si="43"/>
        <v/>
      </c>
      <c r="AL248" s="48" t="str">
        <f t="shared" si="44"/>
        <v/>
      </c>
      <c r="AM248" s="48" t="str">
        <f t="shared" si="45"/>
        <v/>
      </c>
      <c r="AN248" s="196"/>
      <c r="AO248" s="196"/>
      <c r="AP248" s="196"/>
      <c r="AQ248" s="196"/>
      <c r="AR248" s="196"/>
      <c r="AS248" s="196"/>
      <c r="AT248" s="196"/>
      <c r="AU248" s="197" t="str">
        <f>IFERROR(VLOOKUP(AT248,'Seguridad Información'!$I$61:$J$65,2,0),"")</f>
        <v/>
      </c>
      <c r="AV248" s="79"/>
      <c r="AW248" s="78" t="str">
        <f t="shared" si="36"/>
        <v/>
      </c>
      <c r="AX248" s="77" t="str">
        <f t="shared" si="46"/>
        <v/>
      </c>
      <c r="AY248" s="21" t="str">
        <f>IFERROR(VLOOKUP((CONCATENATE(AM248,AX248)),Listados!$U$3:$V$11,2,FALSE),"")</f>
        <v/>
      </c>
      <c r="AZ248" s="48">
        <f t="shared" si="47"/>
        <v>100</v>
      </c>
      <c r="BA248" s="431"/>
      <c r="BB248" s="433"/>
      <c r="BC248" s="169">
        <f>+IF(AND(W248="Preventivo",BB247="Fuerte"),2,IF(AND(W248="Preventivo",BB247="Moderado"),1,0))</f>
        <v>0</v>
      </c>
      <c r="BD248" s="64">
        <f>+IF(AND(W248="Detectivo/Correctivo",$BB247="Fuerte"),2,IF(AND(W248="Detectivo/Correctivo",$BB248="Moderado"),1,IF(AND(W248="Preventivo",$BB247="Fuerte"),1,0)))</f>
        <v>0</v>
      </c>
      <c r="BE248" s="169" t="e">
        <f>+N247-BC248</f>
        <v>#N/A</v>
      </c>
      <c r="BF248" s="169" t="e">
        <f>+P247-BD248</f>
        <v>#N/A</v>
      </c>
      <c r="BG248" s="422"/>
      <c r="BH248" s="422"/>
      <c r="BI248" s="422"/>
      <c r="BJ248" s="645"/>
      <c r="BK248" s="645"/>
      <c r="BL248" s="645"/>
      <c r="BM248" s="645"/>
    </row>
    <row r="249" spans="1:65" ht="65.099999999999994" customHeight="1" thickBot="1">
      <c r="A249" s="405"/>
      <c r="B249" s="625"/>
      <c r="C249" s="440"/>
      <c r="D249" s="152"/>
      <c r="E249" s="152"/>
      <c r="F249" s="475"/>
      <c r="G249" s="443"/>
      <c r="H249" s="100"/>
      <c r="I249" s="128"/>
      <c r="J249" s="100"/>
      <c r="K249" s="147"/>
      <c r="L249" s="129"/>
      <c r="M249" s="446"/>
      <c r="N249" s="425"/>
      <c r="O249" s="428"/>
      <c r="P249" s="425"/>
      <c r="Q249" s="429"/>
      <c r="R249" s="422"/>
      <c r="S249" s="150"/>
      <c r="T249" s="96"/>
      <c r="U249" s="47" t="s">
        <v>627</v>
      </c>
      <c r="V249" s="172"/>
      <c r="W249" s="172"/>
      <c r="X249" s="172"/>
      <c r="Y249" s="95" t="str">
        <f t="shared" si="37"/>
        <v/>
      </c>
      <c r="Z249" s="172"/>
      <c r="AA249" s="95" t="str">
        <f t="shared" si="38"/>
        <v/>
      </c>
      <c r="AB249" s="150"/>
      <c r="AC249" s="95" t="str">
        <f t="shared" si="39"/>
        <v/>
      </c>
      <c r="AD249" s="150"/>
      <c r="AE249" s="95" t="str">
        <f t="shared" si="40"/>
        <v/>
      </c>
      <c r="AF249" s="150"/>
      <c r="AG249" s="95" t="str">
        <f t="shared" si="41"/>
        <v/>
      </c>
      <c r="AH249" s="150"/>
      <c r="AI249" s="95" t="str">
        <f t="shared" si="42"/>
        <v/>
      </c>
      <c r="AJ249" s="150"/>
      <c r="AK249" s="27" t="str">
        <f t="shared" si="43"/>
        <v/>
      </c>
      <c r="AL249" s="48" t="str">
        <f t="shared" si="44"/>
        <v/>
      </c>
      <c r="AM249" s="48" t="str">
        <f t="shared" si="45"/>
        <v/>
      </c>
      <c r="AN249" s="196"/>
      <c r="AO249" s="196"/>
      <c r="AP249" s="196"/>
      <c r="AQ249" s="196"/>
      <c r="AR249" s="196"/>
      <c r="AS249" s="196"/>
      <c r="AT249" s="196"/>
      <c r="AU249" s="197" t="str">
        <f>IFERROR(VLOOKUP(AT249,'Seguridad Información'!$I$61:$J$65,2,0),"")</f>
        <v/>
      </c>
      <c r="AV249" s="79"/>
      <c r="AW249" s="78" t="str">
        <f t="shared" si="36"/>
        <v/>
      </c>
      <c r="AX249" s="77" t="str">
        <f t="shared" si="46"/>
        <v/>
      </c>
      <c r="AY249" s="21" t="str">
        <f>IFERROR(VLOOKUP((CONCATENATE(AM249,AX249)),Listados!$U$3:$V$11,2,FALSE),"")</f>
        <v/>
      </c>
      <c r="AZ249" s="48">
        <f t="shared" si="47"/>
        <v>100</v>
      </c>
      <c r="BA249" s="431"/>
      <c r="BB249" s="433"/>
      <c r="BC249" s="169">
        <f>+IF(AND(W249="Preventivo",BB247="Fuerte"),2,IF(AND(W249="Preventivo",BB247="Moderado"),1,0))</f>
        <v>0</v>
      </c>
      <c r="BD249" s="64">
        <f>+IF(AND(W249="Detectivo/Correctivo",$BB247="Fuerte"),2,IF(AND(W249="Detectivo/Correctivo",$BB249="Moderado"),1,IF(AND(W249="Preventivo",$BB247="Fuerte"),1,0)))</f>
        <v>0</v>
      </c>
      <c r="BE249" s="169" t="e">
        <f>+N247-BC249</f>
        <v>#N/A</v>
      </c>
      <c r="BF249" s="169" t="e">
        <f>+P247-BD249</f>
        <v>#N/A</v>
      </c>
      <c r="BG249" s="422"/>
      <c r="BH249" s="422"/>
      <c r="BI249" s="422"/>
      <c r="BJ249" s="645"/>
      <c r="BK249" s="645"/>
      <c r="BL249" s="645"/>
      <c r="BM249" s="645"/>
    </row>
    <row r="250" spans="1:65" ht="65.099999999999994" customHeight="1" thickBot="1">
      <c r="A250" s="405"/>
      <c r="B250" s="625"/>
      <c r="C250" s="440"/>
      <c r="D250" s="152"/>
      <c r="E250" s="152"/>
      <c r="F250" s="475"/>
      <c r="G250" s="443"/>
      <c r="H250" s="100"/>
      <c r="I250" s="128"/>
      <c r="J250" s="100"/>
      <c r="K250" s="147"/>
      <c r="L250" s="129"/>
      <c r="M250" s="446"/>
      <c r="N250" s="425"/>
      <c r="O250" s="428"/>
      <c r="P250" s="425"/>
      <c r="Q250" s="429"/>
      <c r="R250" s="422"/>
      <c r="S250" s="150"/>
      <c r="T250" s="97"/>
      <c r="U250" s="47" t="s">
        <v>627</v>
      </c>
      <c r="V250" s="172"/>
      <c r="W250" s="172"/>
      <c r="X250" s="172"/>
      <c r="Y250" s="95" t="str">
        <f t="shared" si="37"/>
        <v/>
      </c>
      <c r="Z250" s="172"/>
      <c r="AA250" s="95" t="str">
        <f t="shared" si="38"/>
        <v/>
      </c>
      <c r="AB250" s="150"/>
      <c r="AC250" s="95" t="str">
        <f t="shared" si="39"/>
        <v/>
      </c>
      <c r="AD250" s="150"/>
      <c r="AE250" s="95" t="str">
        <f t="shared" si="40"/>
        <v/>
      </c>
      <c r="AF250" s="150"/>
      <c r="AG250" s="95" t="str">
        <f t="shared" si="41"/>
        <v/>
      </c>
      <c r="AH250" s="150"/>
      <c r="AI250" s="95" t="str">
        <f t="shared" si="42"/>
        <v/>
      </c>
      <c r="AJ250" s="150"/>
      <c r="AK250" s="27" t="str">
        <f t="shared" si="43"/>
        <v/>
      </c>
      <c r="AL250" s="48" t="str">
        <f t="shared" si="44"/>
        <v/>
      </c>
      <c r="AM250" s="48" t="str">
        <f t="shared" si="45"/>
        <v/>
      </c>
      <c r="AN250" s="196"/>
      <c r="AO250" s="196"/>
      <c r="AP250" s="196"/>
      <c r="AQ250" s="196"/>
      <c r="AR250" s="196"/>
      <c r="AS250" s="196"/>
      <c r="AT250" s="196"/>
      <c r="AU250" s="197" t="str">
        <f>IFERROR(VLOOKUP(AT250,'Seguridad Información'!$I$61:$J$65,2,0),"")</f>
        <v/>
      </c>
      <c r="AV250" s="79"/>
      <c r="AW250" s="78" t="str">
        <f t="shared" si="36"/>
        <v/>
      </c>
      <c r="AX250" s="77" t="str">
        <f t="shared" si="46"/>
        <v/>
      </c>
      <c r="AY250" s="21" t="str">
        <f>IFERROR(VLOOKUP((CONCATENATE(AM250,AX250)),Listados!$U$3:$V$11,2,FALSE),"")</f>
        <v/>
      </c>
      <c r="AZ250" s="48">
        <f t="shared" si="47"/>
        <v>100</v>
      </c>
      <c r="BA250" s="431"/>
      <c r="BB250" s="433"/>
      <c r="BC250" s="169">
        <f>+IF(AND(W250="Preventivo",BB247="Fuerte"),2,IF(AND(W250="Preventivo",BB247="Moderado"),1,0))</f>
        <v>0</v>
      </c>
      <c r="BD250" s="64">
        <f>+IF(AND(W250="Detectivo/Correctivo",$BB247="Fuerte"),2,IF(AND(W250="Detectivo/Correctivo",$BB250="Moderado"),1,IF(AND(W250="Preventivo",$BB247="Fuerte"),1,0)))</f>
        <v>0</v>
      </c>
      <c r="BE250" s="169" t="e">
        <f>+N247-BC250</f>
        <v>#N/A</v>
      </c>
      <c r="BF250" s="169" t="e">
        <f>+P247-BD250</f>
        <v>#N/A</v>
      </c>
      <c r="BG250" s="422"/>
      <c r="BH250" s="422"/>
      <c r="BI250" s="422"/>
      <c r="BJ250" s="645"/>
      <c r="BK250" s="645"/>
      <c r="BL250" s="645"/>
      <c r="BM250" s="645"/>
    </row>
    <row r="251" spans="1:65" ht="65.099999999999994" customHeight="1" thickBot="1">
      <c r="A251" s="405"/>
      <c r="B251" s="625"/>
      <c r="C251" s="440"/>
      <c r="D251" s="109"/>
      <c r="E251" s="109"/>
      <c r="F251" s="475"/>
      <c r="G251" s="443"/>
      <c r="H251" s="100"/>
      <c r="I251" s="128"/>
      <c r="J251" s="100"/>
      <c r="K251" s="29"/>
      <c r="L251" s="129"/>
      <c r="M251" s="446"/>
      <c r="N251" s="425"/>
      <c r="O251" s="428"/>
      <c r="P251" s="425"/>
      <c r="Q251" s="429"/>
      <c r="R251" s="422"/>
      <c r="S251" s="150"/>
      <c r="T251" s="198"/>
      <c r="U251" s="47" t="s">
        <v>627</v>
      </c>
      <c r="V251" s="172"/>
      <c r="W251" s="172"/>
      <c r="X251" s="172"/>
      <c r="Y251" s="95" t="str">
        <f t="shared" si="37"/>
        <v/>
      </c>
      <c r="Z251" s="172"/>
      <c r="AA251" s="95" t="str">
        <f t="shared" si="38"/>
        <v/>
      </c>
      <c r="AB251" s="150"/>
      <c r="AC251" s="95" t="str">
        <f t="shared" si="39"/>
        <v/>
      </c>
      <c r="AD251" s="150"/>
      <c r="AE251" s="95" t="str">
        <f t="shared" si="40"/>
        <v/>
      </c>
      <c r="AF251" s="150"/>
      <c r="AG251" s="95" t="str">
        <f t="shared" si="41"/>
        <v/>
      </c>
      <c r="AH251" s="150"/>
      <c r="AI251" s="95" t="str">
        <f t="shared" si="42"/>
        <v/>
      </c>
      <c r="AJ251" s="150"/>
      <c r="AK251" s="27" t="str">
        <f t="shared" si="43"/>
        <v/>
      </c>
      <c r="AL251" s="48" t="str">
        <f t="shared" si="44"/>
        <v/>
      </c>
      <c r="AM251" s="48" t="str">
        <f t="shared" si="45"/>
        <v/>
      </c>
      <c r="AN251" s="196"/>
      <c r="AO251" s="196"/>
      <c r="AP251" s="196"/>
      <c r="AQ251" s="196"/>
      <c r="AR251" s="196"/>
      <c r="AS251" s="196"/>
      <c r="AT251" s="196"/>
      <c r="AU251" s="197" t="str">
        <f>IFERROR(VLOOKUP(AT251,'Seguridad Información'!$I$61:$J$65,2,0),"")</f>
        <v/>
      </c>
      <c r="AV251" s="79"/>
      <c r="AW251" s="78" t="str">
        <f t="shared" si="36"/>
        <v/>
      </c>
      <c r="AX251" s="77" t="str">
        <f t="shared" si="46"/>
        <v/>
      </c>
      <c r="AY251" s="21" t="str">
        <f>IFERROR(VLOOKUP((CONCATENATE(AM251,AX251)),Listados!$U$3:$V$11,2,FALSE),"")</f>
        <v/>
      </c>
      <c r="AZ251" s="48">
        <f t="shared" si="47"/>
        <v>100</v>
      </c>
      <c r="BA251" s="431"/>
      <c r="BB251" s="433"/>
      <c r="BC251" s="169">
        <f>+IF(AND(W251="Preventivo",BB247="Fuerte"),2,IF(AND(W251="Preventivo",BB247="Moderado"),1,0))</f>
        <v>0</v>
      </c>
      <c r="BD251" s="64">
        <f>+IF(AND(W251="Detectivo/Correctivo",$BB247="Fuerte"),2,IF(AND(W251="Detectivo/Correctivo",$BB251="Moderado"),1,IF(AND(W251="Preventivo",$BB247="Fuerte"),1,0)))</f>
        <v>0</v>
      </c>
      <c r="BE251" s="169" t="e">
        <f>+N247-BC251</f>
        <v>#N/A</v>
      </c>
      <c r="BF251" s="169" t="e">
        <f>+P247-BD251</f>
        <v>#N/A</v>
      </c>
      <c r="BG251" s="422"/>
      <c r="BH251" s="422"/>
      <c r="BI251" s="422"/>
      <c r="BJ251" s="645"/>
      <c r="BK251" s="645"/>
      <c r="BL251" s="645"/>
      <c r="BM251" s="645"/>
    </row>
    <row r="252" spans="1:65" ht="65.099999999999994" customHeight="1" thickBot="1">
      <c r="A252" s="406"/>
      <c r="B252" s="625"/>
      <c r="C252" s="441"/>
      <c r="D252" s="106"/>
      <c r="E252" s="106"/>
      <c r="F252" s="619"/>
      <c r="G252" s="444"/>
      <c r="H252" s="100"/>
      <c r="I252" s="128"/>
      <c r="J252" s="100"/>
      <c r="K252" s="31"/>
      <c r="L252" s="129"/>
      <c r="M252" s="446"/>
      <c r="N252" s="426"/>
      <c r="O252" s="428"/>
      <c r="P252" s="426"/>
      <c r="Q252" s="429"/>
      <c r="R252" s="423"/>
      <c r="S252" s="150"/>
      <c r="T252" s="98"/>
      <c r="U252" s="47" t="s">
        <v>627</v>
      </c>
      <c r="V252" s="172"/>
      <c r="W252" s="172"/>
      <c r="X252" s="172"/>
      <c r="Y252" s="95" t="str">
        <f t="shared" si="37"/>
        <v/>
      </c>
      <c r="Z252" s="172"/>
      <c r="AA252" s="95" t="str">
        <f t="shared" si="38"/>
        <v/>
      </c>
      <c r="AB252" s="150"/>
      <c r="AC252" s="95" t="str">
        <f t="shared" si="39"/>
        <v/>
      </c>
      <c r="AD252" s="150"/>
      <c r="AE252" s="95" t="str">
        <f t="shared" si="40"/>
        <v/>
      </c>
      <c r="AF252" s="150"/>
      <c r="AG252" s="95" t="str">
        <f t="shared" si="41"/>
        <v/>
      </c>
      <c r="AH252" s="150"/>
      <c r="AI252" s="95" t="str">
        <f t="shared" si="42"/>
        <v/>
      </c>
      <c r="AJ252" s="150"/>
      <c r="AK252" s="27" t="str">
        <f t="shared" si="43"/>
        <v/>
      </c>
      <c r="AL252" s="48" t="str">
        <f t="shared" si="44"/>
        <v/>
      </c>
      <c r="AM252" s="48" t="str">
        <f t="shared" si="45"/>
        <v/>
      </c>
      <c r="AN252" s="196"/>
      <c r="AO252" s="196"/>
      <c r="AP252" s="196"/>
      <c r="AQ252" s="196"/>
      <c r="AR252" s="196"/>
      <c r="AS252" s="196"/>
      <c r="AT252" s="196"/>
      <c r="AU252" s="197" t="str">
        <f>IFERROR(VLOOKUP(AT252,'Seguridad Información'!$I$61:$J$65,2,0),"")</f>
        <v/>
      </c>
      <c r="AV252" s="79"/>
      <c r="AW252" s="78" t="str">
        <f t="shared" si="36"/>
        <v/>
      </c>
      <c r="AX252" s="77" t="str">
        <f t="shared" si="46"/>
        <v/>
      </c>
      <c r="AY252" s="21" t="str">
        <f>IFERROR(VLOOKUP((CONCATENATE(AM252,AX252)),Listados!$U$3:$V$11,2,FALSE),"")</f>
        <v/>
      </c>
      <c r="AZ252" s="48">
        <f t="shared" si="47"/>
        <v>100</v>
      </c>
      <c r="BA252" s="432"/>
      <c r="BB252" s="433"/>
      <c r="BC252" s="169">
        <f>+IF(AND(W252="Preventivo",BB247="Fuerte"),2,IF(AND(W252="Preventivo",BB247="Moderado"),1,0))</f>
        <v>0</v>
      </c>
      <c r="BD252" s="64">
        <f>+IF(AND(W252="Detectivo/Correctivo",$BB247="Fuerte"),2,IF(AND(W252="Detectivo/Correctivo",$BB252="Moderado"),1,IF(AND(W252="Preventivo",$BB247="Fuerte"),1,0)))</f>
        <v>0</v>
      </c>
      <c r="BE252" s="169" t="e">
        <f>+N247-BC252</f>
        <v>#N/A</v>
      </c>
      <c r="BF252" s="169" t="e">
        <f>+P247-BD252</f>
        <v>#N/A</v>
      </c>
      <c r="BG252" s="423"/>
      <c r="BH252" s="423"/>
      <c r="BI252" s="423"/>
      <c r="BJ252" s="646"/>
      <c r="BK252" s="646"/>
      <c r="BL252" s="646"/>
      <c r="BM252" s="646"/>
    </row>
    <row r="253" spans="1:65" ht="65.099999999999994" customHeight="1" thickBot="1">
      <c r="A253" s="404">
        <v>42</v>
      </c>
      <c r="B253" s="628"/>
      <c r="C253" s="447" t="str">
        <f>IFERROR(VLOOKUP(B253,Listados!B$3:C$20,2,FALSE),"")</f>
        <v/>
      </c>
      <c r="D253" s="107"/>
      <c r="E253" s="107"/>
      <c r="F253" s="618"/>
      <c r="G253" s="448"/>
      <c r="H253" s="100"/>
      <c r="I253" s="128"/>
      <c r="J253" s="100"/>
      <c r="K253" s="103"/>
      <c r="L253" s="17"/>
      <c r="M253" s="445"/>
      <c r="N253" s="424" t="e">
        <f>+VLOOKUP(M253,Listados!$K$8:$L$12,2,0)</f>
        <v>#N/A</v>
      </c>
      <c r="O253" s="427"/>
      <c r="P253" s="424" t="e">
        <f>+VLOOKUP(O253,Listados!$K$13:$L$17,2,0)</f>
        <v>#N/A</v>
      </c>
      <c r="Q253" s="423" t="str">
        <f>IF(AND(M253&lt;&gt;"",O253&lt;&gt;""),VLOOKUP(M253&amp;O253,Listados!$M$3:$N$27,2,FALSE),"")</f>
        <v/>
      </c>
      <c r="R253" s="421" t="e">
        <f>+VLOOKUP(Q253,Listados!$P$3:$Q$6,2,FALSE)</f>
        <v>#N/A</v>
      </c>
      <c r="S253" s="150"/>
      <c r="T253" s="94"/>
      <c r="U253" s="47" t="s">
        <v>627</v>
      </c>
      <c r="V253" s="172"/>
      <c r="W253" s="172"/>
      <c r="X253" s="172"/>
      <c r="Y253" s="95" t="str">
        <f t="shared" si="37"/>
        <v/>
      </c>
      <c r="Z253" s="172"/>
      <c r="AA253" s="95" t="str">
        <f t="shared" si="38"/>
        <v/>
      </c>
      <c r="AB253" s="150"/>
      <c r="AC253" s="95" t="str">
        <f t="shared" si="39"/>
        <v/>
      </c>
      <c r="AD253" s="150"/>
      <c r="AE253" s="95" t="str">
        <f t="shared" si="40"/>
        <v/>
      </c>
      <c r="AF253" s="150"/>
      <c r="AG253" s="95" t="str">
        <f t="shared" si="41"/>
        <v/>
      </c>
      <c r="AH253" s="150"/>
      <c r="AI253" s="95" t="str">
        <f t="shared" si="42"/>
        <v/>
      </c>
      <c r="AJ253" s="150"/>
      <c r="AK253" s="27" t="str">
        <f t="shared" si="43"/>
        <v/>
      </c>
      <c r="AL253" s="48" t="str">
        <f t="shared" si="44"/>
        <v/>
      </c>
      <c r="AM253" s="48" t="str">
        <f t="shared" si="45"/>
        <v/>
      </c>
      <c r="AN253" s="196"/>
      <c r="AO253" s="196"/>
      <c r="AP253" s="196"/>
      <c r="AQ253" s="196"/>
      <c r="AR253" s="196"/>
      <c r="AS253" s="196"/>
      <c r="AT253" s="196"/>
      <c r="AU253" s="197" t="str">
        <f>IFERROR(VLOOKUP(AT253,'Seguridad Información'!$I$61:$J$65,2,0),"")</f>
        <v/>
      </c>
      <c r="AV253" s="79"/>
      <c r="AW253" s="78" t="str">
        <f t="shared" si="36"/>
        <v/>
      </c>
      <c r="AX253" s="77" t="str">
        <f t="shared" si="46"/>
        <v/>
      </c>
      <c r="AY253" s="21" t="str">
        <f>IFERROR(VLOOKUP((CONCATENATE(AM253,AX253)),Listados!$U$3:$V$11,2,FALSE),"")</f>
        <v/>
      </c>
      <c r="AZ253" s="48">
        <f t="shared" si="47"/>
        <v>100</v>
      </c>
      <c r="BA253" s="430">
        <f>AVERAGE(AZ253:AZ258)</f>
        <v>100</v>
      </c>
      <c r="BB253" s="432" t="str">
        <f>IF(BA253&lt;=50, "Débil", IF(BA253&lt;=99,"Moderado","Fuerte"))</f>
        <v>Fuerte</v>
      </c>
      <c r="BC253" s="169">
        <f>+IF(AND(W253="Preventivo",BB253="Fuerte"),2,IF(AND(W253="Preventivo",BB253="Moderado"),1,0))</f>
        <v>0</v>
      </c>
      <c r="BD253" s="64">
        <f>+IF(AND(W253="Detectivo/Correctivo",$BB253="Fuerte"),2,IF(AND(W253="Detectivo/Correctivo",$BB253="Moderado"),1,IF(AND(W253="Preventivo",$BB253="Fuerte"),1,0)))</f>
        <v>0</v>
      </c>
      <c r="BE253" s="169" t="e">
        <f>+N253-BC253</f>
        <v>#N/A</v>
      </c>
      <c r="BF253" s="169" t="e">
        <f>+P253-BD253</f>
        <v>#N/A</v>
      </c>
      <c r="BG253" s="421" t="e">
        <f>+VLOOKUP(MIN(BE253,BE254,BE255,BE256,BE257,BE258),Listados!$J$18:$K$24,2,TRUE)</f>
        <v>#N/A</v>
      </c>
      <c r="BH253" s="421" t="e">
        <f>+VLOOKUP(MIN(BF253,BF254,BF255,BF256,BF257,BF258),Listados!$J$27:$K$32,2,TRUE)</f>
        <v>#N/A</v>
      </c>
      <c r="BI253" s="421" t="e">
        <f>IF(AND(BG253&lt;&gt;"",BH253&lt;&gt;""),VLOOKUP(BG253&amp;BH253,Listados!$M$3:$N$27,2,FALSE),"")</f>
        <v>#N/A</v>
      </c>
      <c r="BJ253" s="644" t="e">
        <f>+IF($R253="Asumir el riesgo","NA","")</f>
        <v>#N/A</v>
      </c>
      <c r="BK253" s="644" t="e">
        <f>+IF($R253="Asumir el riesgo","NA","")</f>
        <v>#N/A</v>
      </c>
      <c r="BL253" s="644" t="e">
        <f>+IF($R253="Asumir el riesgo","NA","")</f>
        <v>#N/A</v>
      </c>
      <c r="BM253" s="644" t="e">
        <f>+IF($R253="Asumir el riesgo","NA","")</f>
        <v>#N/A</v>
      </c>
    </row>
    <row r="254" spans="1:65" ht="65.099999999999994" customHeight="1" thickBot="1">
      <c r="A254" s="405"/>
      <c r="B254" s="625"/>
      <c r="C254" s="440"/>
      <c r="D254" s="152"/>
      <c r="E254" s="152"/>
      <c r="F254" s="475"/>
      <c r="G254" s="443"/>
      <c r="H254" s="100"/>
      <c r="I254" s="128"/>
      <c r="J254" s="100"/>
      <c r="K254" s="147"/>
      <c r="L254" s="129"/>
      <c r="M254" s="446"/>
      <c r="N254" s="425"/>
      <c r="O254" s="428"/>
      <c r="P254" s="425"/>
      <c r="Q254" s="429"/>
      <c r="R254" s="422"/>
      <c r="S254" s="150"/>
      <c r="T254" s="198"/>
      <c r="U254" s="47" t="s">
        <v>627</v>
      </c>
      <c r="V254" s="172"/>
      <c r="W254" s="172"/>
      <c r="X254" s="172"/>
      <c r="Y254" s="95" t="str">
        <f t="shared" si="37"/>
        <v/>
      </c>
      <c r="Z254" s="172"/>
      <c r="AA254" s="95" t="str">
        <f t="shared" si="38"/>
        <v/>
      </c>
      <c r="AB254" s="150"/>
      <c r="AC254" s="95" t="str">
        <f t="shared" si="39"/>
        <v/>
      </c>
      <c r="AD254" s="150"/>
      <c r="AE254" s="95" t="str">
        <f t="shared" si="40"/>
        <v/>
      </c>
      <c r="AF254" s="150"/>
      <c r="AG254" s="95" t="str">
        <f t="shared" si="41"/>
        <v/>
      </c>
      <c r="AH254" s="150"/>
      <c r="AI254" s="95" t="str">
        <f t="shared" si="42"/>
        <v/>
      </c>
      <c r="AJ254" s="150"/>
      <c r="AK254" s="27" t="str">
        <f t="shared" si="43"/>
        <v/>
      </c>
      <c r="AL254" s="48" t="str">
        <f t="shared" si="44"/>
        <v/>
      </c>
      <c r="AM254" s="48" t="str">
        <f t="shared" si="45"/>
        <v/>
      </c>
      <c r="AN254" s="196"/>
      <c r="AO254" s="196"/>
      <c r="AP254" s="196"/>
      <c r="AQ254" s="196"/>
      <c r="AR254" s="196"/>
      <c r="AS254" s="196"/>
      <c r="AT254" s="196"/>
      <c r="AU254" s="197" t="str">
        <f>IFERROR(VLOOKUP(AT254,'Seguridad Información'!$I$61:$J$65,2,0),"")</f>
        <v/>
      </c>
      <c r="AV254" s="79"/>
      <c r="AW254" s="78" t="str">
        <f t="shared" si="36"/>
        <v/>
      </c>
      <c r="AX254" s="77" t="str">
        <f t="shared" si="46"/>
        <v/>
      </c>
      <c r="AY254" s="21" t="str">
        <f>IFERROR(VLOOKUP((CONCATENATE(AM254,AX254)),Listados!$U$3:$V$11,2,FALSE),"")</f>
        <v/>
      </c>
      <c r="AZ254" s="48">
        <f t="shared" si="47"/>
        <v>100</v>
      </c>
      <c r="BA254" s="431"/>
      <c r="BB254" s="433"/>
      <c r="BC254" s="169">
        <f>+IF(AND(W254="Preventivo",BB253="Fuerte"),2,IF(AND(W254="Preventivo",BB253="Moderado"),1,0))</f>
        <v>0</v>
      </c>
      <c r="BD254" s="64">
        <f>+IF(AND(W254="Detectivo/Correctivo",$BB253="Fuerte"),2,IF(AND(W254="Detectivo/Correctivo",$BB254="Moderado"),1,IF(AND(W254="Preventivo",$BB253="Fuerte"),1,0)))</f>
        <v>0</v>
      </c>
      <c r="BE254" s="169" t="e">
        <f>+N253-BC254</f>
        <v>#N/A</v>
      </c>
      <c r="BF254" s="169" t="e">
        <f>+P253-BD254</f>
        <v>#N/A</v>
      </c>
      <c r="BG254" s="422"/>
      <c r="BH254" s="422"/>
      <c r="BI254" s="422"/>
      <c r="BJ254" s="645"/>
      <c r="BK254" s="645"/>
      <c r="BL254" s="645"/>
      <c r="BM254" s="645"/>
    </row>
    <row r="255" spans="1:65" ht="65.099999999999994" customHeight="1" thickBot="1">
      <c r="A255" s="405"/>
      <c r="B255" s="625"/>
      <c r="C255" s="440"/>
      <c r="D255" s="152"/>
      <c r="E255" s="152"/>
      <c r="F255" s="475"/>
      <c r="G255" s="443"/>
      <c r="H255" s="100"/>
      <c r="I255" s="128"/>
      <c r="J255" s="100"/>
      <c r="K255" s="147"/>
      <c r="L255" s="129"/>
      <c r="M255" s="446"/>
      <c r="N255" s="425"/>
      <c r="O255" s="428"/>
      <c r="P255" s="425"/>
      <c r="Q255" s="429"/>
      <c r="R255" s="422"/>
      <c r="S255" s="150"/>
      <c r="T255" s="96"/>
      <c r="U255" s="47" t="s">
        <v>627</v>
      </c>
      <c r="V255" s="172"/>
      <c r="W255" s="172"/>
      <c r="X255" s="172"/>
      <c r="Y255" s="95" t="str">
        <f t="shared" si="37"/>
        <v/>
      </c>
      <c r="Z255" s="172"/>
      <c r="AA255" s="95" t="str">
        <f t="shared" si="38"/>
        <v/>
      </c>
      <c r="AB255" s="150"/>
      <c r="AC255" s="95" t="str">
        <f t="shared" si="39"/>
        <v/>
      </c>
      <c r="AD255" s="150"/>
      <c r="AE255" s="95" t="str">
        <f t="shared" si="40"/>
        <v/>
      </c>
      <c r="AF255" s="150"/>
      <c r="AG255" s="95" t="str">
        <f t="shared" si="41"/>
        <v/>
      </c>
      <c r="AH255" s="150"/>
      <c r="AI255" s="95" t="str">
        <f t="shared" si="42"/>
        <v/>
      </c>
      <c r="AJ255" s="150"/>
      <c r="AK255" s="27" t="str">
        <f t="shared" si="43"/>
        <v/>
      </c>
      <c r="AL255" s="48" t="str">
        <f t="shared" si="44"/>
        <v/>
      </c>
      <c r="AM255" s="48" t="str">
        <f t="shared" si="45"/>
        <v/>
      </c>
      <c r="AN255" s="196"/>
      <c r="AO255" s="196"/>
      <c r="AP255" s="196"/>
      <c r="AQ255" s="196"/>
      <c r="AR255" s="196"/>
      <c r="AS255" s="196"/>
      <c r="AT255" s="196"/>
      <c r="AU255" s="197" t="str">
        <f>IFERROR(VLOOKUP(AT255,'Seguridad Información'!$I$61:$J$65,2,0),"")</f>
        <v/>
      </c>
      <c r="AV255" s="79"/>
      <c r="AW255" s="78" t="str">
        <f t="shared" si="36"/>
        <v/>
      </c>
      <c r="AX255" s="77" t="str">
        <f t="shared" si="46"/>
        <v/>
      </c>
      <c r="AY255" s="21" t="str">
        <f>IFERROR(VLOOKUP((CONCATENATE(AM255,AX255)),Listados!$U$3:$V$11,2,FALSE),"")</f>
        <v/>
      </c>
      <c r="AZ255" s="48">
        <f t="shared" si="47"/>
        <v>100</v>
      </c>
      <c r="BA255" s="431"/>
      <c r="BB255" s="433"/>
      <c r="BC255" s="169">
        <f>+IF(AND(W255="Preventivo",BB253="Fuerte"),2,IF(AND(W255="Preventivo",BB253="Moderado"),1,0))</f>
        <v>0</v>
      </c>
      <c r="BD255" s="64">
        <f>+IF(AND(W255="Detectivo/Correctivo",$BB253="Fuerte"),2,IF(AND(W255="Detectivo/Correctivo",$BB255="Moderado"),1,IF(AND(W255="Preventivo",$BB253="Fuerte"),1,0)))</f>
        <v>0</v>
      </c>
      <c r="BE255" s="169" t="e">
        <f>+N253-BC255</f>
        <v>#N/A</v>
      </c>
      <c r="BF255" s="169" t="e">
        <f>+P253-BD255</f>
        <v>#N/A</v>
      </c>
      <c r="BG255" s="422"/>
      <c r="BH255" s="422"/>
      <c r="BI255" s="422"/>
      <c r="BJ255" s="645"/>
      <c r="BK255" s="645"/>
      <c r="BL255" s="645"/>
      <c r="BM255" s="645"/>
    </row>
    <row r="256" spans="1:65" ht="65.099999999999994" customHeight="1" thickBot="1">
      <c r="A256" s="405"/>
      <c r="B256" s="625"/>
      <c r="C256" s="440"/>
      <c r="D256" s="152"/>
      <c r="E256" s="152"/>
      <c r="F256" s="475"/>
      <c r="G256" s="443"/>
      <c r="H256" s="100"/>
      <c r="I256" s="128"/>
      <c r="J256" s="100"/>
      <c r="K256" s="147"/>
      <c r="L256" s="129"/>
      <c r="M256" s="446"/>
      <c r="N256" s="425"/>
      <c r="O256" s="428"/>
      <c r="P256" s="425"/>
      <c r="Q256" s="429"/>
      <c r="R256" s="422"/>
      <c r="S256" s="150"/>
      <c r="T256" s="97"/>
      <c r="U256" s="47" t="s">
        <v>627</v>
      </c>
      <c r="V256" s="172"/>
      <c r="W256" s="172"/>
      <c r="X256" s="172"/>
      <c r="Y256" s="95" t="str">
        <f t="shared" si="37"/>
        <v/>
      </c>
      <c r="Z256" s="172"/>
      <c r="AA256" s="95" t="str">
        <f t="shared" si="38"/>
        <v/>
      </c>
      <c r="AB256" s="150"/>
      <c r="AC256" s="95" t="str">
        <f t="shared" si="39"/>
        <v/>
      </c>
      <c r="AD256" s="150"/>
      <c r="AE256" s="95" t="str">
        <f t="shared" si="40"/>
        <v/>
      </c>
      <c r="AF256" s="150"/>
      <c r="AG256" s="95" t="str">
        <f t="shared" si="41"/>
        <v/>
      </c>
      <c r="AH256" s="150"/>
      <c r="AI256" s="95" t="str">
        <f t="shared" si="42"/>
        <v/>
      </c>
      <c r="AJ256" s="150"/>
      <c r="AK256" s="27" t="str">
        <f t="shared" si="43"/>
        <v/>
      </c>
      <c r="AL256" s="48" t="str">
        <f t="shared" si="44"/>
        <v/>
      </c>
      <c r="AM256" s="48" t="str">
        <f t="shared" si="45"/>
        <v/>
      </c>
      <c r="AN256" s="196"/>
      <c r="AO256" s="196"/>
      <c r="AP256" s="196"/>
      <c r="AQ256" s="196"/>
      <c r="AR256" s="196"/>
      <c r="AS256" s="196"/>
      <c r="AT256" s="196"/>
      <c r="AU256" s="197" t="str">
        <f>IFERROR(VLOOKUP(AT256,'Seguridad Información'!$I$61:$J$65,2,0),"")</f>
        <v/>
      </c>
      <c r="AV256" s="79"/>
      <c r="AW256" s="78" t="str">
        <f t="shared" si="36"/>
        <v/>
      </c>
      <c r="AX256" s="77" t="str">
        <f t="shared" si="46"/>
        <v/>
      </c>
      <c r="AY256" s="21" t="str">
        <f>IFERROR(VLOOKUP((CONCATENATE(AM256,AX256)),Listados!$U$3:$V$11,2,FALSE),"")</f>
        <v/>
      </c>
      <c r="AZ256" s="48">
        <f t="shared" si="47"/>
        <v>100</v>
      </c>
      <c r="BA256" s="431"/>
      <c r="BB256" s="433"/>
      <c r="BC256" s="169">
        <f>+IF(AND(W256="Preventivo",BB253="Fuerte"),2,IF(AND(W256="Preventivo",BB253="Moderado"),1,0))</f>
        <v>0</v>
      </c>
      <c r="BD256" s="64">
        <f>+IF(AND(W256="Detectivo/Correctivo",$BB253="Fuerte"),2,IF(AND(W256="Detectivo/Correctivo",$BB256="Moderado"),1,IF(AND(W256="Preventivo",$BB253="Fuerte"),1,0)))</f>
        <v>0</v>
      </c>
      <c r="BE256" s="169" t="e">
        <f>+N253-BC256</f>
        <v>#N/A</v>
      </c>
      <c r="BF256" s="169" t="e">
        <f>+P253-BD256</f>
        <v>#N/A</v>
      </c>
      <c r="BG256" s="422"/>
      <c r="BH256" s="422"/>
      <c r="BI256" s="422"/>
      <c r="BJ256" s="645"/>
      <c r="BK256" s="645"/>
      <c r="BL256" s="645"/>
      <c r="BM256" s="645"/>
    </row>
    <row r="257" spans="1:65" ht="65.099999999999994" customHeight="1" thickBot="1">
      <c r="A257" s="405"/>
      <c r="B257" s="625"/>
      <c r="C257" s="440"/>
      <c r="D257" s="109"/>
      <c r="E257" s="109"/>
      <c r="F257" s="475"/>
      <c r="G257" s="443"/>
      <c r="H257" s="100"/>
      <c r="I257" s="128"/>
      <c r="J257" s="100"/>
      <c r="K257" s="29"/>
      <c r="L257" s="129"/>
      <c r="M257" s="446"/>
      <c r="N257" s="425"/>
      <c r="O257" s="428"/>
      <c r="P257" s="425"/>
      <c r="Q257" s="429"/>
      <c r="R257" s="422"/>
      <c r="S257" s="150"/>
      <c r="T257" s="198"/>
      <c r="U257" s="47" t="s">
        <v>627</v>
      </c>
      <c r="V257" s="172"/>
      <c r="W257" s="172"/>
      <c r="X257" s="172"/>
      <c r="Y257" s="95" t="str">
        <f t="shared" si="37"/>
        <v/>
      </c>
      <c r="Z257" s="172"/>
      <c r="AA257" s="95" t="str">
        <f t="shared" si="38"/>
        <v/>
      </c>
      <c r="AB257" s="150"/>
      <c r="AC257" s="95" t="str">
        <f t="shared" si="39"/>
        <v/>
      </c>
      <c r="AD257" s="150"/>
      <c r="AE257" s="95" t="str">
        <f t="shared" si="40"/>
        <v/>
      </c>
      <c r="AF257" s="150"/>
      <c r="AG257" s="95" t="str">
        <f t="shared" si="41"/>
        <v/>
      </c>
      <c r="AH257" s="150"/>
      <c r="AI257" s="95" t="str">
        <f t="shared" si="42"/>
        <v/>
      </c>
      <c r="AJ257" s="150"/>
      <c r="AK257" s="27" t="str">
        <f t="shared" si="43"/>
        <v/>
      </c>
      <c r="AL257" s="48" t="str">
        <f t="shared" si="44"/>
        <v/>
      </c>
      <c r="AM257" s="48" t="str">
        <f t="shared" si="45"/>
        <v/>
      </c>
      <c r="AN257" s="196"/>
      <c r="AO257" s="196"/>
      <c r="AP257" s="196"/>
      <c r="AQ257" s="196"/>
      <c r="AR257" s="196"/>
      <c r="AS257" s="196"/>
      <c r="AT257" s="196"/>
      <c r="AU257" s="197" t="str">
        <f>IFERROR(VLOOKUP(AT257,'Seguridad Información'!$I$61:$J$65,2,0),"")</f>
        <v/>
      </c>
      <c r="AV257" s="79"/>
      <c r="AW257" s="78" t="str">
        <f t="shared" si="36"/>
        <v/>
      </c>
      <c r="AX257" s="77" t="str">
        <f t="shared" si="46"/>
        <v/>
      </c>
      <c r="AY257" s="21" t="str">
        <f>IFERROR(VLOOKUP((CONCATENATE(AM257,AX257)),Listados!$U$3:$V$11,2,FALSE),"")</f>
        <v/>
      </c>
      <c r="AZ257" s="48">
        <f t="shared" si="47"/>
        <v>100</v>
      </c>
      <c r="BA257" s="431"/>
      <c r="BB257" s="433"/>
      <c r="BC257" s="169">
        <f>+IF(AND(W257="Preventivo",BB253="Fuerte"),2,IF(AND(W257="Preventivo",BB253="Moderado"),1,0))</f>
        <v>0</v>
      </c>
      <c r="BD257" s="64">
        <f>+IF(AND(W257="Detectivo/Correctivo",$BB253="Fuerte"),2,IF(AND(W257="Detectivo/Correctivo",$BB257="Moderado"),1,IF(AND(W257="Preventivo",$BB253="Fuerte"),1,0)))</f>
        <v>0</v>
      </c>
      <c r="BE257" s="169" t="e">
        <f>+N253-BC257</f>
        <v>#N/A</v>
      </c>
      <c r="BF257" s="169" t="e">
        <f>+P253-BD257</f>
        <v>#N/A</v>
      </c>
      <c r="BG257" s="422"/>
      <c r="BH257" s="422"/>
      <c r="BI257" s="422"/>
      <c r="BJ257" s="645"/>
      <c r="BK257" s="645"/>
      <c r="BL257" s="645"/>
      <c r="BM257" s="645"/>
    </row>
    <row r="258" spans="1:65" ht="65.099999999999994" customHeight="1" thickBot="1">
      <c r="A258" s="406"/>
      <c r="B258" s="625"/>
      <c r="C258" s="441"/>
      <c r="D258" s="106"/>
      <c r="E258" s="106"/>
      <c r="F258" s="619"/>
      <c r="G258" s="444"/>
      <c r="H258" s="100"/>
      <c r="I258" s="128"/>
      <c r="J258" s="100"/>
      <c r="K258" s="31"/>
      <c r="L258" s="129"/>
      <c r="M258" s="446"/>
      <c r="N258" s="426"/>
      <c r="O258" s="428"/>
      <c r="P258" s="426"/>
      <c r="Q258" s="429"/>
      <c r="R258" s="423"/>
      <c r="S258" s="150"/>
      <c r="T258" s="98"/>
      <c r="U258" s="47" t="s">
        <v>627</v>
      </c>
      <c r="V258" s="172"/>
      <c r="W258" s="172"/>
      <c r="X258" s="172"/>
      <c r="Y258" s="95" t="str">
        <f t="shared" si="37"/>
        <v/>
      </c>
      <c r="Z258" s="172"/>
      <c r="AA258" s="95" t="str">
        <f t="shared" si="38"/>
        <v/>
      </c>
      <c r="AB258" s="150"/>
      <c r="AC258" s="95" t="str">
        <f t="shared" si="39"/>
        <v/>
      </c>
      <c r="AD258" s="150"/>
      <c r="AE258" s="95" t="str">
        <f t="shared" si="40"/>
        <v/>
      </c>
      <c r="AF258" s="150"/>
      <c r="AG258" s="95" t="str">
        <f t="shared" si="41"/>
        <v/>
      </c>
      <c r="AH258" s="150"/>
      <c r="AI258" s="95" t="str">
        <f t="shared" si="42"/>
        <v/>
      </c>
      <c r="AJ258" s="150"/>
      <c r="AK258" s="27" t="str">
        <f t="shared" si="43"/>
        <v/>
      </c>
      <c r="AL258" s="48" t="str">
        <f t="shared" si="44"/>
        <v/>
      </c>
      <c r="AM258" s="48" t="str">
        <f t="shared" si="45"/>
        <v/>
      </c>
      <c r="AN258" s="196"/>
      <c r="AO258" s="196"/>
      <c r="AP258" s="196"/>
      <c r="AQ258" s="196"/>
      <c r="AR258" s="196"/>
      <c r="AS258" s="196"/>
      <c r="AT258" s="196"/>
      <c r="AU258" s="197" t="str">
        <f>IFERROR(VLOOKUP(AT258,'Seguridad Información'!$I$61:$J$65,2,0),"")</f>
        <v/>
      </c>
      <c r="AV258" s="79"/>
      <c r="AW258" s="78" t="str">
        <f t="shared" si="36"/>
        <v/>
      </c>
      <c r="AX258" s="77" t="str">
        <f t="shared" si="46"/>
        <v/>
      </c>
      <c r="AY258" s="21" t="str">
        <f>IFERROR(VLOOKUP((CONCATENATE(AM258,AX258)),Listados!$U$3:$V$11,2,FALSE),"")</f>
        <v/>
      </c>
      <c r="AZ258" s="48">
        <f t="shared" si="47"/>
        <v>100</v>
      </c>
      <c r="BA258" s="432"/>
      <c r="BB258" s="433"/>
      <c r="BC258" s="169">
        <f>+IF(AND(W258="Preventivo",BB253="Fuerte"),2,IF(AND(W258="Preventivo",BB253="Moderado"),1,0))</f>
        <v>0</v>
      </c>
      <c r="BD258" s="64">
        <f>+IF(AND(W258="Detectivo/Correctivo",$BB253="Fuerte"),2,IF(AND(W258="Detectivo/Correctivo",$BB258="Moderado"),1,IF(AND(W258="Preventivo",$BB253="Fuerte"),1,0)))</f>
        <v>0</v>
      </c>
      <c r="BE258" s="169" t="e">
        <f>+N253-BC258</f>
        <v>#N/A</v>
      </c>
      <c r="BF258" s="169" t="e">
        <f>+P253-BD258</f>
        <v>#N/A</v>
      </c>
      <c r="BG258" s="423"/>
      <c r="BH258" s="423"/>
      <c r="BI258" s="423"/>
      <c r="BJ258" s="646"/>
      <c r="BK258" s="646"/>
      <c r="BL258" s="646"/>
      <c r="BM258" s="646"/>
    </row>
    <row r="259" spans="1:65" ht="65.099999999999994" customHeight="1" thickBot="1">
      <c r="A259" s="404">
        <v>43</v>
      </c>
      <c r="B259" s="628"/>
      <c r="C259" s="447" t="str">
        <f>IFERROR(VLOOKUP(B259,Listados!B$3:C$20,2,FALSE),"")</f>
        <v/>
      </c>
      <c r="D259" s="107"/>
      <c r="E259" s="107"/>
      <c r="F259" s="618"/>
      <c r="G259" s="448"/>
      <c r="H259" s="100"/>
      <c r="I259" s="128"/>
      <c r="J259" s="100"/>
      <c r="K259" s="103"/>
      <c r="L259" s="17"/>
      <c r="M259" s="445"/>
      <c r="N259" s="424" t="e">
        <f>+VLOOKUP(M259,Listados!$K$8:$L$12,2,0)</f>
        <v>#N/A</v>
      </c>
      <c r="O259" s="427"/>
      <c r="P259" s="424" t="e">
        <f>+VLOOKUP(O259,Listados!$K$13:$L$17,2,0)</f>
        <v>#N/A</v>
      </c>
      <c r="Q259" s="423" t="str">
        <f>IF(AND(M259&lt;&gt;"",O259&lt;&gt;""),VLOOKUP(M259&amp;O259,Listados!$M$3:$N$27,2,FALSE),"")</f>
        <v/>
      </c>
      <c r="R259" s="421" t="e">
        <f>+VLOOKUP(Q259,Listados!$P$3:$Q$6,2,FALSE)</f>
        <v>#N/A</v>
      </c>
      <c r="S259" s="150"/>
      <c r="T259" s="94"/>
      <c r="U259" s="47" t="s">
        <v>627</v>
      </c>
      <c r="V259" s="172"/>
      <c r="W259" s="172"/>
      <c r="X259" s="172"/>
      <c r="Y259" s="95" t="str">
        <f t="shared" si="37"/>
        <v/>
      </c>
      <c r="Z259" s="172"/>
      <c r="AA259" s="95" t="str">
        <f t="shared" si="38"/>
        <v/>
      </c>
      <c r="AB259" s="150"/>
      <c r="AC259" s="95" t="str">
        <f t="shared" si="39"/>
        <v/>
      </c>
      <c r="AD259" s="150"/>
      <c r="AE259" s="95" t="str">
        <f t="shared" si="40"/>
        <v/>
      </c>
      <c r="AF259" s="150"/>
      <c r="AG259" s="95" t="str">
        <f t="shared" si="41"/>
        <v/>
      </c>
      <c r="AH259" s="150"/>
      <c r="AI259" s="95" t="str">
        <f t="shared" si="42"/>
        <v/>
      </c>
      <c r="AJ259" s="150"/>
      <c r="AK259" s="27" t="str">
        <f t="shared" si="43"/>
        <v/>
      </c>
      <c r="AL259" s="48" t="str">
        <f t="shared" si="44"/>
        <v/>
      </c>
      <c r="AM259" s="48" t="str">
        <f t="shared" si="45"/>
        <v/>
      </c>
      <c r="AN259" s="196"/>
      <c r="AO259" s="196"/>
      <c r="AP259" s="196"/>
      <c r="AQ259" s="196"/>
      <c r="AR259" s="196"/>
      <c r="AS259" s="196"/>
      <c r="AT259" s="196"/>
      <c r="AU259" s="197" t="str">
        <f>IFERROR(VLOOKUP(AT259,'Seguridad Información'!$I$61:$J$65,2,0),"")</f>
        <v/>
      </c>
      <c r="AV259" s="79"/>
      <c r="AW259" s="78" t="str">
        <f t="shared" si="36"/>
        <v/>
      </c>
      <c r="AX259" s="77" t="str">
        <f t="shared" si="46"/>
        <v/>
      </c>
      <c r="AY259" s="21" t="str">
        <f>IFERROR(VLOOKUP((CONCATENATE(AM259,AX259)),Listados!$U$3:$V$11,2,FALSE),"")</f>
        <v/>
      </c>
      <c r="AZ259" s="48">
        <f t="shared" si="47"/>
        <v>100</v>
      </c>
      <c r="BA259" s="430">
        <f>AVERAGE(AZ259:AZ264)</f>
        <v>100</v>
      </c>
      <c r="BB259" s="432" t="str">
        <f>IF(BA259&lt;=50, "Débil", IF(BA259&lt;=99,"Moderado","Fuerte"))</f>
        <v>Fuerte</v>
      </c>
      <c r="BC259" s="169">
        <f>+IF(AND(W259="Preventivo",BB259="Fuerte"),2,IF(AND(W259="Preventivo",BB259="Moderado"),1,0))</f>
        <v>0</v>
      </c>
      <c r="BD259" s="64">
        <f>+IF(AND(W259="Detectivo/Correctivo",$BB259="Fuerte"),2,IF(AND(W259="Detectivo/Correctivo",$BB259="Moderado"),1,IF(AND(W259="Preventivo",$BB259="Fuerte"),1,0)))</f>
        <v>0</v>
      </c>
      <c r="BE259" s="169" t="e">
        <f>+N259-BC259</f>
        <v>#N/A</v>
      </c>
      <c r="BF259" s="169" t="e">
        <f>+P259-BD259</f>
        <v>#N/A</v>
      </c>
      <c r="BG259" s="421" t="e">
        <f>+VLOOKUP(MIN(BE259,BE260,BE261,BE262,BE263,BE264),Listados!$J$18:$K$24,2,TRUE)</f>
        <v>#N/A</v>
      </c>
      <c r="BH259" s="421" t="e">
        <f>+VLOOKUP(MIN(BF259,BF260,BF261,BF262,BF263,BF264),Listados!$J$27:$K$32,2,TRUE)</f>
        <v>#N/A</v>
      </c>
      <c r="BI259" s="421" t="e">
        <f>IF(AND(BG259&lt;&gt;"",BH259&lt;&gt;""),VLOOKUP(BG259&amp;BH259,Listados!$M$3:$N$27,2,FALSE),"")</f>
        <v>#N/A</v>
      </c>
      <c r="BJ259" s="644" t="e">
        <f>+IF($R259="Asumir el riesgo","NA","")</f>
        <v>#N/A</v>
      </c>
      <c r="BK259" s="644" t="e">
        <f>+IF($R259="Asumir el riesgo","NA","")</f>
        <v>#N/A</v>
      </c>
      <c r="BL259" s="644" t="e">
        <f>+IF($R259="Asumir el riesgo","NA","")</f>
        <v>#N/A</v>
      </c>
      <c r="BM259" s="644" t="e">
        <f>+IF($R259="Asumir el riesgo","NA","")</f>
        <v>#N/A</v>
      </c>
    </row>
    <row r="260" spans="1:65" ht="65.099999999999994" customHeight="1" thickBot="1">
      <c r="A260" s="405"/>
      <c r="B260" s="625"/>
      <c r="C260" s="440"/>
      <c r="D260" s="152"/>
      <c r="E260" s="152"/>
      <c r="F260" s="475"/>
      <c r="G260" s="443"/>
      <c r="H260" s="100"/>
      <c r="I260" s="128"/>
      <c r="J260" s="100"/>
      <c r="K260" s="147"/>
      <c r="L260" s="129"/>
      <c r="M260" s="446"/>
      <c r="N260" s="425"/>
      <c r="O260" s="428"/>
      <c r="P260" s="425"/>
      <c r="Q260" s="429"/>
      <c r="R260" s="422"/>
      <c r="S260" s="150"/>
      <c r="T260" s="198"/>
      <c r="U260" s="47" t="s">
        <v>627</v>
      </c>
      <c r="V260" s="172"/>
      <c r="W260" s="172"/>
      <c r="X260" s="172"/>
      <c r="Y260" s="95" t="str">
        <f t="shared" si="37"/>
        <v/>
      </c>
      <c r="Z260" s="172"/>
      <c r="AA260" s="95" t="str">
        <f t="shared" si="38"/>
        <v/>
      </c>
      <c r="AB260" s="150"/>
      <c r="AC260" s="95" t="str">
        <f t="shared" si="39"/>
        <v/>
      </c>
      <c r="AD260" s="150"/>
      <c r="AE260" s="95" t="str">
        <f t="shared" si="40"/>
        <v/>
      </c>
      <c r="AF260" s="150"/>
      <c r="AG260" s="95" t="str">
        <f t="shared" si="41"/>
        <v/>
      </c>
      <c r="AH260" s="150"/>
      <c r="AI260" s="95" t="str">
        <f t="shared" si="42"/>
        <v/>
      </c>
      <c r="AJ260" s="150"/>
      <c r="AK260" s="27" t="str">
        <f t="shared" si="43"/>
        <v/>
      </c>
      <c r="AL260" s="48" t="str">
        <f t="shared" si="44"/>
        <v/>
      </c>
      <c r="AM260" s="48" t="str">
        <f t="shared" si="45"/>
        <v/>
      </c>
      <c r="AN260" s="196"/>
      <c r="AO260" s="196"/>
      <c r="AP260" s="196"/>
      <c r="AQ260" s="196"/>
      <c r="AR260" s="196"/>
      <c r="AS260" s="196"/>
      <c r="AT260" s="196"/>
      <c r="AU260" s="197" t="str">
        <f>IFERROR(VLOOKUP(AT260,'Seguridad Información'!$I$61:$J$65,2,0),"")</f>
        <v/>
      </c>
      <c r="AV260" s="79"/>
      <c r="AW260" s="78" t="str">
        <f t="shared" si="36"/>
        <v/>
      </c>
      <c r="AX260" s="77" t="str">
        <f t="shared" si="46"/>
        <v/>
      </c>
      <c r="AY260" s="21" t="str">
        <f>IFERROR(VLOOKUP((CONCATENATE(AM260,AX260)),Listados!$U$3:$V$11,2,FALSE),"")</f>
        <v/>
      </c>
      <c r="AZ260" s="48">
        <f t="shared" si="47"/>
        <v>100</v>
      </c>
      <c r="BA260" s="431"/>
      <c r="BB260" s="433"/>
      <c r="BC260" s="169">
        <f>+IF(AND(W260="Preventivo",BB259="Fuerte"),2,IF(AND(W260="Preventivo",BB259="Moderado"),1,0))</f>
        <v>0</v>
      </c>
      <c r="BD260" s="64">
        <f>+IF(AND(W260="Detectivo/Correctivo",$BB259="Fuerte"),2,IF(AND(W260="Detectivo/Correctivo",$BB260="Moderado"),1,IF(AND(W260="Preventivo",$BB259="Fuerte"),1,0)))</f>
        <v>0</v>
      </c>
      <c r="BE260" s="169" t="e">
        <f>+N259-BC260</f>
        <v>#N/A</v>
      </c>
      <c r="BF260" s="169" t="e">
        <f>+P259-BD260</f>
        <v>#N/A</v>
      </c>
      <c r="BG260" s="422"/>
      <c r="BH260" s="422"/>
      <c r="BI260" s="422"/>
      <c r="BJ260" s="645"/>
      <c r="BK260" s="645"/>
      <c r="BL260" s="645"/>
      <c r="BM260" s="645"/>
    </row>
    <row r="261" spans="1:65" ht="65.099999999999994" customHeight="1" thickBot="1">
      <c r="A261" s="405"/>
      <c r="B261" s="625"/>
      <c r="C261" s="440"/>
      <c r="D261" s="152"/>
      <c r="E261" s="152"/>
      <c r="F261" s="475"/>
      <c r="G261" s="443"/>
      <c r="H261" s="100"/>
      <c r="I261" s="128"/>
      <c r="J261" s="100"/>
      <c r="K261" s="147"/>
      <c r="L261" s="129"/>
      <c r="M261" s="446"/>
      <c r="N261" s="425"/>
      <c r="O261" s="428"/>
      <c r="P261" s="425"/>
      <c r="Q261" s="429"/>
      <c r="R261" s="422"/>
      <c r="S261" s="150"/>
      <c r="T261" s="96"/>
      <c r="U261" s="47" t="s">
        <v>627</v>
      </c>
      <c r="V261" s="172"/>
      <c r="W261" s="172"/>
      <c r="X261" s="172"/>
      <c r="Y261" s="95" t="str">
        <f t="shared" si="37"/>
        <v/>
      </c>
      <c r="Z261" s="172"/>
      <c r="AA261" s="95" t="str">
        <f t="shared" si="38"/>
        <v/>
      </c>
      <c r="AB261" s="150"/>
      <c r="AC261" s="95" t="str">
        <f t="shared" si="39"/>
        <v/>
      </c>
      <c r="AD261" s="150"/>
      <c r="AE261" s="95" t="str">
        <f t="shared" si="40"/>
        <v/>
      </c>
      <c r="AF261" s="150"/>
      <c r="AG261" s="95" t="str">
        <f t="shared" si="41"/>
        <v/>
      </c>
      <c r="AH261" s="150"/>
      <c r="AI261" s="95" t="str">
        <f t="shared" si="42"/>
        <v/>
      </c>
      <c r="AJ261" s="150"/>
      <c r="AK261" s="27" t="str">
        <f t="shared" si="43"/>
        <v/>
      </c>
      <c r="AL261" s="48" t="str">
        <f t="shared" si="44"/>
        <v/>
      </c>
      <c r="AM261" s="48" t="str">
        <f t="shared" si="45"/>
        <v/>
      </c>
      <c r="AN261" s="196"/>
      <c r="AO261" s="196"/>
      <c r="AP261" s="196"/>
      <c r="AQ261" s="196"/>
      <c r="AR261" s="196"/>
      <c r="AS261" s="196"/>
      <c r="AT261" s="196"/>
      <c r="AU261" s="197" t="str">
        <f>IFERROR(VLOOKUP(AT261,'Seguridad Información'!$I$61:$J$65,2,0),"")</f>
        <v/>
      </c>
      <c r="AV261" s="79"/>
      <c r="AW261" s="78" t="str">
        <f t="shared" si="36"/>
        <v/>
      </c>
      <c r="AX261" s="77" t="str">
        <f t="shared" si="46"/>
        <v/>
      </c>
      <c r="AY261" s="21" t="str">
        <f>IFERROR(VLOOKUP((CONCATENATE(AM261,AX261)),Listados!$U$3:$V$11,2,FALSE),"")</f>
        <v/>
      </c>
      <c r="AZ261" s="48">
        <f t="shared" si="47"/>
        <v>100</v>
      </c>
      <c r="BA261" s="431"/>
      <c r="BB261" s="433"/>
      <c r="BC261" s="169">
        <f>+IF(AND(W261="Preventivo",BB259="Fuerte"),2,IF(AND(W261="Preventivo",BB259="Moderado"),1,0))</f>
        <v>0</v>
      </c>
      <c r="BD261" s="64">
        <f>+IF(AND(W261="Detectivo/Correctivo",$BB259="Fuerte"),2,IF(AND(W261="Detectivo/Correctivo",$BB261="Moderado"),1,IF(AND(W261="Preventivo",$BB259="Fuerte"),1,0)))</f>
        <v>0</v>
      </c>
      <c r="BE261" s="169" t="e">
        <f>+N259-BC261</f>
        <v>#N/A</v>
      </c>
      <c r="BF261" s="169" t="e">
        <f>+P259-BD261</f>
        <v>#N/A</v>
      </c>
      <c r="BG261" s="422"/>
      <c r="BH261" s="422"/>
      <c r="BI261" s="422"/>
      <c r="BJ261" s="645"/>
      <c r="BK261" s="645"/>
      <c r="BL261" s="645"/>
      <c r="BM261" s="645"/>
    </row>
    <row r="262" spans="1:65" ht="65.099999999999994" customHeight="1" thickBot="1">
      <c r="A262" s="405"/>
      <c r="B262" s="625"/>
      <c r="C262" s="440"/>
      <c r="D262" s="152"/>
      <c r="E262" s="152"/>
      <c r="F262" s="475"/>
      <c r="G262" s="443"/>
      <c r="H262" s="100"/>
      <c r="I262" s="128"/>
      <c r="J262" s="100"/>
      <c r="K262" s="147"/>
      <c r="L262" s="129"/>
      <c r="M262" s="446"/>
      <c r="N262" s="425"/>
      <c r="O262" s="428"/>
      <c r="P262" s="425"/>
      <c r="Q262" s="429"/>
      <c r="R262" s="422"/>
      <c r="S262" s="150"/>
      <c r="T262" s="97"/>
      <c r="U262" s="47" t="s">
        <v>627</v>
      </c>
      <c r="V262" s="172"/>
      <c r="W262" s="172"/>
      <c r="X262" s="172"/>
      <c r="Y262" s="95" t="str">
        <f t="shared" si="37"/>
        <v/>
      </c>
      <c r="Z262" s="172"/>
      <c r="AA262" s="95" t="str">
        <f t="shared" si="38"/>
        <v/>
      </c>
      <c r="AB262" s="150"/>
      <c r="AC262" s="95" t="str">
        <f t="shared" si="39"/>
        <v/>
      </c>
      <c r="AD262" s="150"/>
      <c r="AE262" s="95" t="str">
        <f t="shared" si="40"/>
        <v/>
      </c>
      <c r="AF262" s="150"/>
      <c r="AG262" s="95" t="str">
        <f t="shared" si="41"/>
        <v/>
      </c>
      <c r="AH262" s="150"/>
      <c r="AI262" s="95" t="str">
        <f t="shared" si="42"/>
        <v/>
      </c>
      <c r="AJ262" s="150"/>
      <c r="AK262" s="27" t="str">
        <f t="shared" si="43"/>
        <v/>
      </c>
      <c r="AL262" s="48" t="str">
        <f t="shared" si="44"/>
        <v/>
      </c>
      <c r="AM262" s="48" t="str">
        <f t="shared" si="45"/>
        <v/>
      </c>
      <c r="AN262" s="196"/>
      <c r="AO262" s="196"/>
      <c r="AP262" s="196"/>
      <c r="AQ262" s="196"/>
      <c r="AR262" s="196"/>
      <c r="AS262" s="196"/>
      <c r="AT262" s="196"/>
      <c r="AU262" s="197" t="str">
        <f>IFERROR(VLOOKUP(AT262,'Seguridad Información'!$I$61:$J$65,2,0),"")</f>
        <v/>
      </c>
      <c r="AV262" s="79"/>
      <c r="AW262" s="78" t="str">
        <f t="shared" si="36"/>
        <v/>
      </c>
      <c r="AX262" s="77" t="str">
        <f t="shared" si="46"/>
        <v/>
      </c>
      <c r="AY262" s="21" t="str">
        <f>IFERROR(VLOOKUP((CONCATENATE(AM262,AX262)),Listados!$U$3:$V$11,2,FALSE),"")</f>
        <v/>
      </c>
      <c r="AZ262" s="48">
        <f t="shared" si="47"/>
        <v>100</v>
      </c>
      <c r="BA262" s="431"/>
      <c r="BB262" s="433"/>
      <c r="BC262" s="169">
        <f>+IF(AND(W262="Preventivo",BB259="Fuerte"),2,IF(AND(W262="Preventivo",BB259="Moderado"),1,0))</f>
        <v>0</v>
      </c>
      <c r="BD262" s="64">
        <f>+IF(AND(W262="Detectivo/Correctivo",$BB259="Fuerte"),2,IF(AND(W262="Detectivo/Correctivo",$BB262="Moderado"),1,IF(AND(W262="Preventivo",$BB259="Fuerte"),1,0)))</f>
        <v>0</v>
      </c>
      <c r="BE262" s="169" t="e">
        <f>+N259-BC262</f>
        <v>#N/A</v>
      </c>
      <c r="BF262" s="169" t="e">
        <f>+P259-BD262</f>
        <v>#N/A</v>
      </c>
      <c r="BG262" s="422"/>
      <c r="BH262" s="422"/>
      <c r="BI262" s="422"/>
      <c r="BJ262" s="645"/>
      <c r="BK262" s="645"/>
      <c r="BL262" s="645"/>
      <c r="BM262" s="645"/>
    </row>
    <row r="263" spans="1:65" ht="65.099999999999994" customHeight="1" thickBot="1">
      <c r="A263" s="405"/>
      <c r="B263" s="625"/>
      <c r="C263" s="440"/>
      <c r="D263" s="109"/>
      <c r="E263" s="109"/>
      <c r="F263" s="475"/>
      <c r="G263" s="443"/>
      <c r="H263" s="100"/>
      <c r="I263" s="128"/>
      <c r="J263" s="100"/>
      <c r="K263" s="29"/>
      <c r="L263" s="129"/>
      <c r="M263" s="446"/>
      <c r="N263" s="425"/>
      <c r="O263" s="428"/>
      <c r="P263" s="425"/>
      <c r="Q263" s="429"/>
      <c r="R263" s="422"/>
      <c r="S263" s="150"/>
      <c r="T263" s="198"/>
      <c r="U263" s="47" t="s">
        <v>627</v>
      </c>
      <c r="V263" s="172"/>
      <c r="W263" s="172"/>
      <c r="X263" s="172"/>
      <c r="Y263" s="95" t="str">
        <f t="shared" si="37"/>
        <v/>
      </c>
      <c r="Z263" s="172"/>
      <c r="AA263" s="95" t="str">
        <f t="shared" si="38"/>
        <v/>
      </c>
      <c r="AB263" s="150"/>
      <c r="AC263" s="95" t="str">
        <f t="shared" si="39"/>
        <v/>
      </c>
      <c r="AD263" s="150"/>
      <c r="AE263" s="95" t="str">
        <f t="shared" si="40"/>
        <v/>
      </c>
      <c r="AF263" s="150"/>
      <c r="AG263" s="95" t="str">
        <f t="shared" si="41"/>
        <v/>
      </c>
      <c r="AH263" s="150"/>
      <c r="AI263" s="95" t="str">
        <f t="shared" si="42"/>
        <v/>
      </c>
      <c r="AJ263" s="150"/>
      <c r="AK263" s="27" t="str">
        <f t="shared" si="43"/>
        <v/>
      </c>
      <c r="AL263" s="48" t="str">
        <f t="shared" si="44"/>
        <v/>
      </c>
      <c r="AM263" s="48" t="str">
        <f t="shared" si="45"/>
        <v/>
      </c>
      <c r="AN263" s="196"/>
      <c r="AO263" s="196"/>
      <c r="AP263" s="196"/>
      <c r="AQ263" s="196"/>
      <c r="AR263" s="196"/>
      <c r="AS263" s="196"/>
      <c r="AT263" s="196"/>
      <c r="AU263" s="197" t="str">
        <f>IFERROR(VLOOKUP(AT263,'Seguridad Información'!$I$61:$J$65,2,0),"")</f>
        <v/>
      </c>
      <c r="AV263" s="79"/>
      <c r="AW263" s="78" t="str">
        <f t="shared" ref="AW263:AW326" si="48">IFERROR(AVERAGE(AO263,AQ263,AS263,AU263),"")</f>
        <v/>
      </c>
      <c r="AX263" s="77" t="str">
        <f t="shared" si="46"/>
        <v/>
      </c>
      <c r="AY263" s="21" t="str">
        <f>IFERROR(VLOOKUP((CONCATENATE(AM263,AX263)),Listados!$U$3:$V$11,2,FALSE),"")</f>
        <v/>
      </c>
      <c r="AZ263" s="48">
        <f t="shared" si="47"/>
        <v>100</v>
      </c>
      <c r="BA263" s="431"/>
      <c r="BB263" s="433"/>
      <c r="BC263" s="169">
        <f>+IF(AND(W263="Preventivo",BB259="Fuerte"),2,IF(AND(W263="Preventivo",BB259="Moderado"),1,0))</f>
        <v>0</v>
      </c>
      <c r="BD263" s="64">
        <f>+IF(AND(W263="Detectivo/Correctivo",$BB259="Fuerte"),2,IF(AND(W263="Detectivo/Correctivo",$BB263="Moderado"),1,IF(AND(W263="Preventivo",$BB259="Fuerte"),1,0)))</f>
        <v>0</v>
      </c>
      <c r="BE263" s="169" t="e">
        <f>+N259-BC263</f>
        <v>#N/A</v>
      </c>
      <c r="BF263" s="169" t="e">
        <f>+P259-BD263</f>
        <v>#N/A</v>
      </c>
      <c r="BG263" s="422"/>
      <c r="BH263" s="422"/>
      <c r="BI263" s="422"/>
      <c r="BJ263" s="645"/>
      <c r="BK263" s="645"/>
      <c r="BL263" s="645"/>
      <c r="BM263" s="645"/>
    </row>
    <row r="264" spans="1:65" ht="65.099999999999994" customHeight="1" thickBot="1">
      <c r="A264" s="406"/>
      <c r="B264" s="625"/>
      <c r="C264" s="441"/>
      <c r="D264" s="106"/>
      <c r="E264" s="106"/>
      <c r="F264" s="619"/>
      <c r="G264" s="444"/>
      <c r="H264" s="100"/>
      <c r="I264" s="128"/>
      <c r="J264" s="100"/>
      <c r="K264" s="31"/>
      <c r="L264" s="129"/>
      <c r="M264" s="446"/>
      <c r="N264" s="426"/>
      <c r="O264" s="428"/>
      <c r="P264" s="426"/>
      <c r="Q264" s="429"/>
      <c r="R264" s="423"/>
      <c r="S264" s="150"/>
      <c r="T264" s="98"/>
      <c r="U264" s="47" t="s">
        <v>627</v>
      </c>
      <c r="V264" s="172"/>
      <c r="W264" s="172"/>
      <c r="X264" s="172"/>
      <c r="Y264" s="95" t="str">
        <f t="shared" ref="Y264:Y327" si="49">+IF(X264="si",15,"")</f>
        <v/>
      </c>
      <c r="Z264" s="172"/>
      <c r="AA264" s="95" t="str">
        <f t="shared" ref="AA264:AA327" si="50">+IF(Z264="si",15,"")</f>
        <v/>
      </c>
      <c r="AB264" s="150"/>
      <c r="AC264" s="95" t="str">
        <f t="shared" ref="AC264:AC327" si="51">+IF(AB264="si",15,"")</f>
        <v/>
      </c>
      <c r="AD264" s="150"/>
      <c r="AE264" s="95" t="str">
        <f t="shared" ref="AE264:AE327" si="52">+IF(AD264="si",15,"")</f>
        <v/>
      </c>
      <c r="AF264" s="150"/>
      <c r="AG264" s="95" t="str">
        <f t="shared" ref="AG264:AG327" si="53">+IF(AF264="si",15,"")</f>
        <v/>
      </c>
      <c r="AH264" s="150"/>
      <c r="AI264" s="95" t="str">
        <f t="shared" ref="AI264:AI327" si="54">+IF(AH264="si",15,"")</f>
        <v/>
      </c>
      <c r="AJ264" s="150"/>
      <c r="AK264" s="27" t="str">
        <f t="shared" ref="AK264:AK327" si="55">+IF(AJ264="Completa",10,IF(AJ264="Incompleta",5,""))</f>
        <v/>
      </c>
      <c r="AL264" s="48" t="str">
        <f t="shared" ref="AL264:AL327" si="56">IF((SUM(Y264,AA264,AC264,AE264,AG264,AI264,AK264)=0),"",(SUM(Y264,AA264,AC264,AE264,AG264,AI264,AK264)))</f>
        <v/>
      </c>
      <c r="AM264" s="48" t="str">
        <f t="shared" ref="AM264:AM327" si="57">IF(AL264&lt;=85,"Débil",IF(AL264&lt;=95,"Moderado",IF(AL264=100,"Fuerte","")))</f>
        <v/>
      </c>
      <c r="AN264" s="196"/>
      <c r="AO264" s="196"/>
      <c r="AP264" s="196"/>
      <c r="AQ264" s="196"/>
      <c r="AR264" s="196"/>
      <c r="AS264" s="196"/>
      <c r="AT264" s="196"/>
      <c r="AU264" s="197" t="str">
        <f>IFERROR(VLOOKUP(AT264,'Seguridad Información'!$I$61:$J$65,2,0),"")</f>
        <v/>
      </c>
      <c r="AV264" s="79"/>
      <c r="AW264" s="78" t="str">
        <f t="shared" si="48"/>
        <v/>
      </c>
      <c r="AX264" s="77" t="str">
        <f t="shared" ref="AX264:AX327" si="58">IF(AW264&lt;=80,"Débil",IF(AW264&lt;=90,"Moderado",IF(AW264=100,"Fuerte","")))</f>
        <v/>
      </c>
      <c r="AY264" s="21" t="str">
        <f>IFERROR(VLOOKUP((CONCATENATE(AM264,AX264)),Listados!$U$3:$V$11,2,FALSE),"")</f>
        <v/>
      </c>
      <c r="AZ264" s="48">
        <f t="shared" si="47"/>
        <v>100</v>
      </c>
      <c r="BA264" s="432"/>
      <c r="BB264" s="433"/>
      <c r="BC264" s="169">
        <f>+IF(AND(W264="Preventivo",BB259="Fuerte"),2,IF(AND(W264="Preventivo",BB259="Moderado"),1,0))</f>
        <v>0</v>
      </c>
      <c r="BD264" s="64">
        <f>+IF(AND(W264="Detectivo/Correctivo",$BB259="Fuerte"),2,IF(AND(W264="Detectivo/Correctivo",$BB264="Moderado"),1,IF(AND(W264="Preventivo",$BB259="Fuerte"),1,0)))</f>
        <v>0</v>
      </c>
      <c r="BE264" s="169" t="e">
        <f>+N259-BC264</f>
        <v>#N/A</v>
      </c>
      <c r="BF264" s="169" t="e">
        <f>+P259-BD264</f>
        <v>#N/A</v>
      </c>
      <c r="BG264" s="423"/>
      <c r="BH264" s="423"/>
      <c r="BI264" s="423"/>
      <c r="BJ264" s="646"/>
      <c r="BK264" s="646"/>
      <c r="BL264" s="646"/>
      <c r="BM264" s="646"/>
    </row>
    <row r="265" spans="1:65" ht="65.099999999999994" customHeight="1" thickBot="1">
      <c r="A265" s="404">
        <v>44</v>
      </c>
      <c r="B265" s="628"/>
      <c r="C265" s="447" t="str">
        <f>IFERROR(VLOOKUP(B265,Listados!B$3:C$20,2,FALSE),"")</f>
        <v/>
      </c>
      <c r="D265" s="107"/>
      <c r="E265" s="107"/>
      <c r="F265" s="618"/>
      <c r="G265" s="448"/>
      <c r="H265" s="100"/>
      <c r="I265" s="128"/>
      <c r="J265" s="100"/>
      <c r="K265" s="103"/>
      <c r="L265" s="17"/>
      <c r="M265" s="445"/>
      <c r="N265" s="424" t="e">
        <f>+VLOOKUP(M265,Listados!$K$8:$L$12,2,0)</f>
        <v>#N/A</v>
      </c>
      <c r="O265" s="427"/>
      <c r="P265" s="424" t="e">
        <f>+VLOOKUP(O265,Listados!$K$13:$L$17,2,0)</f>
        <v>#N/A</v>
      </c>
      <c r="Q265" s="423" t="str">
        <f>IF(AND(M265&lt;&gt;"",O265&lt;&gt;""),VLOOKUP(M265&amp;O265,Listados!$M$3:$N$27,2,FALSE),"")</f>
        <v/>
      </c>
      <c r="R265" s="421" t="e">
        <f>+VLOOKUP(Q265,Listados!$P$3:$Q$6,2,FALSE)</f>
        <v>#N/A</v>
      </c>
      <c r="S265" s="150"/>
      <c r="T265" s="94"/>
      <c r="U265" s="47" t="s">
        <v>627</v>
      </c>
      <c r="V265" s="172"/>
      <c r="W265" s="172"/>
      <c r="X265" s="172"/>
      <c r="Y265" s="95" t="str">
        <f t="shared" si="49"/>
        <v/>
      </c>
      <c r="Z265" s="172"/>
      <c r="AA265" s="95" t="str">
        <f t="shared" si="50"/>
        <v/>
      </c>
      <c r="AB265" s="150"/>
      <c r="AC265" s="95" t="str">
        <f t="shared" si="51"/>
        <v/>
      </c>
      <c r="AD265" s="150"/>
      <c r="AE265" s="95" t="str">
        <f t="shared" si="52"/>
        <v/>
      </c>
      <c r="AF265" s="150"/>
      <c r="AG265" s="95" t="str">
        <f t="shared" si="53"/>
        <v/>
      </c>
      <c r="AH265" s="150"/>
      <c r="AI265" s="95" t="str">
        <f t="shared" si="54"/>
        <v/>
      </c>
      <c r="AJ265" s="150"/>
      <c r="AK265" s="27" t="str">
        <f t="shared" si="55"/>
        <v/>
      </c>
      <c r="AL265" s="48" t="str">
        <f t="shared" si="56"/>
        <v/>
      </c>
      <c r="AM265" s="48" t="str">
        <f t="shared" si="57"/>
        <v/>
      </c>
      <c r="AN265" s="196"/>
      <c r="AO265" s="196"/>
      <c r="AP265" s="196"/>
      <c r="AQ265" s="196"/>
      <c r="AR265" s="196"/>
      <c r="AS265" s="196"/>
      <c r="AT265" s="196"/>
      <c r="AU265" s="197" t="str">
        <f>IFERROR(VLOOKUP(AT265,'Seguridad Información'!$I$61:$J$65,2,0),"")</f>
        <v/>
      </c>
      <c r="AV265" s="79"/>
      <c r="AW265" s="78" t="str">
        <f t="shared" si="48"/>
        <v/>
      </c>
      <c r="AX265" s="77" t="str">
        <f t="shared" si="58"/>
        <v/>
      </c>
      <c r="AY265" s="21" t="str">
        <f>IFERROR(VLOOKUP((CONCATENATE(AM265,AX265)),Listados!$U$3:$V$11,2,FALSE),"")</f>
        <v/>
      </c>
      <c r="AZ265" s="48">
        <f t="shared" ref="AZ265:AZ328" si="59">IF(ISBLANK(AY265),"",IF(AY265="Débil", 0, IF(AY265="Moderado",50,100)))</f>
        <v>100</v>
      </c>
      <c r="BA265" s="430">
        <f>AVERAGE(AZ265:AZ270)</f>
        <v>100</v>
      </c>
      <c r="BB265" s="432" t="str">
        <f>IF(BA265&lt;=50, "Débil", IF(BA265&lt;=99,"Moderado","Fuerte"))</f>
        <v>Fuerte</v>
      </c>
      <c r="BC265" s="169">
        <f>+IF(AND(W265="Preventivo",BB265="Fuerte"),2,IF(AND(W265="Preventivo",BB265="Moderado"),1,0))</f>
        <v>0</v>
      </c>
      <c r="BD265" s="64">
        <f>+IF(AND(W265="Detectivo/Correctivo",$BB265="Fuerte"),2,IF(AND(W265="Detectivo/Correctivo",$BB265="Moderado"),1,IF(AND(W265="Preventivo",$BB265="Fuerte"),1,0)))</f>
        <v>0</v>
      </c>
      <c r="BE265" s="169" t="e">
        <f>+N265-BC265</f>
        <v>#N/A</v>
      </c>
      <c r="BF265" s="169" t="e">
        <f>+P265-BD265</f>
        <v>#N/A</v>
      </c>
      <c r="BG265" s="421" t="e">
        <f>+VLOOKUP(MIN(BE265,BE266,BE267,BE268,BE269,BE270),Listados!$J$18:$K$24,2,TRUE)</f>
        <v>#N/A</v>
      </c>
      <c r="BH265" s="421" t="e">
        <f>+VLOOKUP(MIN(BF265,BF266,BF267,BF268,BF269,BF270),Listados!$J$27:$K$32,2,TRUE)</f>
        <v>#N/A</v>
      </c>
      <c r="BI265" s="421" t="e">
        <f>IF(AND(BG265&lt;&gt;"",BH265&lt;&gt;""),VLOOKUP(BG265&amp;BH265,Listados!$M$3:$N$27,2,FALSE),"")</f>
        <v>#N/A</v>
      </c>
      <c r="BJ265" s="644" t="e">
        <f>+IF($R265="Asumir el riesgo","NA","")</f>
        <v>#N/A</v>
      </c>
      <c r="BK265" s="644" t="e">
        <f>+IF($R265="Asumir el riesgo","NA","")</f>
        <v>#N/A</v>
      </c>
      <c r="BL265" s="644" t="e">
        <f>+IF($R265="Asumir el riesgo","NA","")</f>
        <v>#N/A</v>
      </c>
      <c r="BM265" s="644" t="e">
        <f>+IF($R265="Asumir el riesgo","NA","")</f>
        <v>#N/A</v>
      </c>
    </row>
    <row r="266" spans="1:65" ht="65.099999999999994" customHeight="1" thickBot="1">
      <c r="A266" s="405"/>
      <c r="B266" s="625"/>
      <c r="C266" s="440"/>
      <c r="D266" s="152"/>
      <c r="E266" s="152"/>
      <c r="F266" s="475"/>
      <c r="G266" s="443"/>
      <c r="H266" s="100"/>
      <c r="I266" s="128"/>
      <c r="J266" s="100"/>
      <c r="K266" s="147"/>
      <c r="L266" s="129"/>
      <c r="M266" s="446"/>
      <c r="N266" s="425"/>
      <c r="O266" s="428"/>
      <c r="P266" s="425"/>
      <c r="Q266" s="429"/>
      <c r="R266" s="422"/>
      <c r="S266" s="150"/>
      <c r="T266" s="198"/>
      <c r="U266" s="47" t="s">
        <v>627</v>
      </c>
      <c r="V266" s="172"/>
      <c r="W266" s="172"/>
      <c r="X266" s="172"/>
      <c r="Y266" s="95" t="str">
        <f t="shared" si="49"/>
        <v/>
      </c>
      <c r="Z266" s="172"/>
      <c r="AA266" s="95" t="str">
        <f t="shared" si="50"/>
        <v/>
      </c>
      <c r="AB266" s="150"/>
      <c r="AC266" s="95" t="str">
        <f t="shared" si="51"/>
        <v/>
      </c>
      <c r="AD266" s="150"/>
      <c r="AE266" s="95" t="str">
        <f t="shared" si="52"/>
        <v/>
      </c>
      <c r="AF266" s="150"/>
      <c r="AG266" s="95" t="str">
        <f t="shared" si="53"/>
        <v/>
      </c>
      <c r="AH266" s="150"/>
      <c r="AI266" s="95" t="str">
        <f t="shared" si="54"/>
        <v/>
      </c>
      <c r="AJ266" s="150"/>
      <c r="AK266" s="27" t="str">
        <f t="shared" si="55"/>
        <v/>
      </c>
      <c r="AL266" s="48" t="str">
        <f t="shared" si="56"/>
        <v/>
      </c>
      <c r="AM266" s="48" t="str">
        <f t="shared" si="57"/>
        <v/>
      </c>
      <c r="AN266" s="196"/>
      <c r="AO266" s="196"/>
      <c r="AP266" s="196"/>
      <c r="AQ266" s="196"/>
      <c r="AR266" s="196"/>
      <c r="AS266" s="196"/>
      <c r="AT266" s="196"/>
      <c r="AU266" s="197" t="str">
        <f>IFERROR(VLOOKUP(AT266,'Seguridad Información'!$I$61:$J$65,2,0),"")</f>
        <v/>
      </c>
      <c r="AV266" s="79"/>
      <c r="AW266" s="78" t="str">
        <f t="shared" si="48"/>
        <v/>
      </c>
      <c r="AX266" s="77" t="str">
        <f t="shared" si="58"/>
        <v/>
      </c>
      <c r="AY266" s="21" t="str">
        <f>IFERROR(VLOOKUP((CONCATENATE(AM266,AX266)),Listados!$U$3:$V$11,2,FALSE),"")</f>
        <v/>
      </c>
      <c r="AZ266" s="48">
        <f t="shared" si="59"/>
        <v>100</v>
      </c>
      <c r="BA266" s="431"/>
      <c r="BB266" s="433"/>
      <c r="BC266" s="169">
        <f>+IF(AND(W266="Preventivo",BB265="Fuerte"),2,IF(AND(W266="Preventivo",BB265="Moderado"),1,0))</f>
        <v>0</v>
      </c>
      <c r="BD266" s="64">
        <f>+IF(AND(W266="Detectivo/Correctivo",$BB265="Fuerte"),2,IF(AND(W266="Detectivo/Correctivo",$BB266="Moderado"),1,IF(AND(W266="Preventivo",$BB265="Fuerte"),1,0)))</f>
        <v>0</v>
      </c>
      <c r="BE266" s="169" t="e">
        <f>+N265-BC266</f>
        <v>#N/A</v>
      </c>
      <c r="BF266" s="169" t="e">
        <f>+P265-BD266</f>
        <v>#N/A</v>
      </c>
      <c r="BG266" s="422"/>
      <c r="BH266" s="422"/>
      <c r="BI266" s="422"/>
      <c r="BJ266" s="645"/>
      <c r="BK266" s="645"/>
      <c r="BL266" s="645"/>
      <c r="BM266" s="645"/>
    </row>
    <row r="267" spans="1:65" ht="65.099999999999994" customHeight="1" thickBot="1">
      <c r="A267" s="405"/>
      <c r="B267" s="625"/>
      <c r="C267" s="440"/>
      <c r="D267" s="152"/>
      <c r="E267" s="152"/>
      <c r="F267" s="475"/>
      <c r="G267" s="443"/>
      <c r="H267" s="100"/>
      <c r="I267" s="128"/>
      <c r="J267" s="100"/>
      <c r="K267" s="147"/>
      <c r="L267" s="129"/>
      <c r="M267" s="446"/>
      <c r="N267" s="425"/>
      <c r="O267" s="428"/>
      <c r="P267" s="425"/>
      <c r="Q267" s="429"/>
      <c r="R267" s="422"/>
      <c r="S267" s="150"/>
      <c r="T267" s="96"/>
      <c r="U267" s="47" t="s">
        <v>627</v>
      </c>
      <c r="V267" s="172"/>
      <c r="W267" s="172"/>
      <c r="X267" s="172"/>
      <c r="Y267" s="95" t="str">
        <f t="shared" si="49"/>
        <v/>
      </c>
      <c r="Z267" s="172"/>
      <c r="AA267" s="95" t="str">
        <f t="shared" si="50"/>
        <v/>
      </c>
      <c r="AB267" s="150"/>
      <c r="AC267" s="95" t="str">
        <f t="shared" si="51"/>
        <v/>
      </c>
      <c r="AD267" s="150"/>
      <c r="AE267" s="95" t="str">
        <f t="shared" si="52"/>
        <v/>
      </c>
      <c r="AF267" s="150"/>
      <c r="AG267" s="95" t="str">
        <f t="shared" si="53"/>
        <v/>
      </c>
      <c r="AH267" s="150"/>
      <c r="AI267" s="95" t="str">
        <f t="shared" si="54"/>
        <v/>
      </c>
      <c r="AJ267" s="150"/>
      <c r="AK267" s="27" t="str">
        <f t="shared" si="55"/>
        <v/>
      </c>
      <c r="AL267" s="48" t="str">
        <f t="shared" si="56"/>
        <v/>
      </c>
      <c r="AM267" s="48" t="str">
        <f t="shared" si="57"/>
        <v/>
      </c>
      <c r="AN267" s="196"/>
      <c r="AO267" s="196"/>
      <c r="AP267" s="196"/>
      <c r="AQ267" s="196"/>
      <c r="AR267" s="196"/>
      <c r="AS267" s="196"/>
      <c r="AT267" s="196"/>
      <c r="AU267" s="197" t="str">
        <f>IFERROR(VLOOKUP(AT267,'Seguridad Información'!$I$61:$J$65,2,0),"")</f>
        <v/>
      </c>
      <c r="AV267" s="79"/>
      <c r="AW267" s="78" t="str">
        <f t="shared" si="48"/>
        <v/>
      </c>
      <c r="AX267" s="77" t="str">
        <f t="shared" si="58"/>
        <v/>
      </c>
      <c r="AY267" s="21" t="str">
        <f>IFERROR(VLOOKUP((CONCATENATE(AM267,AX267)),Listados!$U$3:$V$11,2,FALSE),"")</f>
        <v/>
      </c>
      <c r="AZ267" s="48">
        <f t="shared" si="59"/>
        <v>100</v>
      </c>
      <c r="BA267" s="431"/>
      <c r="BB267" s="433"/>
      <c r="BC267" s="169">
        <f>+IF(AND(W267="Preventivo",BB265="Fuerte"),2,IF(AND(W267="Preventivo",BB265="Moderado"),1,0))</f>
        <v>0</v>
      </c>
      <c r="BD267" s="64">
        <f>+IF(AND(W267="Detectivo/Correctivo",$BB265="Fuerte"),2,IF(AND(W267="Detectivo/Correctivo",$BB267="Moderado"),1,IF(AND(W267="Preventivo",$BB265="Fuerte"),1,0)))</f>
        <v>0</v>
      </c>
      <c r="BE267" s="169" t="e">
        <f>+N265-BC267</f>
        <v>#N/A</v>
      </c>
      <c r="BF267" s="169" t="e">
        <f>+P265-BD267</f>
        <v>#N/A</v>
      </c>
      <c r="BG267" s="422"/>
      <c r="BH267" s="422"/>
      <c r="BI267" s="422"/>
      <c r="BJ267" s="645"/>
      <c r="BK267" s="645"/>
      <c r="BL267" s="645"/>
      <c r="BM267" s="645"/>
    </row>
    <row r="268" spans="1:65" ht="65.099999999999994" customHeight="1" thickBot="1">
      <c r="A268" s="405"/>
      <c r="B268" s="625"/>
      <c r="C268" s="440"/>
      <c r="D268" s="152"/>
      <c r="E268" s="152"/>
      <c r="F268" s="475"/>
      <c r="G268" s="443"/>
      <c r="H268" s="100"/>
      <c r="I268" s="128"/>
      <c r="J268" s="100"/>
      <c r="K268" s="147"/>
      <c r="L268" s="129"/>
      <c r="M268" s="446"/>
      <c r="N268" s="425"/>
      <c r="O268" s="428"/>
      <c r="P268" s="425"/>
      <c r="Q268" s="429"/>
      <c r="R268" s="422"/>
      <c r="S268" s="150"/>
      <c r="T268" s="97"/>
      <c r="U268" s="47" t="s">
        <v>627</v>
      </c>
      <c r="V268" s="172"/>
      <c r="W268" s="172"/>
      <c r="X268" s="172"/>
      <c r="Y268" s="95" t="str">
        <f t="shared" si="49"/>
        <v/>
      </c>
      <c r="Z268" s="172"/>
      <c r="AA268" s="95" t="str">
        <f t="shared" si="50"/>
        <v/>
      </c>
      <c r="AB268" s="150"/>
      <c r="AC268" s="95" t="str">
        <f t="shared" si="51"/>
        <v/>
      </c>
      <c r="AD268" s="150"/>
      <c r="AE268" s="95" t="str">
        <f t="shared" si="52"/>
        <v/>
      </c>
      <c r="AF268" s="150"/>
      <c r="AG268" s="95" t="str">
        <f t="shared" si="53"/>
        <v/>
      </c>
      <c r="AH268" s="150"/>
      <c r="AI268" s="95" t="str">
        <f t="shared" si="54"/>
        <v/>
      </c>
      <c r="AJ268" s="150"/>
      <c r="AK268" s="27" t="str">
        <f t="shared" si="55"/>
        <v/>
      </c>
      <c r="AL268" s="48" t="str">
        <f t="shared" si="56"/>
        <v/>
      </c>
      <c r="AM268" s="48" t="str">
        <f t="shared" si="57"/>
        <v/>
      </c>
      <c r="AN268" s="196"/>
      <c r="AO268" s="196"/>
      <c r="AP268" s="196"/>
      <c r="AQ268" s="196"/>
      <c r="AR268" s="196"/>
      <c r="AS268" s="196"/>
      <c r="AT268" s="196"/>
      <c r="AU268" s="197" t="str">
        <f>IFERROR(VLOOKUP(AT268,'Seguridad Información'!$I$61:$J$65,2,0),"")</f>
        <v/>
      </c>
      <c r="AV268" s="79"/>
      <c r="AW268" s="78" t="str">
        <f t="shared" si="48"/>
        <v/>
      </c>
      <c r="AX268" s="77" t="str">
        <f t="shared" si="58"/>
        <v/>
      </c>
      <c r="AY268" s="21" t="str">
        <f>IFERROR(VLOOKUP((CONCATENATE(AM268,AX268)),Listados!$U$3:$V$11,2,FALSE),"")</f>
        <v/>
      </c>
      <c r="AZ268" s="48">
        <f t="shared" si="59"/>
        <v>100</v>
      </c>
      <c r="BA268" s="431"/>
      <c r="BB268" s="433"/>
      <c r="BC268" s="169">
        <f>+IF(AND(W268="Preventivo",BB265="Fuerte"),2,IF(AND(W268="Preventivo",BB265="Moderado"),1,0))</f>
        <v>0</v>
      </c>
      <c r="BD268" s="64">
        <f>+IF(AND(W268="Detectivo/Correctivo",$BB265="Fuerte"),2,IF(AND(W268="Detectivo/Correctivo",$BB268="Moderado"),1,IF(AND(W268="Preventivo",$BB265="Fuerte"),1,0)))</f>
        <v>0</v>
      </c>
      <c r="BE268" s="169" t="e">
        <f>+N265-BC268</f>
        <v>#N/A</v>
      </c>
      <c r="BF268" s="169" t="e">
        <f>+P265-BD268</f>
        <v>#N/A</v>
      </c>
      <c r="BG268" s="422"/>
      <c r="BH268" s="422"/>
      <c r="BI268" s="422"/>
      <c r="BJ268" s="645"/>
      <c r="BK268" s="645"/>
      <c r="BL268" s="645"/>
      <c r="BM268" s="645"/>
    </row>
    <row r="269" spans="1:65" ht="65.099999999999994" customHeight="1" thickBot="1">
      <c r="A269" s="405"/>
      <c r="B269" s="625"/>
      <c r="C269" s="440"/>
      <c r="D269" s="109"/>
      <c r="E269" s="109"/>
      <c r="F269" s="475"/>
      <c r="G269" s="443"/>
      <c r="H269" s="100"/>
      <c r="I269" s="128"/>
      <c r="J269" s="100"/>
      <c r="K269" s="29"/>
      <c r="L269" s="129"/>
      <c r="M269" s="446"/>
      <c r="N269" s="425"/>
      <c r="O269" s="428"/>
      <c r="P269" s="425"/>
      <c r="Q269" s="429"/>
      <c r="R269" s="422"/>
      <c r="S269" s="150"/>
      <c r="T269" s="198"/>
      <c r="U269" s="47" t="s">
        <v>627</v>
      </c>
      <c r="V269" s="172"/>
      <c r="W269" s="172"/>
      <c r="X269" s="172"/>
      <c r="Y269" s="95" t="str">
        <f t="shared" si="49"/>
        <v/>
      </c>
      <c r="Z269" s="172"/>
      <c r="AA269" s="95" t="str">
        <f t="shared" si="50"/>
        <v/>
      </c>
      <c r="AB269" s="150"/>
      <c r="AC269" s="95" t="str">
        <f t="shared" si="51"/>
        <v/>
      </c>
      <c r="AD269" s="150"/>
      <c r="AE269" s="95" t="str">
        <f t="shared" si="52"/>
        <v/>
      </c>
      <c r="AF269" s="150"/>
      <c r="AG269" s="95" t="str">
        <f t="shared" si="53"/>
        <v/>
      </c>
      <c r="AH269" s="150"/>
      <c r="AI269" s="95" t="str">
        <f t="shared" si="54"/>
        <v/>
      </c>
      <c r="AJ269" s="150"/>
      <c r="AK269" s="27" t="str">
        <f t="shared" si="55"/>
        <v/>
      </c>
      <c r="AL269" s="48" t="str">
        <f t="shared" si="56"/>
        <v/>
      </c>
      <c r="AM269" s="48" t="str">
        <f t="shared" si="57"/>
        <v/>
      </c>
      <c r="AN269" s="196"/>
      <c r="AO269" s="196"/>
      <c r="AP269" s="196"/>
      <c r="AQ269" s="196"/>
      <c r="AR269" s="196"/>
      <c r="AS269" s="196"/>
      <c r="AT269" s="196"/>
      <c r="AU269" s="197" t="str">
        <f>IFERROR(VLOOKUP(AT269,'Seguridad Información'!$I$61:$J$65,2,0),"")</f>
        <v/>
      </c>
      <c r="AV269" s="79"/>
      <c r="AW269" s="78" t="str">
        <f t="shared" si="48"/>
        <v/>
      </c>
      <c r="AX269" s="77" t="str">
        <f t="shared" si="58"/>
        <v/>
      </c>
      <c r="AY269" s="21" t="str">
        <f>IFERROR(VLOOKUP((CONCATENATE(AM269,AX269)),Listados!$U$3:$V$11,2,FALSE),"")</f>
        <v/>
      </c>
      <c r="AZ269" s="48">
        <f t="shared" si="59"/>
        <v>100</v>
      </c>
      <c r="BA269" s="431"/>
      <c r="BB269" s="433"/>
      <c r="BC269" s="169">
        <f>+IF(AND(W269="Preventivo",BB265="Fuerte"),2,IF(AND(W269="Preventivo",BB265="Moderado"),1,0))</f>
        <v>0</v>
      </c>
      <c r="BD269" s="64">
        <f>+IF(AND(W269="Detectivo/Correctivo",$BB265="Fuerte"),2,IF(AND(W269="Detectivo/Correctivo",$BB269="Moderado"),1,IF(AND(W269="Preventivo",$BB265="Fuerte"),1,0)))</f>
        <v>0</v>
      </c>
      <c r="BE269" s="169" t="e">
        <f>+N265-BC269</f>
        <v>#N/A</v>
      </c>
      <c r="BF269" s="169" t="e">
        <f>+P265-BD269</f>
        <v>#N/A</v>
      </c>
      <c r="BG269" s="422"/>
      <c r="BH269" s="422"/>
      <c r="BI269" s="422"/>
      <c r="BJ269" s="645"/>
      <c r="BK269" s="645"/>
      <c r="BL269" s="645"/>
      <c r="BM269" s="645"/>
    </row>
    <row r="270" spans="1:65" ht="65.099999999999994" customHeight="1" thickBot="1">
      <c r="A270" s="406"/>
      <c r="B270" s="625"/>
      <c r="C270" s="441"/>
      <c r="D270" s="106"/>
      <c r="E270" s="106"/>
      <c r="F270" s="619"/>
      <c r="G270" s="444"/>
      <c r="H270" s="100"/>
      <c r="I270" s="128"/>
      <c r="J270" s="100"/>
      <c r="K270" s="31"/>
      <c r="L270" s="129"/>
      <c r="M270" s="446"/>
      <c r="N270" s="426"/>
      <c r="O270" s="428"/>
      <c r="P270" s="426"/>
      <c r="Q270" s="429"/>
      <c r="R270" s="423"/>
      <c r="S270" s="150"/>
      <c r="T270" s="98"/>
      <c r="U270" s="47" t="s">
        <v>627</v>
      </c>
      <c r="V270" s="172"/>
      <c r="W270" s="172"/>
      <c r="X270" s="172"/>
      <c r="Y270" s="95" t="str">
        <f t="shared" si="49"/>
        <v/>
      </c>
      <c r="Z270" s="172"/>
      <c r="AA270" s="95" t="str">
        <f t="shared" si="50"/>
        <v/>
      </c>
      <c r="AB270" s="150"/>
      <c r="AC270" s="95" t="str">
        <f t="shared" si="51"/>
        <v/>
      </c>
      <c r="AD270" s="150"/>
      <c r="AE270" s="95" t="str">
        <f t="shared" si="52"/>
        <v/>
      </c>
      <c r="AF270" s="150"/>
      <c r="AG270" s="95" t="str">
        <f t="shared" si="53"/>
        <v/>
      </c>
      <c r="AH270" s="150"/>
      <c r="AI270" s="95" t="str">
        <f t="shared" si="54"/>
        <v/>
      </c>
      <c r="AJ270" s="150"/>
      <c r="AK270" s="27" t="str">
        <f t="shared" si="55"/>
        <v/>
      </c>
      <c r="AL270" s="48" t="str">
        <f t="shared" si="56"/>
        <v/>
      </c>
      <c r="AM270" s="48" t="str">
        <f t="shared" si="57"/>
        <v/>
      </c>
      <c r="AN270" s="196"/>
      <c r="AO270" s="196"/>
      <c r="AP270" s="196"/>
      <c r="AQ270" s="196"/>
      <c r="AR270" s="196"/>
      <c r="AS270" s="196"/>
      <c r="AT270" s="196"/>
      <c r="AU270" s="197" t="str">
        <f>IFERROR(VLOOKUP(AT270,'Seguridad Información'!$I$61:$J$65,2,0),"")</f>
        <v/>
      </c>
      <c r="AV270" s="79"/>
      <c r="AW270" s="78" t="str">
        <f t="shared" si="48"/>
        <v/>
      </c>
      <c r="AX270" s="77" t="str">
        <f t="shared" si="58"/>
        <v/>
      </c>
      <c r="AY270" s="21" t="str">
        <f>IFERROR(VLOOKUP((CONCATENATE(AM270,AX270)),Listados!$U$3:$V$11,2,FALSE),"")</f>
        <v/>
      </c>
      <c r="AZ270" s="48">
        <f t="shared" si="59"/>
        <v>100</v>
      </c>
      <c r="BA270" s="432"/>
      <c r="BB270" s="433"/>
      <c r="BC270" s="169">
        <f>+IF(AND(W270="Preventivo",BB265="Fuerte"),2,IF(AND(W270="Preventivo",BB265="Moderado"),1,0))</f>
        <v>0</v>
      </c>
      <c r="BD270" s="64">
        <f>+IF(AND(W270="Detectivo/Correctivo",$BB265="Fuerte"),2,IF(AND(W270="Detectivo/Correctivo",$BB270="Moderado"),1,IF(AND(W270="Preventivo",$BB265="Fuerte"),1,0)))</f>
        <v>0</v>
      </c>
      <c r="BE270" s="169" t="e">
        <f>+N265-BC270</f>
        <v>#N/A</v>
      </c>
      <c r="BF270" s="169" t="e">
        <f>+P265-BD270</f>
        <v>#N/A</v>
      </c>
      <c r="BG270" s="423"/>
      <c r="BH270" s="423"/>
      <c r="BI270" s="423"/>
      <c r="BJ270" s="646"/>
      <c r="BK270" s="646"/>
      <c r="BL270" s="646"/>
      <c r="BM270" s="646"/>
    </row>
    <row r="271" spans="1:65" ht="65.099999999999994" customHeight="1" thickBot="1">
      <c r="A271" s="404">
        <v>45</v>
      </c>
      <c r="B271" s="628"/>
      <c r="C271" s="447" t="str">
        <f>IFERROR(VLOOKUP(B271,Listados!B$3:C$20,2,FALSE),"")</f>
        <v/>
      </c>
      <c r="D271" s="107"/>
      <c r="E271" s="107"/>
      <c r="F271" s="618"/>
      <c r="G271" s="448"/>
      <c r="H271" s="100"/>
      <c r="I271" s="128"/>
      <c r="J271" s="100"/>
      <c r="K271" s="103"/>
      <c r="L271" s="17"/>
      <c r="M271" s="445"/>
      <c r="N271" s="424" t="e">
        <f>+VLOOKUP(M271,Listados!$K$8:$L$12,2,0)</f>
        <v>#N/A</v>
      </c>
      <c r="O271" s="427"/>
      <c r="P271" s="424" t="e">
        <f>+VLOOKUP(O271,Listados!$K$13:$L$17,2,0)</f>
        <v>#N/A</v>
      </c>
      <c r="Q271" s="423" t="str">
        <f>IF(AND(M271&lt;&gt;"",O271&lt;&gt;""),VLOOKUP(M271&amp;O271,Listados!$M$3:$N$27,2,FALSE),"")</f>
        <v/>
      </c>
      <c r="R271" s="421" t="e">
        <f>+VLOOKUP(Q271,Listados!$P$3:$Q$6,2,FALSE)</f>
        <v>#N/A</v>
      </c>
      <c r="S271" s="150"/>
      <c r="T271" s="94"/>
      <c r="U271" s="47" t="s">
        <v>627</v>
      </c>
      <c r="V271" s="172"/>
      <c r="W271" s="172"/>
      <c r="X271" s="172"/>
      <c r="Y271" s="95" t="str">
        <f t="shared" si="49"/>
        <v/>
      </c>
      <c r="Z271" s="172"/>
      <c r="AA271" s="95" t="str">
        <f t="shared" si="50"/>
        <v/>
      </c>
      <c r="AB271" s="150"/>
      <c r="AC271" s="95" t="str">
        <f t="shared" si="51"/>
        <v/>
      </c>
      <c r="AD271" s="150"/>
      <c r="AE271" s="95" t="str">
        <f t="shared" si="52"/>
        <v/>
      </c>
      <c r="AF271" s="150"/>
      <c r="AG271" s="95" t="str">
        <f t="shared" si="53"/>
        <v/>
      </c>
      <c r="AH271" s="150"/>
      <c r="AI271" s="95" t="str">
        <f t="shared" si="54"/>
        <v/>
      </c>
      <c r="AJ271" s="150"/>
      <c r="AK271" s="27" t="str">
        <f t="shared" si="55"/>
        <v/>
      </c>
      <c r="AL271" s="48" t="str">
        <f t="shared" si="56"/>
        <v/>
      </c>
      <c r="AM271" s="48" t="str">
        <f t="shared" si="57"/>
        <v/>
      </c>
      <c r="AN271" s="196"/>
      <c r="AO271" s="196"/>
      <c r="AP271" s="196"/>
      <c r="AQ271" s="196"/>
      <c r="AR271" s="196"/>
      <c r="AS271" s="196"/>
      <c r="AT271" s="196"/>
      <c r="AU271" s="197" t="str">
        <f>IFERROR(VLOOKUP(AT271,'Seguridad Información'!$I$61:$J$65,2,0),"")</f>
        <v/>
      </c>
      <c r="AV271" s="79"/>
      <c r="AW271" s="78" t="str">
        <f t="shared" si="48"/>
        <v/>
      </c>
      <c r="AX271" s="77" t="str">
        <f t="shared" si="58"/>
        <v/>
      </c>
      <c r="AY271" s="21" t="str">
        <f>IFERROR(VLOOKUP((CONCATENATE(AM271,AX271)),Listados!$U$3:$V$11,2,FALSE),"")</f>
        <v/>
      </c>
      <c r="AZ271" s="48">
        <f t="shared" si="59"/>
        <v>100</v>
      </c>
      <c r="BA271" s="430">
        <f>AVERAGE(AZ271:AZ276)</f>
        <v>100</v>
      </c>
      <c r="BB271" s="432" t="str">
        <f>IF(BA271&lt;=50, "Débil", IF(BA271&lt;=99,"Moderado","Fuerte"))</f>
        <v>Fuerte</v>
      </c>
      <c r="BC271" s="169">
        <f>+IF(AND(W271="Preventivo",BB271="Fuerte"),2,IF(AND(W271="Preventivo",BB271="Moderado"),1,0))</f>
        <v>0</v>
      </c>
      <c r="BD271" s="64">
        <f>+IF(AND(W271="Detectivo/Correctivo",$BB271="Fuerte"),2,IF(AND(W271="Detectivo/Correctivo",$BB271="Moderado"),1,IF(AND(W271="Preventivo",$BB271="Fuerte"),1,0)))</f>
        <v>0</v>
      </c>
      <c r="BE271" s="169" t="e">
        <f>+N271-BC271</f>
        <v>#N/A</v>
      </c>
      <c r="BF271" s="169" t="e">
        <f>+P271-BD271</f>
        <v>#N/A</v>
      </c>
      <c r="BG271" s="421" t="e">
        <f>+VLOOKUP(MIN(BE271,BE272,BE273,BE274,BE275,BE276),Listados!$J$18:$K$24,2,TRUE)</f>
        <v>#N/A</v>
      </c>
      <c r="BH271" s="421" t="e">
        <f>+VLOOKUP(MIN(BF271,BF272,BF273,BF274,BF275,BF276),Listados!$J$27:$K$32,2,TRUE)</f>
        <v>#N/A</v>
      </c>
      <c r="BI271" s="421" t="e">
        <f>IF(AND(BG271&lt;&gt;"",BH271&lt;&gt;""),VLOOKUP(BG271&amp;BH271,Listados!$M$3:$N$27,2,FALSE),"")</f>
        <v>#N/A</v>
      </c>
      <c r="BJ271" s="644" t="e">
        <f>+IF($R271="Asumir el riesgo","NA","")</f>
        <v>#N/A</v>
      </c>
      <c r="BK271" s="644" t="e">
        <f>+IF($R271="Asumir el riesgo","NA","")</f>
        <v>#N/A</v>
      </c>
      <c r="BL271" s="644" t="e">
        <f>+IF($R271="Asumir el riesgo","NA","")</f>
        <v>#N/A</v>
      </c>
      <c r="BM271" s="644" t="e">
        <f>+IF($R271="Asumir el riesgo","NA","")</f>
        <v>#N/A</v>
      </c>
    </row>
    <row r="272" spans="1:65" ht="65.099999999999994" customHeight="1" thickBot="1">
      <c r="A272" s="405"/>
      <c r="B272" s="625"/>
      <c r="C272" s="440"/>
      <c r="D272" s="152"/>
      <c r="E272" s="152"/>
      <c r="F272" s="475"/>
      <c r="G272" s="443"/>
      <c r="H272" s="100"/>
      <c r="I272" s="128"/>
      <c r="J272" s="100"/>
      <c r="K272" s="147"/>
      <c r="L272" s="129"/>
      <c r="M272" s="446"/>
      <c r="N272" s="425"/>
      <c r="O272" s="428"/>
      <c r="P272" s="425"/>
      <c r="Q272" s="429"/>
      <c r="R272" s="422"/>
      <c r="S272" s="150"/>
      <c r="T272" s="198"/>
      <c r="U272" s="47" t="s">
        <v>627</v>
      </c>
      <c r="V272" s="172"/>
      <c r="W272" s="172"/>
      <c r="X272" s="172"/>
      <c r="Y272" s="95" t="str">
        <f t="shared" si="49"/>
        <v/>
      </c>
      <c r="Z272" s="172"/>
      <c r="AA272" s="95" t="str">
        <f t="shared" si="50"/>
        <v/>
      </c>
      <c r="AB272" s="150"/>
      <c r="AC272" s="95" t="str">
        <f t="shared" si="51"/>
        <v/>
      </c>
      <c r="AD272" s="150"/>
      <c r="AE272" s="95" t="str">
        <f t="shared" si="52"/>
        <v/>
      </c>
      <c r="AF272" s="150"/>
      <c r="AG272" s="95" t="str">
        <f t="shared" si="53"/>
        <v/>
      </c>
      <c r="AH272" s="150"/>
      <c r="AI272" s="95" t="str">
        <f t="shared" si="54"/>
        <v/>
      </c>
      <c r="AJ272" s="150"/>
      <c r="AK272" s="27" t="str">
        <f t="shared" si="55"/>
        <v/>
      </c>
      <c r="AL272" s="48" t="str">
        <f t="shared" si="56"/>
        <v/>
      </c>
      <c r="AM272" s="48" t="str">
        <f t="shared" si="57"/>
        <v/>
      </c>
      <c r="AN272" s="196"/>
      <c r="AO272" s="196"/>
      <c r="AP272" s="196"/>
      <c r="AQ272" s="196"/>
      <c r="AR272" s="196"/>
      <c r="AS272" s="196"/>
      <c r="AT272" s="196"/>
      <c r="AU272" s="197" t="str">
        <f>IFERROR(VLOOKUP(AT272,'Seguridad Información'!$I$61:$J$65,2,0),"")</f>
        <v/>
      </c>
      <c r="AV272" s="79"/>
      <c r="AW272" s="78" t="str">
        <f t="shared" si="48"/>
        <v/>
      </c>
      <c r="AX272" s="77" t="str">
        <f t="shared" si="58"/>
        <v/>
      </c>
      <c r="AY272" s="21" t="str">
        <f>IFERROR(VLOOKUP((CONCATENATE(AM272,AX272)),Listados!$U$3:$V$11,2,FALSE),"")</f>
        <v/>
      </c>
      <c r="AZ272" s="48">
        <f t="shared" si="59"/>
        <v>100</v>
      </c>
      <c r="BA272" s="431"/>
      <c r="BB272" s="433"/>
      <c r="BC272" s="169">
        <f>+IF(AND(W272="Preventivo",BB271="Fuerte"),2,IF(AND(W272="Preventivo",BB271="Moderado"),1,0))</f>
        <v>0</v>
      </c>
      <c r="BD272" s="64">
        <f>+IF(AND(W272="Detectivo/Correctivo",$BB271="Fuerte"),2,IF(AND(W272="Detectivo/Correctivo",$BB272="Moderado"),1,IF(AND(W272="Preventivo",$BB271="Fuerte"),1,0)))</f>
        <v>0</v>
      </c>
      <c r="BE272" s="169" t="e">
        <f>+N271-BC272</f>
        <v>#N/A</v>
      </c>
      <c r="BF272" s="169" t="e">
        <f>+P271-BD272</f>
        <v>#N/A</v>
      </c>
      <c r="BG272" s="422"/>
      <c r="BH272" s="422"/>
      <c r="BI272" s="422"/>
      <c r="BJ272" s="645"/>
      <c r="BK272" s="645"/>
      <c r="BL272" s="645"/>
      <c r="BM272" s="645"/>
    </row>
    <row r="273" spans="1:65" ht="65.099999999999994" customHeight="1" thickBot="1">
      <c r="A273" s="405"/>
      <c r="B273" s="625"/>
      <c r="C273" s="440"/>
      <c r="D273" s="152"/>
      <c r="E273" s="152"/>
      <c r="F273" s="475"/>
      <c r="G273" s="443"/>
      <c r="H273" s="100"/>
      <c r="I273" s="128"/>
      <c r="J273" s="100"/>
      <c r="K273" s="147"/>
      <c r="L273" s="129"/>
      <c r="M273" s="446"/>
      <c r="N273" s="425"/>
      <c r="O273" s="428"/>
      <c r="P273" s="425"/>
      <c r="Q273" s="429"/>
      <c r="R273" s="422"/>
      <c r="S273" s="150"/>
      <c r="T273" s="96"/>
      <c r="U273" s="47" t="s">
        <v>627</v>
      </c>
      <c r="V273" s="172"/>
      <c r="W273" s="172"/>
      <c r="X273" s="172"/>
      <c r="Y273" s="95" t="str">
        <f t="shared" si="49"/>
        <v/>
      </c>
      <c r="Z273" s="172"/>
      <c r="AA273" s="95" t="str">
        <f t="shared" si="50"/>
        <v/>
      </c>
      <c r="AB273" s="150"/>
      <c r="AC273" s="95" t="str">
        <f t="shared" si="51"/>
        <v/>
      </c>
      <c r="AD273" s="150"/>
      <c r="AE273" s="95" t="str">
        <f t="shared" si="52"/>
        <v/>
      </c>
      <c r="AF273" s="150"/>
      <c r="AG273" s="95" t="str">
        <f t="shared" si="53"/>
        <v/>
      </c>
      <c r="AH273" s="150"/>
      <c r="AI273" s="95" t="str">
        <f t="shared" si="54"/>
        <v/>
      </c>
      <c r="AJ273" s="150"/>
      <c r="AK273" s="27" t="str">
        <f t="shared" si="55"/>
        <v/>
      </c>
      <c r="AL273" s="48" t="str">
        <f t="shared" si="56"/>
        <v/>
      </c>
      <c r="AM273" s="48" t="str">
        <f t="shared" si="57"/>
        <v/>
      </c>
      <c r="AN273" s="196"/>
      <c r="AO273" s="196"/>
      <c r="AP273" s="196"/>
      <c r="AQ273" s="196"/>
      <c r="AR273" s="196"/>
      <c r="AS273" s="196"/>
      <c r="AT273" s="196"/>
      <c r="AU273" s="197" t="str">
        <f>IFERROR(VLOOKUP(AT273,'Seguridad Información'!$I$61:$J$65,2,0),"")</f>
        <v/>
      </c>
      <c r="AV273" s="79"/>
      <c r="AW273" s="78" t="str">
        <f t="shared" si="48"/>
        <v/>
      </c>
      <c r="AX273" s="77" t="str">
        <f t="shared" si="58"/>
        <v/>
      </c>
      <c r="AY273" s="21" t="str">
        <f>IFERROR(VLOOKUP((CONCATENATE(AM273,AX273)),Listados!$U$3:$V$11,2,FALSE),"")</f>
        <v/>
      </c>
      <c r="AZ273" s="48">
        <f t="shared" si="59"/>
        <v>100</v>
      </c>
      <c r="BA273" s="431"/>
      <c r="BB273" s="433"/>
      <c r="BC273" s="169">
        <f>+IF(AND(W273="Preventivo",BB271="Fuerte"),2,IF(AND(W273="Preventivo",BB271="Moderado"),1,0))</f>
        <v>0</v>
      </c>
      <c r="BD273" s="64">
        <f>+IF(AND(W273="Detectivo/Correctivo",$BB271="Fuerte"),2,IF(AND(W273="Detectivo/Correctivo",$BB273="Moderado"),1,IF(AND(W273="Preventivo",$BB271="Fuerte"),1,0)))</f>
        <v>0</v>
      </c>
      <c r="BE273" s="169" t="e">
        <f>+N271-BC273</f>
        <v>#N/A</v>
      </c>
      <c r="BF273" s="169" t="e">
        <f>+P271-BD273</f>
        <v>#N/A</v>
      </c>
      <c r="BG273" s="422"/>
      <c r="BH273" s="422"/>
      <c r="BI273" s="422"/>
      <c r="BJ273" s="645"/>
      <c r="BK273" s="645"/>
      <c r="BL273" s="645"/>
      <c r="BM273" s="645"/>
    </row>
    <row r="274" spans="1:65" ht="65.099999999999994" customHeight="1" thickBot="1">
      <c r="A274" s="405"/>
      <c r="B274" s="625"/>
      <c r="C274" s="440"/>
      <c r="D274" s="152"/>
      <c r="E274" s="152"/>
      <c r="F274" s="475"/>
      <c r="G274" s="443"/>
      <c r="H274" s="100"/>
      <c r="I274" s="128"/>
      <c r="J274" s="100"/>
      <c r="K274" s="147"/>
      <c r="L274" s="129"/>
      <c r="M274" s="446"/>
      <c r="N274" s="425"/>
      <c r="O274" s="428"/>
      <c r="P274" s="425"/>
      <c r="Q274" s="429"/>
      <c r="R274" s="422"/>
      <c r="S274" s="150"/>
      <c r="T274" s="97"/>
      <c r="U274" s="47" t="s">
        <v>627</v>
      </c>
      <c r="V274" s="172"/>
      <c r="W274" s="172"/>
      <c r="X274" s="172"/>
      <c r="Y274" s="95" t="str">
        <f t="shared" si="49"/>
        <v/>
      </c>
      <c r="Z274" s="172"/>
      <c r="AA274" s="95" t="str">
        <f t="shared" si="50"/>
        <v/>
      </c>
      <c r="AB274" s="150"/>
      <c r="AC274" s="95" t="str">
        <f t="shared" si="51"/>
        <v/>
      </c>
      <c r="AD274" s="150"/>
      <c r="AE274" s="95" t="str">
        <f t="shared" si="52"/>
        <v/>
      </c>
      <c r="AF274" s="150"/>
      <c r="AG274" s="95" t="str">
        <f t="shared" si="53"/>
        <v/>
      </c>
      <c r="AH274" s="150"/>
      <c r="AI274" s="95" t="str">
        <f t="shared" si="54"/>
        <v/>
      </c>
      <c r="AJ274" s="150"/>
      <c r="AK274" s="27" t="str">
        <f t="shared" si="55"/>
        <v/>
      </c>
      <c r="AL274" s="48" t="str">
        <f t="shared" si="56"/>
        <v/>
      </c>
      <c r="AM274" s="48" t="str">
        <f t="shared" si="57"/>
        <v/>
      </c>
      <c r="AN274" s="196"/>
      <c r="AO274" s="196"/>
      <c r="AP274" s="196"/>
      <c r="AQ274" s="196"/>
      <c r="AR274" s="196"/>
      <c r="AS274" s="196"/>
      <c r="AT274" s="196"/>
      <c r="AU274" s="197" t="str">
        <f>IFERROR(VLOOKUP(AT274,'Seguridad Información'!$I$61:$J$65,2,0),"")</f>
        <v/>
      </c>
      <c r="AV274" s="79"/>
      <c r="AW274" s="78" t="str">
        <f t="shared" si="48"/>
        <v/>
      </c>
      <c r="AX274" s="77" t="str">
        <f t="shared" si="58"/>
        <v/>
      </c>
      <c r="AY274" s="21" t="str">
        <f>IFERROR(VLOOKUP((CONCATENATE(AM274,AX274)),Listados!$U$3:$V$11,2,FALSE),"")</f>
        <v/>
      </c>
      <c r="AZ274" s="48">
        <f t="shared" si="59"/>
        <v>100</v>
      </c>
      <c r="BA274" s="431"/>
      <c r="BB274" s="433"/>
      <c r="BC274" s="169">
        <f>+IF(AND(W274="Preventivo",BB271="Fuerte"),2,IF(AND(W274="Preventivo",BB271="Moderado"),1,0))</f>
        <v>0</v>
      </c>
      <c r="BD274" s="64">
        <f>+IF(AND(W274="Detectivo/Correctivo",$BB271="Fuerte"),2,IF(AND(W274="Detectivo/Correctivo",$BB274="Moderado"),1,IF(AND(W274="Preventivo",$BB271="Fuerte"),1,0)))</f>
        <v>0</v>
      </c>
      <c r="BE274" s="169" t="e">
        <f>+N271-BC274</f>
        <v>#N/A</v>
      </c>
      <c r="BF274" s="169" t="e">
        <f>+P271-BD274</f>
        <v>#N/A</v>
      </c>
      <c r="BG274" s="422"/>
      <c r="BH274" s="422"/>
      <c r="BI274" s="422"/>
      <c r="BJ274" s="645"/>
      <c r="BK274" s="645"/>
      <c r="BL274" s="645"/>
      <c r="BM274" s="645"/>
    </row>
    <row r="275" spans="1:65" ht="65.099999999999994" customHeight="1" thickBot="1">
      <c r="A275" s="405"/>
      <c r="B275" s="625"/>
      <c r="C275" s="440"/>
      <c r="D275" s="109"/>
      <c r="E275" s="109"/>
      <c r="F275" s="475"/>
      <c r="G275" s="443"/>
      <c r="H275" s="100"/>
      <c r="I275" s="128"/>
      <c r="J275" s="100"/>
      <c r="K275" s="29"/>
      <c r="L275" s="129"/>
      <c r="M275" s="446"/>
      <c r="N275" s="425"/>
      <c r="O275" s="428"/>
      <c r="P275" s="425"/>
      <c r="Q275" s="429"/>
      <c r="R275" s="422"/>
      <c r="S275" s="150"/>
      <c r="T275" s="198"/>
      <c r="U275" s="47" t="s">
        <v>627</v>
      </c>
      <c r="V275" s="172"/>
      <c r="W275" s="172"/>
      <c r="X275" s="172"/>
      <c r="Y275" s="95" t="str">
        <f t="shared" si="49"/>
        <v/>
      </c>
      <c r="Z275" s="172"/>
      <c r="AA275" s="95" t="str">
        <f t="shared" si="50"/>
        <v/>
      </c>
      <c r="AB275" s="150"/>
      <c r="AC275" s="95" t="str">
        <f t="shared" si="51"/>
        <v/>
      </c>
      <c r="AD275" s="150"/>
      <c r="AE275" s="95" t="str">
        <f t="shared" si="52"/>
        <v/>
      </c>
      <c r="AF275" s="150"/>
      <c r="AG275" s="95" t="str">
        <f t="shared" si="53"/>
        <v/>
      </c>
      <c r="AH275" s="150"/>
      <c r="AI275" s="95" t="str">
        <f t="shared" si="54"/>
        <v/>
      </c>
      <c r="AJ275" s="150"/>
      <c r="AK275" s="27" t="str">
        <f t="shared" si="55"/>
        <v/>
      </c>
      <c r="AL275" s="48" t="str">
        <f t="shared" si="56"/>
        <v/>
      </c>
      <c r="AM275" s="48" t="str">
        <f t="shared" si="57"/>
        <v/>
      </c>
      <c r="AN275" s="196"/>
      <c r="AO275" s="196"/>
      <c r="AP275" s="196"/>
      <c r="AQ275" s="196"/>
      <c r="AR275" s="196"/>
      <c r="AS275" s="196"/>
      <c r="AT275" s="196"/>
      <c r="AU275" s="197" t="str">
        <f>IFERROR(VLOOKUP(AT275,'Seguridad Información'!$I$61:$J$65,2,0),"")</f>
        <v/>
      </c>
      <c r="AV275" s="79"/>
      <c r="AW275" s="78" t="str">
        <f t="shared" si="48"/>
        <v/>
      </c>
      <c r="AX275" s="77" t="str">
        <f t="shared" si="58"/>
        <v/>
      </c>
      <c r="AY275" s="21" t="str">
        <f>IFERROR(VLOOKUP((CONCATENATE(AM275,AX275)),Listados!$U$3:$V$11,2,FALSE),"")</f>
        <v/>
      </c>
      <c r="AZ275" s="48">
        <f t="shared" si="59"/>
        <v>100</v>
      </c>
      <c r="BA275" s="431"/>
      <c r="BB275" s="433"/>
      <c r="BC275" s="169">
        <f>+IF(AND(W275="Preventivo",BB271="Fuerte"),2,IF(AND(W275="Preventivo",BB271="Moderado"),1,0))</f>
        <v>0</v>
      </c>
      <c r="BD275" s="64">
        <f>+IF(AND(W275="Detectivo/Correctivo",$BB271="Fuerte"),2,IF(AND(W275="Detectivo/Correctivo",$BB275="Moderado"),1,IF(AND(W275="Preventivo",$BB271="Fuerte"),1,0)))</f>
        <v>0</v>
      </c>
      <c r="BE275" s="169" t="e">
        <f>+N271-BC275</f>
        <v>#N/A</v>
      </c>
      <c r="BF275" s="169" t="e">
        <f>+P271-BD275</f>
        <v>#N/A</v>
      </c>
      <c r="BG275" s="422"/>
      <c r="BH275" s="422"/>
      <c r="BI275" s="422"/>
      <c r="BJ275" s="645"/>
      <c r="BK275" s="645"/>
      <c r="BL275" s="645"/>
      <c r="BM275" s="645"/>
    </row>
    <row r="276" spans="1:65" ht="65.099999999999994" customHeight="1" thickBot="1">
      <c r="A276" s="406"/>
      <c r="B276" s="625"/>
      <c r="C276" s="441"/>
      <c r="D276" s="106"/>
      <c r="E276" s="106"/>
      <c r="F276" s="619"/>
      <c r="G276" s="444"/>
      <c r="H276" s="100"/>
      <c r="I276" s="128"/>
      <c r="J276" s="100"/>
      <c r="K276" s="31"/>
      <c r="L276" s="129"/>
      <c r="M276" s="446"/>
      <c r="N276" s="426"/>
      <c r="O276" s="428"/>
      <c r="P276" s="426"/>
      <c r="Q276" s="429"/>
      <c r="R276" s="423"/>
      <c r="S276" s="150"/>
      <c r="T276" s="98"/>
      <c r="U276" s="47" t="s">
        <v>627</v>
      </c>
      <c r="V276" s="172"/>
      <c r="W276" s="172"/>
      <c r="X276" s="172"/>
      <c r="Y276" s="95" t="str">
        <f t="shared" si="49"/>
        <v/>
      </c>
      <c r="Z276" s="172"/>
      <c r="AA276" s="95" t="str">
        <f t="shared" si="50"/>
        <v/>
      </c>
      <c r="AB276" s="150"/>
      <c r="AC276" s="95" t="str">
        <f t="shared" si="51"/>
        <v/>
      </c>
      <c r="AD276" s="150"/>
      <c r="AE276" s="95" t="str">
        <f t="shared" si="52"/>
        <v/>
      </c>
      <c r="AF276" s="150"/>
      <c r="AG276" s="95" t="str">
        <f t="shared" si="53"/>
        <v/>
      </c>
      <c r="AH276" s="150"/>
      <c r="AI276" s="95" t="str">
        <f t="shared" si="54"/>
        <v/>
      </c>
      <c r="AJ276" s="150"/>
      <c r="AK276" s="27" t="str">
        <f t="shared" si="55"/>
        <v/>
      </c>
      <c r="AL276" s="48" t="str">
        <f t="shared" si="56"/>
        <v/>
      </c>
      <c r="AM276" s="48" t="str">
        <f t="shared" si="57"/>
        <v/>
      </c>
      <c r="AN276" s="196"/>
      <c r="AO276" s="196"/>
      <c r="AP276" s="196"/>
      <c r="AQ276" s="196"/>
      <c r="AR276" s="196"/>
      <c r="AS276" s="196"/>
      <c r="AT276" s="196"/>
      <c r="AU276" s="197" t="str">
        <f>IFERROR(VLOOKUP(AT276,'Seguridad Información'!$I$61:$J$65,2,0),"")</f>
        <v/>
      </c>
      <c r="AV276" s="79"/>
      <c r="AW276" s="78" t="str">
        <f t="shared" si="48"/>
        <v/>
      </c>
      <c r="AX276" s="77" t="str">
        <f t="shared" si="58"/>
        <v/>
      </c>
      <c r="AY276" s="21" t="str">
        <f>IFERROR(VLOOKUP((CONCATENATE(AM276,AX276)),Listados!$U$3:$V$11,2,FALSE),"")</f>
        <v/>
      </c>
      <c r="AZ276" s="48">
        <f t="shared" si="59"/>
        <v>100</v>
      </c>
      <c r="BA276" s="432"/>
      <c r="BB276" s="433"/>
      <c r="BC276" s="169">
        <f>+IF(AND(W276="Preventivo",BB271="Fuerte"),2,IF(AND(W276="Preventivo",BB271="Moderado"),1,0))</f>
        <v>0</v>
      </c>
      <c r="BD276" s="64">
        <f>+IF(AND(W276="Detectivo/Correctivo",$BB271="Fuerte"),2,IF(AND(W276="Detectivo/Correctivo",$BB276="Moderado"),1,IF(AND(W276="Preventivo",$BB271="Fuerte"),1,0)))</f>
        <v>0</v>
      </c>
      <c r="BE276" s="169" t="e">
        <f>+N271-BC276</f>
        <v>#N/A</v>
      </c>
      <c r="BF276" s="169" t="e">
        <f>+P271-BD276</f>
        <v>#N/A</v>
      </c>
      <c r="BG276" s="423"/>
      <c r="BH276" s="423"/>
      <c r="BI276" s="423"/>
      <c r="BJ276" s="646"/>
      <c r="BK276" s="646"/>
      <c r="BL276" s="646"/>
      <c r="BM276" s="646"/>
    </row>
    <row r="277" spans="1:65" ht="65.099999999999994" customHeight="1" thickBot="1">
      <c r="A277" s="404">
        <v>46</v>
      </c>
      <c r="B277" s="628"/>
      <c r="C277" s="447" t="str">
        <f>IFERROR(VLOOKUP(B277,Listados!B$3:C$20,2,FALSE),"")</f>
        <v/>
      </c>
      <c r="D277" s="107"/>
      <c r="E277" s="107"/>
      <c r="F277" s="618"/>
      <c r="G277" s="448"/>
      <c r="H277" s="100"/>
      <c r="I277" s="128"/>
      <c r="J277" s="100"/>
      <c r="K277" s="103"/>
      <c r="L277" s="17"/>
      <c r="M277" s="445"/>
      <c r="N277" s="424" t="e">
        <f>+VLOOKUP(M277,Listados!$K$8:$L$12,2,0)</f>
        <v>#N/A</v>
      </c>
      <c r="O277" s="427"/>
      <c r="P277" s="424" t="e">
        <f>+VLOOKUP(O277,Listados!$K$13:$L$17,2,0)</f>
        <v>#N/A</v>
      </c>
      <c r="Q277" s="423" t="str">
        <f>IF(AND(M277&lt;&gt;"",O277&lt;&gt;""),VLOOKUP(M277&amp;O277,Listados!$M$3:$N$27,2,FALSE),"")</f>
        <v/>
      </c>
      <c r="R277" s="421" t="e">
        <f>+VLOOKUP(Q277,Listados!$P$3:$Q$6,2,FALSE)</f>
        <v>#N/A</v>
      </c>
      <c r="S277" s="150"/>
      <c r="T277" s="94"/>
      <c r="U277" s="47" t="s">
        <v>627</v>
      </c>
      <c r="V277" s="172"/>
      <c r="W277" s="172"/>
      <c r="X277" s="172"/>
      <c r="Y277" s="95" t="str">
        <f t="shared" si="49"/>
        <v/>
      </c>
      <c r="Z277" s="172"/>
      <c r="AA277" s="95" t="str">
        <f t="shared" si="50"/>
        <v/>
      </c>
      <c r="AB277" s="150"/>
      <c r="AC277" s="95" t="str">
        <f t="shared" si="51"/>
        <v/>
      </c>
      <c r="AD277" s="150"/>
      <c r="AE277" s="95" t="str">
        <f t="shared" si="52"/>
        <v/>
      </c>
      <c r="AF277" s="150"/>
      <c r="AG277" s="95" t="str">
        <f t="shared" si="53"/>
        <v/>
      </c>
      <c r="AH277" s="150"/>
      <c r="AI277" s="95" t="str">
        <f t="shared" si="54"/>
        <v/>
      </c>
      <c r="AJ277" s="150"/>
      <c r="AK277" s="27" t="str">
        <f t="shared" si="55"/>
        <v/>
      </c>
      <c r="AL277" s="48" t="str">
        <f t="shared" si="56"/>
        <v/>
      </c>
      <c r="AM277" s="48" t="str">
        <f t="shared" si="57"/>
        <v/>
      </c>
      <c r="AN277" s="196"/>
      <c r="AO277" s="196"/>
      <c r="AP277" s="196"/>
      <c r="AQ277" s="196"/>
      <c r="AR277" s="196"/>
      <c r="AS277" s="196"/>
      <c r="AT277" s="196"/>
      <c r="AU277" s="197" t="str">
        <f>IFERROR(VLOOKUP(AT277,'Seguridad Información'!$I$61:$J$65,2,0),"")</f>
        <v/>
      </c>
      <c r="AV277" s="79"/>
      <c r="AW277" s="78" t="str">
        <f t="shared" si="48"/>
        <v/>
      </c>
      <c r="AX277" s="77" t="str">
        <f t="shared" si="58"/>
        <v/>
      </c>
      <c r="AY277" s="21" t="str">
        <f>IFERROR(VLOOKUP((CONCATENATE(AM277,AX277)),Listados!$U$3:$V$11,2,FALSE),"")</f>
        <v/>
      </c>
      <c r="AZ277" s="48">
        <f t="shared" si="59"/>
        <v>100</v>
      </c>
      <c r="BA277" s="430">
        <f>AVERAGE(AZ277:AZ282)</f>
        <v>100</v>
      </c>
      <c r="BB277" s="432" t="str">
        <f>IF(BA277&lt;=50, "Débil", IF(BA277&lt;=99,"Moderado","Fuerte"))</f>
        <v>Fuerte</v>
      </c>
      <c r="BC277" s="169">
        <f>+IF(AND(W277="Preventivo",BB277="Fuerte"),2,IF(AND(W277="Preventivo",BB277="Moderado"),1,0))</f>
        <v>0</v>
      </c>
      <c r="BD277" s="64">
        <f>+IF(AND(W277="Detectivo/Correctivo",$BB277="Fuerte"),2,IF(AND(W277="Detectivo/Correctivo",$BB277="Moderado"),1,IF(AND(W277="Preventivo",$BB277="Fuerte"),1,0)))</f>
        <v>0</v>
      </c>
      <c r="BE277" s="169" t="e">
        <f>+N277-BC277</f>
        <v>#N/A</v>
      </c>
      <c r="BF277" s="169" t="e">
        <f>+P277-BD277</f>
        <v>#N/A</v>
      </c>
      <c r="BG277" s="421" t="e">
        <f>+VLOOKUP(MIN(BE277,BE278,BE279,BE280,BE281,BE282),Listados!$J$18:$K$24,2,TRUE)</f>
        <v>#N/A</v>
      </c>
      <c r="BH277" s="421" t="e">
        <f>+VLOOKUP(MIN(BF277,BF278,BF279,BF280,BF281,BF282),Listados!$J$27:$K$32,2,TRUE)</f>
        <v>#N/A</v>
      </c>
      <c r="BI277" s="421" t="e">
        <f>IF(AND(BG277&lt;&gt;"",BH277&lt;&gt;""),VLOOKUP(BG277&amp;BH277,Listados!$M$3:$N$27,2,FALSE),"")</f>
        <v>#N/A</v>
      </c>
      <c r="BJ277" s="644" t="e">
        <f>+IF($R277="Asumir el riesgo","NA","")</f>
        <v>#N/A</v>
      </c>
      <c r="BK277" s="644" t="e">
        <f>+IF($R277="Asumir el riesgo","NA","")</f>
        <v>#N/A</v>
      </c>
      <c r="BL277" s="644" t="e">
        <f>+IF($R277="Asumir el riesgo","NA","")</f>
        <v>#N/A</v>
      </c>
      <c r="BM277" s="644" t="e">
        <f>+IF($R277="Asumir el riesgo","NA","")</f>
        <v>#N/A</v>
      </c>
    </row>
    <row r="278" spans="1:65" ht="65.099999999999994" customHeight="1" thickBot="1">
      <c r="A278" s="405"/>
      <c r="B278" s="625"/>
      <c r="C278" s="440"/>
      <c r="D278" s="152"/>
      <c r="E278" s="152"/>
      <c r="F278" s="475"/>
      <c r="G278" s="443"/>
      <c r="H278" s="100"/>
      <c r="I278" s="128"/>
      <c r="J278" s="100"/>
      <c r="K278" s="147"/>
      <c r="L278" s="129"/>
      <c r="M278" s="446"/>
      <c r="N278" s="425"/>
      <c r="O278" s="428"/>
      <c r="P278" s="425"/>
      <c r="Q278" s="429"/>
      <c r="R278" s="422"/>
      <c r="S278" s="150"/>
      <c r="T278" s="198"/>
      <c r="U278" s="47" t="s">
        <v>627</v>
      </c>
      <c r="V278" s="172"/>
      <c r="W278" s="172"/>
      <c r="X278" s="172"/>
      <c r="Y278" s="95" t="str">
        <f t="shared" si="49"/>
        <v/>
      </c>
      <c r="Z278" s="172"/>
      <c r="AA278" s="95" t="str">
        <f t="shared" si="50"/>
        <v/>
      </c>
      <c r="AB278" s="150"/>
      <c r="AC278" s="95" t="str">
        <f t="shared" si="51"/>
        <v/>
      </c>
      <c r="AD278" s="150"/>
      <c r="AE278" s="95" t="str">
        <f t="shared" si="52"/>
        <v/>
      </c>
      <c r="AF278" s="150"/>
      <c r="AG278" s="95" t="str">
        <f t="shared" si="53"/>
        <v/>
      </c>
      <c r="AH278" s="150"/>
      <c r="AI278" s="95" t="str">
        <f t="shared" si="54"/>
        <v/>
      </c>
      <c r="AJ278" s="150"/>
      <c r="AK278" s="27" t="str">
        <f t="shared" si="55"/>
        <v/>
      </c>
      <c r="AL278" s="48" t="str">
        <f t="shared" si="56"/>
        <v/>
      </c>
      <c r="AM278" s="48" t="str">
        <f t="shared" si="57"/>
        <v/>
      </c>
      <c r="AN278" s="196"/>
      <c r="AO278" s="196"/>
      <c r="AP278" s="196"/>
      <c r="AQ278" s="196"/>
      <c r="AR278" s="196"/>
      <c r="AS278" s="196"/>
      <c r="AT278" s="196"/>
      <c r="AU278" s="197" t="str">
        <f>IFERROR(VLOOKUP(AT278,'Seguridad Información'!$I$61:$J$65,2,0),"")</f>
        <v/>
      </c>
      <c r="AV278" s="79"/>
      <c r="AW278" s="78" t="str">
        <f t="shared" si="48"/>
        <v/>
      </c>
      <c r="AX278" s="77" t="str">
        <f t="shared" si="58"/>
        <v/>
      </c>
      <c r="AY278" s="21" t="str">
        <f>IFERROR(VLOOKUP((CONCATENATE(AM278,AX278)),Listados!$U$3:$V$11,2,FALSE),"")</f>
        <v/>
      </c>
      <c r="AZ278" s="48">
        <f t="shared" si="59"/>
        <v>100</v>
      </c>
      <c r="BA278" s="431"/>
      <c r="BB278" s="433"/>
      <c r="BC278" s="169">
        <f>+IF(AND(W278="Preventivo",BB277="Fuerte"),2,IF(AND(W278="Preventivo",BB277="Moderado"),1,0))</f>
        <v>0</v>
      </c>
      <c r="BD278" s="64">
        <f>+IF(AND(W278="Detectivo/Correctivo",$BB277="Fuerte"),2,IF(AND(W278="Detectivo/Correctivo",$BB278="Moderado"),1,IF(AND(W278="Preventivo",$BB277="Fuerte"),1,0)))</f>
        <v>0</v>
      </c>
      <c r="BE278" s="169" t="e">
        <f>+N277-BC278</f>
        <v>#N/A</v>
      </c>
      <c r="BF278" s="169" t="e">
        <f>+P277-BD278</f>
        <v>#N/A</v>
      </c>
      <c r="BG278" s="422"/>
      <c r="BH278" s="422"/>
      <c r="BI278" s="422"/>
      <c r="BJ278" s="645"/>
      <c r="BK278" s="645"/>
      <c r="BL278" s="645"/>
      <c r="BM278" s="645"/>
    </row>
    <row r="279" spans="1:65" ht="65.099999999999994" customHeight="1" thickBot="1">
      <c r="A279" s="405"/>
      <c r="B279" s="625"/>
      <c r="C279" s="440"/>
      <c r="D279" s="152"/>
      <c r="E279" s="152"/>
      <c r="F279" s="475"/>
      <c r="G279" s="443"/>
      <c r="H279" s="100"/>
      <c r="I279" s="128"/>
      <c r="J279" s="100"/>
      <c r="K279" s="147"/>
      <c r="L279" s="129"/>
      <c r="M279" s="446"/>
      <c r="N279" s="425"/>
      <c r="O279" s="428"/>
      <c r="P279" s="425"/>
      <c r="Q279" s="429"/>
      <c r="R279" s="422"/>
      <c r="S279" s="150"/>
      <c r="T279" s="96"/>
      <c r="U279" s="47" t="s">
        <v>627</v>
      </c>
      <c r="V279" s="172"/>
      <c r="W279" s="172"/>
      <c r="X279" s="172"/>
      <c r="Y279" s="95" t="str">
        <f t="shared" si="49"/>
        <v/>
      </c>
      <c r="Z279" s="172"/>
      <c r="AA279" s="95" t="str">
        <f t="shared" si="50"/>
        <v/>
      </c>
      <c r="AB279" s="150"/>
      <c r="AC279" s="95" t="str">
        <f t="shared" si="51"/>
        <v/>
      </c>
      <c r="AD279" s="150"/>
      <c r="AE279" s="95" t="str">
        <f t="shared" si="52"/>
        <v/>
      </c>
      <c r="AF279" s="150"/>
      <c r="AG279" s="95" t="str">
        <f t="shared" si="53"/>
        <v/>
      </c>
      <c r="AH279" s="150"/>
      <c r="AI279" s="95" t="str">
        <f t="shared" si="54"/>
        <v/>
      </c>
      <c r="AJ279" s="150"/>
      <c r="AK279" s="27" t="str">
        <f t="shared" si="55"/>
        <v/>
      </c>
      <c r="AL279" s="48" t="str">
        <f t="shared" si="56"/>
        <v/>
      </c>
      <c r="AM279" s="48" t="str">
        <f t="shared" si="57"/>
        <v/>
      </c>
      <c r="AN279" s="196"/>
      <c r="AO279" s="196"/>
      <c r="AP279" s="196"/>
      <c r="AQ279" s="196"/>
      <c r="AR279" s="196"/>
      <c r="AS279" s="196"/>
      <c r="AT279" s="196"/>
      <c r="AU279" s="197" t="str">
        <f>IFERROR(VLOOKUP(AT279,'Seguridad Información'!$I$61:$J$65,2,0),"")</f>
        <v/>
      </c>
      <c r="AV279" s="79"/>
      <c r="AW279" s="78" t="str">
        <f t="shared" si="48"/>
        <v/>
      </c>
      <c r="AX279" s="77" t="str">
        <f t="shared" si="58"/>
        <v/>
      </c>
      <c r="AY279" s="21" t="str">
        <f>IFERROR(VLOOKUP((CONCATENATE(AM279,AX279)),Listados!$U$3:$V$11,2,FALSE),"")</f>
        <v/>
      </c>
      <c r="AZ279" s="48">
        <f t="shared" si="59"/>
        <v>100</v>
      </c>
      <c r="BA279" s="431"/>
      <c r="BB279" s="433"/>
      <c r="BC279" s="169">
        <f>+IF(AND(W279="Preventivo",BB277="Fuerte"),2,IF(AND(W279="Preventivo",BB277="Moderado"),1,0))</f>
        <v>0</v>
      </c>
      <c r="BD279" s="64">
        <f>+IF(AND(W279="Detectivo/Correctivo",$BB277="Fuerte"),2,IF(AND(W279="Detectivo/Correctivo",$BB279="Moderado"),1,IF(AND(W279="Preventivo",$BB277="Fuerte"),1,0)))</f>
        <v>0</v>
      </c>
      <c r="BE279" s="169" t="e">
        <f>+N277-BC279</f>
        <v>#N/A</v>
      </c>
      <c r="BF279" s="169" t="e">
        <f>+P277-BD279</f>
        <v>#N/A</v>
      </c>
      <c r="BG279" s="422"/>
      <c r="BH279" s="422"/>
      <c r="BI279" s="422"/>
      <c r="BJ279" s="645"/>
      <c r="BK279" s="645"/>
      <c r="BL279" s="645"/>
      <c r="BM279" s="645"/>
    </row>
    <row r="280" spans="1:65" ht="65.099999999999994" customHeight="1" thickBot="1">
      <c r="A280" s="405"/>
      <c r="B280" s="625"/>
      <c r="C280" s="440"/>
      <c r="D280" s="152"/>
      <c r="E280" s="152"/>
      <c r="F280" s="475"/>
      <c r="G280" s="443"/>
      <c r="H280" s="100"/>
      <c r="I280" s="128"/>
      <c r="J280" s="100"/>
      <c r="K280" s="147"/>
      <c r="L280" s="129"/>
      <c r="M280" s="446"/>
      <c r="N280" s="425"/>
      <c r="O280" s="428"/>
      <c r="P280" s="425"/>
      <c r="Q280" s="429"/>
      <c r="R280" s="422"/>
      <c r="S280" s="150"/>
      <c r="T280" s="97"/>
      <c r="U280" s="47" t="s">
        <v>627</v>
      </c>
      <c r="V280" s="172"/>
      <c r="W280" s="172"/>
      <c r="X280" s="172"/>
      <c r="Y280" s="95" t="str">
        <f t="shared" si="49"/>
        <v/>
      </c>
      <c r="Z280" s="172"/>
      <c r="AA280" s="95" t="str">
        <f t="shared" si="50"/>
        <v/>
      </c>
      <c r="AB280" s="150"/>
      <c r="AC280" s="95" t="str">
        <f t="shared" si="51"/>
        <v/>
      </c>
      <c r="AD280" s="150"/>
      <c r="AE280" s="95" t="str">
        <f t="shared" si="52"/>
        <v/>
      </c>
      <c r="AF280" s="150"/>
      <c r="AG280" s="95" t="str">
        <f t="shared" si="53"/>
        <v/>
      </c>
      <c r="AH280" s="150"/>
      <c r="AI280" s="95" t="str">
        <f t="shared" si="54"/>
        <v/>
      </c>
      <c r="AJ280" s="150"/>
      <c r="AK280" s="27" t="str">
        <f t="shared" si="55"/>
        <v/>
      </c>
      <c r="AL280" s="48" t="str">
        <f t="shared" si="56"/>
        <v/>
      </c>
      <c r="AM280" s="48" t="str">
        <f t="shared" si="57"/>
        <v/>
      </c>
      <c r="AN280" s="196"/>
      <c r="AO280" s="196"/>
      <c r="AP280" s="196"/>
      <c r="AQ280" s="196"/>
      <c r="AR280" s="196"/>
      <c r="AS280" s="196"/>
      <c r="AT280" s="196"/>
      <c r="AU280" s="197" t="str">
        <f>IFERROR(VLOOKUP(AT280,'Seguridad Información'!$I$61:$J$65,2,0),"")</f>
        <v/>
      </c>
      <c r="AV280" s="79"/>
      <c r="AW280" s="78" t="str">
        <f t="shared" si="48"/>
        <v/>
      </c>
      <c r="AX280" s="77" t="str">
        <f t="shared" si="58"/>
        <v/>
      </c>
      <c r="AY280" s="21" t="str">
        <f>IFERROR(VLOOKUP((CONCATENATE(AM280,AX280)),Listados!$U$3:$V$11,2,FALSE),"")</f>
        <v/>
      </c>
      <c r="AZ280" s="48">
        <f t="shared" si="59"/>
        <v>100</v>
      </c>
      <c r="BA280" s="431"/>
      <c r="BB280" s="433"/>
      <c r="BC280" s="169">
        <f>+IF(AND(W280="Preventivo",BB277="Fuerte"),2,IF(AND(W280="Preventivo",BB277="Moderado"),1,0))</f>
        <v>0</v>
      </c>
      <c r="BD280" s="64">
        <f>+IF(AND(W280="Detectivo/Correctivo",$BB277="Fuerte"),2,IF(AND(W280="Detectivo/Correctivo",$BB280="Moderado"),1,IF(AND(W280="Preventivo",$BB277="Fuerte"),1,0)))</f>
        <v>0</v>
      </c>
      <c r="BE280" s="169" t="e">
        <f>+N277-BC280</f>
        <v>#N/A</v>
      </c>
      <c r="BF280" s="169" t="e">
        <f>+P277-BD280</f>
        <v>#N/A</v>
      </c>
      <c r="BG280" s="422"/>
      <c r="BH280" s="422"/>
      <c r="BI280" s="422"/>
      <c r="BJ280" s="645"/>
      <c r="BK280" s="645"/>
      <c r="BL280" s="645"/>
      <c r="BM280" s="645"/>
    </row>
    <row r="281" spans="1:65" ht="65.099999999999994" customHeight="1" thickBot="1">
      <c r="A281" s="405"/>
      <c r="B281" s="625"/>
      <c r="C281" s="440"/>
      <c r="D281" s="109"/>
      <c r="E281" s="109"/>
      <c r="F281" s="475"/>
      <c r="G281" s="443"/>
      <c r="H281" s="100"/>
      <c r="I281" s="128"/>
      <c r="J281" s="100"/>
      <c r="K281" s="29"/>
      <c r="L281" s="129"/>
      <c r="M281" s="446"/>
      <c r="N281" s="425"/>
      <c r="O281" s="428"/>
      <c r="P281" s="425"/>
      <c r="Q281" s="429"/>
      <c r="R281" s="422"/>
      <c r="S281" s="150"/>
      <c r="T281" s="198"/>
      <c r="U281" s="47" t="s">
        <v>627</v>
      </c>
      <c r="V281" s="172"/>
      <c r="W281" s="172"/>
      <c r="X281" s="172"/>
      <c r="Y281" s="95" t="str">
        <f t="shared" si="49"/>
        <v/>
      </c>
      <c r="Z281" s="172"/>
      <c r="AA281" s="95" t="str">
        <f t="shared" si="50"/>
        <v/>
      </c>
      <c r="AB281" s="150"/>
      <c r="AC281" s="95" t="str">
        <f t="shared" si="51"/>
        <v/>
      </c>
      <c r="AD281" s="150"/>
      <c r="AE281" s="95" t="str">
        <f t="shared" si="52"/>
        <v/>
      </c>
      <c r="AF281" s="150"/>
      <c r="AG281" s="95" t="str">
        <f t="shared" si="53"/>
        <v/>
      </c>
      <c r="AH281" s="150"/>
      <c r="AI281" s="95" t="str">
        <f t="shared" si="54"/>
        <v/>
      </c>
      <c r="AJ281" s="150"/>
      <c r="AK281" s="27" t="str">
        <f t="shared" si="55"/>
        <v/>
      </c>
      <c r="AL281" s="48" t="str">
        <f t="shared" si="56"/>
        <v/>
      </c>
      <c r="AM281" s="48" t="str">
        <f t="shared" si="57"/>
        <v/>
      </c>
      <c r="AN281" s="196"/>
      <c r="AO281" s="196"/>
      <c r="AP281" s="196"/>
      <c r="AQ281" s="196"/>
      <c r="AR281" s="196"/>
      <c r="AS281" s="196"/>
      <c r="AT281" s="196"/>
      <c r="AU281" s="197" t="str">
        <f>IFERROR(VLOOKUP(AT281,'Seguridad Información'!$I$61:$J$65,2,0),"")</f>
        <v/>
      </c>
      <c r="AV281" s="79"/>
      <c r="AW281" s="78" t="str">
        <f t="shared" si="48"/>
        <v/>
      </c>
      <c r="AX281" s="77" t="str">
        <f t="shared" si="58"/>
        <v/>
      </c>
      <c r="AY281" s="21" t="str">
        <f>IFERROR(VLOOKUP((CONCATENATE(AM281,AX281)),Listados!$U$3:$V$11,2,FALSE),"")</f>
        <v/>
      </c>
      <c r="AZ281" s="48">
        <f t="shared" si="59"/>
        <v>100</v>
      </c>
      <c r="BA281" s="431"/>
      <c r="BB281" s="433"/>
      <c r="BC281" s="169">
        <f>+IF(AND(W281="Preventivo",BB277="Fuerte"),2,IF(AND(W281="Preventivo",BB277="Moderado"),1,0))</f>
        <v>0</v>
      </c>
      <c r="BD281" s="64">
        <f>+IF(AND(W281="Detectivo/Correctivo",$BB277="Fuerte"),2,IF(AND(W281="Detectivo/Correctivo",$BB281="Moderado"),1,IF(AND(W281="Preventivo",$BB277="Fuerte"),1,0)))</f>
        <v>0</v>
      </c>
      <c r="BE281" s="169" t="e">
        <f>+N277-BC281</f>
        <v>#N/A</v>
      </c>
      <c r="BF281" s="169" t="e">
        <f>+P277-BD281</f>
        <v>#N/A</v>
      </c>
      <c r="BG281" s="422"/>
      <c r="BH281" s="422"/>
      <c r="BI281" s="422"/>
      <c r="BJ281" s="645"/>
      <c r="BK281" s="645"/>
      <c r="BL281" s="645"/>
      <c r="BM281" s="645"/>
    </row>
    <row r="282" spans="1:65" ht="65.099999999999994" customHeight="1" thickBot="1">
      <c r="A282" s="406"/>
      <c r="B282" s="625"/>
      <c r="C282" s="441"/>
      <c r="D282" s="106"/>
      <c r="E282" s="106"/>
      <c r="F282" s="619"/>
      <c r="G282" s="444"/>
      <c r="H282" s="100"/>
      <c r="I282" s="128"/>
      <c r="J282" s="100"/>
      <c r="K282" s="31"/>
      <c r="L282" s="129"/>
      <c r="M282" s="446"/>
      <c r="N282" s="426"/>
      <c r="O282" s="428"/>
      <c r="P282" s="426"/>
      <c r="Q282" s="429"/>
      <c r="R282" s="423"/>
      <c r="S282" s="150"/>
      <c r="T282" s="98"/>
      <c r="U282" s="47" t="s">
        <v>627</v>
      </c>
      <c r="V282" s="172"/>
      <c r="W282" s="172"/>
      <c r="X282" s="172"/>
      <c r="Y282" s="95" t="str">
        <f t="shared" si="49"/>
        <v/>
      </c>
      <c r="Z282" s="172"/>
      <c r="AA282" s="95" t="str">
        <f t="shared" si="50"/>
        <v/>
      </c>
      <c r="AB282" s="150"/>
      <c r="AC282" s="95" t="str">
        <f t="shared" si="51"/>
        <v/>
      </c>
      <c r="AD282" s="150"/>
      <c r="AE282" s="95" t="str">
        <f t="shared" si="52"/>
        <v/>
      </c>
      <c r="AF282" s="150"/>
      <c r="AG282" s="95" t="str">
        <f t="shared" si="53"/>
        <v/>
      </c>
      <c r="AH282" s="150"/>
      <c r="AI282" s="95" t="str">
        <f t="shared" si="54"/>
        <v/>
      </c>
      <c r="AJ282" s="150"/>
      <c r="AK282" s="27" t="str">
        <f t="shared" si="55"/>
        <v/>
      </c>
      <c r="AL282" s="48" t="str">
        <f t="shared" si="56"/>
        <v/>
      </c>
      <c r="AM282" s="48" t="str">
        <f t="shared" si="57"/>
        <v/>
      </c>
      <c r="AN282" s="196"/>
      <c r="AO282" s="196"/>
      <c r="AP282" s="196"/>
      <c r="AQ282" s="196"/>
      <c r="AR282" s="196"/>
      <c r="AS282" s="196"/>
      <c r="AT282" s="196"/>
      <c r="AU282" s="197" t="str">
        <f>IFERROR(VLOOKUP(AT282,'Seguridad Información'!$I$61:$J$65,2,0),"")</f>
        <v/>
      </c>
      <c r="AV282" s="79"/>
      <c r="AW282" s="78" t="str">
        <f t="shared" si="48"/>
        <v/>
      </c>
      <c r="AX282" s="77" t="str">
        <f t="shared" si="58"/>
        <v/>
      </c>
      <c r="AY282" s="21" t="str">
        <f>IFERROR(VLOOKUP((CONCATENATE(AM282,AX282)),Listados!$U$3:$V$11,2,FALSE),"")</f>
        <v/>
      </c>
      <c r="AZ282" s="48">
        <f t="shared" si="59"/>
        <v>100</v>
      </c>
      <c r="BA282" s="432"/>
      <c r="BB282" s="433"/>
      <c r="BC282" s="169">
        <f>+IF(AND(W282="Preventivo",BB277="Fuerte"),2,IF(AND(W282="Preventivo",BB277="Moderado"),1,0))</f>
        <v>0</v>
      </c>
      <c r="BD282" s="64">
        <f>+IF(AND(W282="Detectivo/Correctivo",$BB277="Fuerte"),2,IF(AND(W282="Detectivo/Correctivo",$BB282="Moderado"),1,IF(AND(W282="Preventivo",$BB277="Fuerte"),1,0)))</f>
        <v>0</v>
      </c>
      <c r="BE282" s="169" t="e">
        <f>+N277-BC282</f>
        <v>#N/A</v>
      </c>
      <c r="BF282" s="169" t="e">
        <f>+P277-BD282</f>
        <v>#N/A</v>
      </c>
      <c r="BG282" s="423"/>
      <c r="BH282" s="423"/>
      <c r="BI282" s="423"/>
      <c r="BJ282" s="646"/>
      <c r="BK282" s="646"/>
      <c r="BL282" s="646"/>
      <c r="BM282" s="646"/>
    </row>
    <row r="283" spans="1:65" ht="65.099999999999994" customHeight="1" thickBot="1">
      <c r="A283" s="404">
        <v>47</v>
      </c>
      <c r="B283" s="628"/>
      <c r="C283" s="447" t="str">
        <f>IFERROR(VLOOKUP(B283,Listados!B$3:C$20,2,FALSE),"")</f>
        <v/>
      </c>
      <c r="D283" s="107"/>
      <c r="E283" s="107"/>
      <c r="F283" s="618"/>
      <c r="G283" s="448"/>
      <c r="H283" s="100"/>
      <c r="I283" s="128"/>
      <c r="J283" s="100"/>
      <c r="K283" s="103"/>
      <c r="L283" s="17"/>
      <c r="M283" s="445"/>
      <c r="N283" s="424" t="e">
        <f>+VLOOKUP(M283,Listados!$K$8:$L$12,2,0)</f>
        <v>#N/A</v>
      </c>
      <c r="O283" s="427"/>
      <c r="P283" s="424" t="e">
        <f>+VLOOKUP(O283,Listados!$K$13:$L$17,2,0)</f>
        <v>#N/A</v>
      </c>
      <c r="Q283" s="423" t="str">
        <f>IF(AND(M283&lt;&gt;"",O283&lt;&gt;""),VLOOKUP(M283&amp;O283,Listados!$M$3:$N$27,2,FALSE),"")</f>
        <v/>
      </c>
      <c r="R283" s="421" t="e">
        <f>+VLOOKUP(Q283,Listados!$P$3:$Q$6,2,FALSE)</f>
        <v>#N/A</v>
      </c>
      <c r="S283" s="150"/>
      <c r="T283" s="94"/>
      <c r="U283" s="47" t="s">
        <v>627</v>
      </c>
      <c r="V283" s="172"/>
      <c r="W283" s="172"/>
      <c r="X283" s="172"/>
      <c r="Y283" s="95" t="str">
        <f t="shared" si="49"/>
        <v/>
      </c>
      <c r="Z283" s="172"/>
      <c r="AA283" s="95" t="str">
        <f t="shared" si="50"/>
        <v/>
      </c>
      <c r="AB283" s="150"/>
      <c r="AC283" s="95" t="str">
        <f t="shared" si="51"/>
        <v/>
      </c>
      <c r="AD283" s="150"/>
      <c r="AE283" s="95" t="str">
        <f t="shared" si="52"/>
        <v/>
      </c>
      <c r="AF283" s="150"/>
      <c r="AG283" s="95" t="str">
        <f t="shared" si="53"/>
        <v/>
      </c>
      <c r="AH283" s="150"/>
      <c r="AI283" s="95" t="str">
        <f t="shared" si="54"/>
        <v/>
      </c>
      <c r="AJ283" s="150"/>
      <c r="AK283" s="27" t="str">
        <f t="shared" si="55"/>
        <v/>
      </c>
      <c r="AL283" s="48" t="str">
        <f t="shared" si="56"/>
        <v/>
      </c>
      <c r="AM283" s="48" t="str">
        <f t="shared" si="57"/>
        <v/>
      </c>
      <c r="AN283" s="196"/>
      <c r="AO283" s="196"/>
      <c r="AP283" s="196"/>
      <c r="AQ283" s="196"/>
      <c r="AR283" s="196"/>
      <c r="AS283" s="196"/>
      <c r="AT283" s="196"/>
      <c r="AU283" s="197" t="str">
        <f>IFERROR(VLOOKUP(AT283,'Seguridad Información'!$I$61:$J$65,2,0),"")</f>
        <v/>
      </c>
      <c r="AV283" s="79"/>
      <c r="AW283" s="78" t="str">
        <f t="shared" si="48"/>
        <v/>
      </c>
      <c r="AX283" s="77" t="str">
        <f t="shared" si="58"/>
        <v/>
      </c>
      <c r="AY283" s="21" t="str">
        <f>IFERROR(VLOOKUP((CONCATENATE(AM283,AX283)),Listados!$U$3:$V$11,2,FALSE),"")</f>
        <v/>
      </c>
      <c r="AZ283" s="48">
        <f t="shared" si="59"/>
        <v>100</v>
      </c>
      <c r="BA283" s="430">
        <f>AVERAGE(AZ283:AZ288)</f>
        <v>100</v>
      </c>
      <c r="BB283" s="432" t="str">
        <f>IF(BA283&lt;=50, "Débil", IF(BA283&lt;=99,"Moderado","Fuerte"))</f>
        <v>Fuerte</v>
      </c>
      <c r="BC283" s="169">
        <f>+IF(AND(W283="Preventivo",BB283="Fuerte"),2,IF(AND(W283="Preventivo",BB283="Moderado"),1,0))</f>
        <v>0</v>
      </c>
      <c r="BD283" s="64">
        <f>+IF(AND(W283="Detectivo/Correctivo",$BB283="Fuerte"),2,IF(AND(W283="Detectivo/Correctivo",$BB283="Moderado"),1,IF(AND(W283="Preventivo",$BB283="Fuerte"),1,0)))</f>
        <v>0</v>
      </c>
      <c r="BE283" s="169" t="e">
        <f>+N283-BC283</f>
        <v>#N/A</v>
      </c>
      <c r="BF283" s="169" t="e">
        <f>+P283-BD283</f>
        <v>#N/A</v>
      </c>
      <c r="BG283" s="421" t="e">
        <f>+VLOOKUP(MIN(BE283,BE284,BE285,BE286,BE287,BE288),Listados!$J$18:$K$24,2,TRUE)</f>
        <v>#N/A</v>
      </c>
      <c r="BH283" s="421" t="e">
        <f>+VLOOKUP(MIN(BF283,BF284,BF285,BF286,BF287,BF288),Listados!$J$27:$K$32,2,TRUE)</f>
        <v>#N/A</v>
      </c>
      <c r="BI283" s="421" t="e">
        <f>IF(AND(BG283&lt;&gt;"",BH283&lt;&gt;""),VLOOKUP(BG283&amp;BH283,Listados!$M$3:$N$27,2,FALSE),"")</f>
        <v>#N/A</v>
      </c>
      <c r="BJ283" s="644" t="e">
        <f>+IF($R283="Asumir el riesgo","NA","")</f>
        <v>#N/A</v>
      </c>
      <c r="BK283" s="644" t="e">
        <f>+IF($R283="Asumir el riesgo","NA","")</f>
        <v>#N/A</v>
      </c>
      <c r="BL283" s="644" t="e">
        <f>+IF($R283="Asumir el riesgo","NA","")</f>
        <v>#N/A</v>
      </c>
      <c r="BM283" s="644" t="e">
        <f>+IF($R283="Asumir el riesgo","NA","")</f>
        <v>#N/A</v>
      </c>
    </row>
    <row r="284" spans="1:65" ht="65.099999999999994" customHeight="1" thickBot="1">
      <c r="A284" s="405"/>
      <c r="B284" s="625"/>
      <c r="C284" s="440"/>
      <c r="D284" s="152"/>
      <c r="E284" s="152"/>
      <c r="F284" s="475"/>
      <c r="G284" s="443"/>
      <c r="H284" s="100"/>
      <c r="I284" s="128"/>
      <c r="J284" s="100"/>
      <c r="K284" s="147"/>
      <c r="L284" s="129"/>
      <c r="M284" s="446"/>
      <c r="N284" s="425"/>
      <c r="O284" s="428"/>
      <c r="P284" s="425"/>
      <c r="Q284" s="429"/>
      <c r="R284" s="422"/>
      <c r="S284" s="150"/>
      <c r="T284" s="198"/>
      <c r="U284" s="47" t="s">
        <v>627</v>
      </c>
      <c r="V284" s="172"/>
      <c r="W284" s="172"/>
      <c r="X284" s="172"/>
      <c r="Y284" s="95" t="str">
        <f t="shared" si="49"/>
        <v/>
      </c>
      <c r="Z284" s="172"/>
      <c r="AA284" s="95" t="str">
        <f t="shared" si="50"/>
        <v/>
      </c>
      <c r="AB284" s="150"/>
      <c r="AC284" s="95" t="str">
        <f t="shared" si="51"/>
        <v/>
      </c>
      <c r="AD284" s="150"/>
      <c r="AE284" s="95" t="str">
        <f t="shared" si="52"/>
        <v/>
      </c>
      <c r="AF284" s="150"/>
      <c r="AG284" s="95" t="str">
        <f t="shared" si="53"/>
        <v/>
      </c>
      <c r="AH284" s="150"/>
      <c r="AI284" s="95" t="str">
        <f t="shared" si="54"/>
        <v/>
      </c>
      <c r="AJ284" s="150"/>
      <c r="AK284" s="27" t="str">
        <f t="shared" si="55"/>
        <v/>
      </c>
      <c r="AL284" s="48" t="str">
        <f t="shared" si="56"/>
        <v/>
      </c>
      <c r="AM284" s="48" t="str">
        <f t="shared" si="57"/>
        <v/>
      </c>
      <c r="AN284" s="196"/>
      <c r="AO284" s="196"/>
      <c r="AP284" s="196"/>
      <c r="AQ284" s="196"/>
      <c r="AR284" s="196"/>
      <c r="AS284" s="196"/>
      <c r="AT284" s="196"/>
      <c r="AU284" s="197" t="str">
        <f>IFERROR(VLOOKUP(AT284,'Seguridad Información'!$I$61:$J$65,2,0),"")</f>
        <v/>
      </c>
      <c r="AV284" s="79"/>
      <c r="AW284" s="78" t="str">
        <f t="shared" si="48"/>
        <v/>
      </c>
      <c r="AX284" s="77" t="str">
        <f t="shared" si="58"/>
        <v/>
      </c>
      <c r="AY284" s="21" t="str">
        <f>IFERROR(VLOOKUP((CONCATENATE(AM284,AX284)),Listados!$U$3:$V$11,2,FALSE),"")</f>
        <v/>
      </c>
      <c r="AZ284" s="48">
        <f t="shared" si="59"/>
        <v>100</v>
      </c>
      <c r="BA284" s="431"/>
      <c r="BB284" s="433"/>
      <c r="BC284" s="169">
        <f>+IF(AND(W284="Preventivo",BB283="Fuerte"),2,IF(AND(W284="Preventivo",BB283="Moderado"),1,0))</f>
        <v>0</v>
      </c>
      <c r="BD284" s="64">
        <f>+IF(AND(W284="Detectivo/Correctivo",$BB283="Fuerte"),2,IF(AND(W284="Detectivo/Correctivo",$BB284="Moderado"),1,IF(AND(W284="Preventivo",$BB283="Fuerte"),1,0)))</f>
        <v>0</v>
      </c>
      <c r="BE284" s="169" t="e">
        <f>+N283-BC284</f>
        <v>#N/A</v>
      </c>
      <c r="BF284" s="169" t="e">
        <f>+P283-BD284</f>
        <v>#N/A</v>
      </c>
      <c r="BG284" s="422"/>
      <c r="BH284" s="422"/>
      <c r="BI284" s="422"/>
      <c r="BJ284" s="645"/>
      <c r="BK284" s="645"/>
      <c r="BL284" s="645"/>
      <c r="BM284" s="645"/>
    </row>
    <row r="285" spans="1:65" ht="65.099999999999994" customHeight="1" thickBot="1">
      <c r="A285" s="405"/>
      <c r="B285" s="625"/>
      <c r="C285" s="440"/>
      <c r="D285" s="152"/>
      <c r="E285" s="152"/>
      <c r="F285" s="475"/>
      <c r="G285" s="443"/>
      <c r="H285" s="100"/>
      <c r="I285" s="128"/>
      <c r="J285" s="100"/>
      <c r="K285" s="147"/>
      <c r="L285" s="129"/>
      <c r="M285" s="446"/>
      <c r="N285" s="425"/>
      <c r="O285" s="428"/>
      <c r="P285" s="425"/>
      <c r="Q285" s="429"/>
      <c r="R285" s="422"/>
      <c r="S285" s="150"/>
      <c r="T285" s="96"/>
      <c r="U285" s="47" t="s">
        <v>627</v>
      </c>
      <c r="V285" s="172"/>
      <c r="W285" s="172"/>
      <c r="X285" s="172"/>
      <c r="Y285" s="95" t="str">
        <f t="shared" si="49"/>
        <v/>
      </c>
      <c r="Z285" s="172"/>
      <c r="AA285" s="95" t="str">
        <f t="shared" si="50"/>
        <v/>
      </c>
      <c r="AB285" s="150"/>
      <c r="AC285" s="95" t="str">
        <f t="shared" si="51"/>
        <v/>
      </c>
      <c r="AD285" s="150"/>
      <c r="AE285" s="95" t="str">
        <f t="shared" si="52"/>
        <v/>
      </c>
      <c r="AF285" s="150"/>
      <c r="AG285" s="95" t="str">
        <f t="shared" si="53"/>
        <v/>
      </c>
      <c r="AH285" s="150"/>
      <c r="AI285" s="95" t="str">
        <f t="shared" si="54"/>
        <v/>
      </c>
      <c r="AJ285" s="150"/>
      <c r="AK285" s="27" t="str">
        <f t="shared" si="55"/>
        <v/>
      </c>
      <c r="AL285" s="48" t="str">
        <f t="shared" si="56"/>
        <v/>
      </c>
      <c r="AM285" s="48" t="str">
        <f t="shared" si="57"/>
        <v/>
      </c>
      <c r="AN285" s="196"/>
      <c r="AO285" s="196"/>
      <c r="AP285" s="196"/>
      <c r="AQ285" s="196"/>
      <c r="AR285" s="196"/>
      <c r="AS285" s="196"/>
      <c r="AT285" s="196"/>
      <c r="AU285" s="197" t="str">
        <f>IFERROR(VLOOKUP(AT285,'Seguridad Información'!$I$61:$J$65,2,0),"")</f>
        <v/>
      </c>
      <c r="AV285" s="79"/>
      <c r="AW285" s="78" t="str">
        <f t="shared" si="48"/>
        <v/>
      </c>
      <c r="AX285" s="77" t="str">
        <f t="shared" si="58"/>
        <v/>
      </c>
      <c r="AY285" s="21" t="str">
        <f>IFERROR(VLOOKUP((CONCATENATE(AM285,AX285)),Listados!$U$3:$V$11,2,FALSE),"")</f>
        <v/>
      </c>
      <c r="AZ285" s="48">
        <f t="shared" si="59"/>
        <v>100</v>
      </c>
      <c r="BA285" s="431"/>
      <c r="BB285" s="433"/>
      <c r="BC285" s="169">
        <f>+IF(AND(W285="Preventivo",BB283="Fuerte"),2,IF(AND(W285="Preventivo",BB283="Moderado"),1,0))</f>
        <v>0</v>
      </c>
      <c r="BD285" s="64">
        <f>+IF(AND(W285="Detectivo/Correctivo",$BB283="Fuerte"),2,IF(AND(W285="Detectivo/Correctivo",$BB285="Moderado"),1,IF(AND(W285="Preventivo",$BB283="Fuerte"),1,0)))</f>
        <v>0</v>
      </c>
      <c r="BE285" s="169" t="e">
        <f>+N283-BC285</f>
        <v>#N/A</v>
      </c>
      <c r="BF285" s="169" t="e">
        <f>+P283-BD285</f>
        <v>#N/A</v>
      </c>
      <c r="BG285" s="422"/>
      <c r="BH285" s="422"/>
      <c r="BI285" s="422"/>
      <c r="BJ285" s="645"/>
      <c r="BK285" s="645"/>
      <c r="BL285" s="645"/>
      <c r="BM285" s="645"/>
    </row>
    <row r="286" spans="1:65" ht="65.099999999999994" customHeight="1" thickBot="1">
      <c r="A286" s="405"/>
      <c r="B286" s="625"/>
      <c r="C286" s="440"/>
      <c r="D286" s="152"/>
      <c r="E286" s="152"/>
      <c r="F286" s="475"/>
      <c r="G286" s="443"/>
      <c r="H286" s="100"/>
      <c r="I286" s="128"/>
      <c r="J286" s="100"/>
      <c r="K286" s="147"/>
      <c r="L286" s="129"/>
      <c r="M286" s="446"/>
      <c r="N286" s="425"/>
      <c r="O286" s="428"/>
      <c r="P286" s="425"/>
      <c r="Q286" s="429"/>
      <c r="R286" s="422"/>
      <c r="S286" s="150"/>
      <c r="T286" s="97"/>
      <c r="U286" s="47" t="s">
        <v>627</v>
      </c>
      <c r="V286" s="172"/>
      <c r="W286" s="172"/>
      <c r="X286" s="172"/>
      <c r="Y286" s="95" t="str">
        <f t="shared" si="49"/>
        <v/>
      </c>
      <c r="Z286" s="172"/>
      <c r="AA286" s="95" t="str">
        <f t="shared" si="50"/>
        <v/>
      </c>
      <c r="AB286" s="150"/>
      <c r="AC286" s="95" t="str">
        <f t="shared" si="51"/>
        <v/>
      </c>
      <c r="AD286" s="150"/>
      <c r="AE286" s="95" t="str">
        <f t="shared" si="52"/>
        <v/>
      </c>
      <c r="AF286" s="150"/>
      <c r="AG286" s="95" t="str">
        <f t="shared" si="53"/>
        <v/>
      </c>
      <c r="AH286" s="150"/>
      <c r="AI286" s="95" t="str">
        <f t="shared" si="54"/>
        <v/>
      </c>
      <c r="AJ286" s="150"/>
      <c r="AK286" s="27" t="str">
        <f t="shared" si="55"/>
        <v/>
      </c>
      <c r="AL286" s="48" t="str">
        <f t="shared" si="56"/>
        <v/>
      </c>
      <c r="AM286" s="48" t="str">
        <f t="shared" si="57"/>
        <v/>
      </c>
      <c r="AN286" s="196"/>
      <c r="AO286" s="196"/>
      <c r="AP286" s="196"/>
      <c r="AQ286" s="196"/>
      <c r="AR286" s="196"/>
      <c r="AS286" s="196"/>
      <c r="AT286" s="196"/>
      <c r="AU286" s="197" t="str">
        <f>IFERROR(VLOOKUP(AT286,'Seguridad Información'!$I$61:$J$65,2,0),"")</f>
        <v/>
      </c>
      <c r="AV286" s="79"/>
      <c r="AW286" s="78" t="str">
        <f t="shared" si="48"/>
        <v/>
      </c>
      <c r="AX286" s="77" t="str">
        <f t="shared" si="58"/>
        <v/>
      </c>
      <c r="AY286" s="21" t="str">
        <f>IFERROR(VLOOKUP((CONCATENATE(AM286,AX286)),Listados!$U$3:$V$11,2,FALSE),"")</f>
        <v/>
      </c>
      <c r="AZ286" s="48">
        <f t="shared" si="59"/>
        <v>100</v>
      </c>
      <c r="BA286" s="431"/>
      <c r="BB286" s="433"/>
      <c r="BC286" s="169">
        <f>+IF(AND(W286="Preventivo",BB283="Fuerte"),2,IF(AND(W286="Preventivo",BB283="Moderado"),1,0))</f>
        <v>0</v>
      </c>
      <c r="BD286" s="64">
        <f>+IF(AND(W286="Detectivo/Correctivo",$BB283="Fuerte"),2,IF(AND(W286="Detectivo/Correctivo",$BB286="Moderado"),1,IF(AND(W286="Preventivo",$BB283="Fuerte"),1,0)))</f>
        <v>0</v>
      </c>
      <c r="BE286" s="169" t="e">
        <f>+N283-BC286</f>
        <v>#N/A</v>
      </c>
      <c r="BF286" s="169" t="e">
        <f>+P283-BD286</f>
        <v>#N/A</v>
      </c>
      <c r="BG286" s="422"/>
      <c r="BH286" s="422"/>
      <c r="BI286" s="422"/>
      <c r="BJ286" s="645"/>
      <c r="BK286" s="645"/>
      <c r="BL286" s="645"/>
      <c r="BM286" s="645"/>
    </row>
    <row r="287" spans="1:65" ht="65.099999999999994" customHeight="1" thickBot="1">
      <c r="A287" s="405"/>
      <c r="B287" s="625"/>
      <c r="C287" s="440"/>
      <c r="D287" s="109"/>
      <c r="E287" s="109"/>
      <c r="F287" s="475"/>
      <c r="G287" s="443"/>
      <c r="H287" s="100"/>
      <c r="I287" s="128"/>
      <c r="J287" s="100"/>
      <c r="K287" s="29"/>
      <c r="L287" s="129"/>
      <c r="M287" s="446"/>
      <c r="N287" s="425"/>
      <c r="O287" s="428"/>
      <c r="P287" s="425"/>
      <c r="Q287" s="429"/>
      <c r="R287" s="422"/>
      <c r="S287" s="150"/>
      <c r="T287" s="198"/>
      <c r="U287" s="47" t="s">
        <v>627</v>
      </c>
      <c r="V287" s="172"/>
      <c r="W287" s="172"/>
      <c r="X287" s="172"/>
      <c r="Y287" s="95" t="str">
        <f t="shared" si="49"/>
        <v/>
      </c>
      <c r="Z287" s="172"/>
      <c r="AA287" s="95" t="str">
        <f t="shared" si="50"/>
        <v/>
      </c>
      <c r="AB287" s="150"/>
      <c r="AC287" s="95" t="str">
        <f t="shared" si="51"/>
        <v/>
      </c>
      <c r="AD287" s="150"/>
      <c r="AE287" s="95" t="str">
        <f t="shared" si="52"/>
        <v/>
      </c>
      <c r="AF287" s="150"/>
      <c r="AG287" s="95" t="str">
        <f t="shared" si="53"/>
        <v/>
      </c>
      <c r="AH287" s="150"/>
      <c r="AI287" s="95" t="str">
        <f t="shared" si="54"/>
        <v/>
      </c>
      <c r="AJ287" s="150"/>
      <c r="AK287" s="27" t="str">
        <f t="shared" si="55"/>
        <v/>
      </c>
      <c r="AL287" s="48" t="str">
        <f t="shared" si="56"/>
        <v/>
      </c>
      <c r="AM287" s="48" t="str">
        <f t="shared" si="57"/>
        <v/>
      </c>
      <c r="AN287" s="196"/>
      <c r="AO287" s="196"/>
      <c r="AP287" s="196"/>
      <c r="AQ287" s="196"/>
      <c r="AR287" s="196"/>
      <c r="AS287" s="196"/>
      <c r="AT287" s="196"/>
      <c r="AU287" s="197" t="str">
        <f>IFERROR(VLOOKUP(AT287,'Seguridad Información'!$I$61:$J$65,2,0),"")</f>
        <v/>
      </c>
      <c r="AV287" s="79"/>
      <c r="AW287" s="78" t="str">
        <f t="shared" si="48"/>
        <v/>
      </c>
      <c r="AX287" s="77" t="str">
        <f t="shared" si="58"/>
        <v/>
      </c>
      <c r="AY287" s="21" t="str">
        <f>IFERROR(VLOOKUP((CONCATENATE(AM287,AX287)),Listados!$U$3:$V$11,2,FALSE),"")</f>
        <v/>
      </c>
      <c r="AZ287" s="48">
        <f t="shared" si="59"/>
        <v>100</v>
      </c>
      <c r="BA287" s="431"/>
      <c r="BB287" s="433"/>
      <c r="BC287" s="169">
        <f>+IF(AND(W287="Preventivo",BB283="Fuerte"),2,IF(AND(W287="Preventivo",BB283="Moderado"),1,0))</f>
        <v>0</v>
      </c>
      <c r="BD287" s="64">
        <f>+IF(AND(W287="Detectivo/Correctivo",$BB283="Fuerte"),2,IF(AND(W287="Detectivo/Correctivo",$BB287="Moderado"),1,IF(AND(W287="Preventivo",$BB283="Fuerte"),1,0)))</f>
        <v>0</v>
      </c>
      <c r="BE287" s="169" t="e">
        <f>+N283-BC287</f>
        <v>#N/A</v>
      </c>
      <c r="BF287" s="169" t="e">
        <f>+P283-BD287</f>
        <v>#N/A</v>
      </c>
      <c r="BG287" s="422"/>
      <c r="BH287" s="422"/>
      <c r="BI287" s="422"/>
      <c r="BJ287" s="645"/>
      <c r="BK287" s="645"/>
      <c r="BL287" s="645"/>
      <c r="BM287" s="645"/>
    </row>
    <row r="288" spans="1:65" ht="65.099999999999994" customHeight="1" thickBot="1">
      <c r="A288" s="406"/>
      <c r="B288" s="625"/>
      <c r="C288" s="441"/>
      <c r="D288" s="106"/>
      <c r="E288" s="106"/>
      <c r="F288" s="619"/>
      <c r="G288" s="444"/>
      <c r="H288" s="100"/>
      <c r="I288" s="128"/>
      <c r="J288" s="100"/>
      <c r="K288" s="31"/>
      <c r="L288" s="129"/>
      <c r="M288" s="446"/>
      <c r="N288" s="426"/>
      <c r="O288" s="428"/>
      <c r="P288" s="426"/>
      <c r="Q288" s="429"/>
      <c r="R288" s="423"/>
      <c r="S288" s="150"/>
      <c r="T288" s="98"/>
      <c r="U288" s="47" t="s">
        <v>627</v>
      </c>
      <c r="V288" s="172"/>
      <c r="W288" s="172"/>
      <c r="X288" s="172"/>
      <c r="Y288" s="95" t="str">
        <f t="shared" si="49"/>
        <v/>
      </c>
      <c r="Z288" s="172"/>
      <c r="AA288" s="95" t="str">
        <f t="shared" si="50"/>
        <v/>
      </c>
      <c r="AB288" s="150"/>
      <c r="AC288" s="95" t="str">
        <f t="shared" si="51"/>
        <v/>
      </c>
      <c r="AD288" s="150"/>
      <c r="AE288" s="95" t="str">
        <f t="shared" si="52"/>
        <v/>
      </c>
      <c r="AF288" s="150"/>
      <c r="AG288" s="95" t="str">
        <f t="shared" si="53"/>
        <v/>
      </c>
      <c r="AH288" s="150"/>
      <c r="AI288" s="95" t="str">
        <f t="shared" si="54"/>
        <v/>
      </c>
      <c r="AJ288" s="150"/>
      <c r="AK288" s="27" t="str">
        <f t="shared" si="55"/>
        <v/>
      </c>
      <c r="AL288" s="48" t="str">
        <f t="shared" si="56"/>
        <v/>
      </c>
      <c r="AM288" s="48" t="str">
        <f t="shared" si="57"/>
        <v/>
      </c>
      <c r="AN288" s="196"/>
      <c r="AO288" s="196"/>
      <c r="AP288" s="196"/>
      <c r="AQ288" s="196"/>
      <c r="AR288" s="196"/>
      <c r="AS288" s="196"/>
      <c r="AT288" s="196"/>
      <c r="AU288" s="197" t="str">
        <f>IFERROR(VLOOKUP(AT288,'Seguridad Información'!$I$61:$J$65,2,0),"")</f>
        <v/>
      </c>
      <c r="AV288" s="79"/>
      <c r="AW288" s="78" t="str">
        <f t="shared" si="48"/>
        <v/>
      </c>
      <c r="AX288" s="77" t="str">
        <f t="shared" si="58"/>
        <v/>
      </c>
      <c r="AY288" s="21" t="str">
        <f>IFERROR(VLOOKUP((CONCATENATE(AM288,AX288)),Listados!$U$3:$V$11,2,FALSE),"")</f>
        <v/>
      </c>
      <c r="AZ288" s="48">
        <f t="shared" si="59"/>
        <v>100</v>
      </c>
      <c r="BA288" s="432"/>
      <c r="BB288" s="433"/>
      <c r="BC288" s="169">
        <f>+IF(AND(W288="Preventivo",BB283="Fuerte"),2,IF(AND(W288="Preventivo",BB283="Moderado"),1,0))</f>
        <v>0</v>
      </c>
      <c r="BD288" s="64">
        <f>+IF(AND(W288="Detectivo/Correctivo",$BB283="Fuerte"),2,IF(AND(W288="Detectivo/Correctivo",$BB288="Moderado"),1,IF(AND(W288="Preventivo",$BB283="Fuerte"),1,0)))</f>
        <v>0</v>
      </c>
      <c r="BE288" s="169" t="e">
        <f>+N283-BC288</f>
        <v>#N/A</v>
      </c>
      <c r="BF288" s="169" t="e">
        <f>+P283-BD288</f>
        <v>#N/A</v>
      </c>
      <c r="BG288" s="423"/>
      <c r="BH288" s="423"/>
      <c r="BI288" s="423"/>
      <c r="BJ288" s="646"/>
      <c r="BK288" s="646"/>
      <c r="BL288" s="646"/>
      <c r="BM288" s="646"/>
    </row>
    <row r="289" spans="1:65" ht="65.099999999999994" customHeight="1" thickBot="1">
      <c r="A289" s="404">
        <v>48</v>
      </c>
      <c r="B289" s="628"/>
      <c r="C289" s="447" t="str">
        <f>IFERROR(VLOOKUP(B289,Listados!B$3:C$20,2,FALSE),"")</f>
        <v/>
      </c>
      <c r="D289" s="107"/>
      <c r="E289" s="107"/>
      <c r="F289" s="618"/>
      <c r="G289" s="448"/>
      <c r="H289" s="100"/>
      <c r="I289" s="128"/>
      <c r="J289" s="100"/>
      <c r="K289" s="103"/>
      <c r="L289" s="17"/>
      <c r="M289" s="445"/>
      <c r="N289" s="424" t="e">
        <f>+VLOOKUP(M289,Listados!$K$8:$L$12,2,0)</f>
        <v>#N/A</v>
      </c>
      <c r="O289" s="427"/>
      <c r="P289" s="424" t="e">
        <f>+VLOOKUP(O289,Listados!$K$13:$L$17,2,0)</f>
        <v>#N/A</v>
      </c>
      <c r="Q289" s="423" t="str">
        <f>IF(AND(M289&lt;&gt;"",O289&lt;&gt;""),VLOOKUP(M289&amp;O289,Listados!$M$3:$N$27,2,FALSE),"")</f>
        <v/>
      </c>
      <c r="R289" s="421" t="e">
        <f>+VLOOKUP(Q289,Listados!$P$3:$Q$6,2,FALSE)</f>
        <v>#N/A</v>
      </c>
      <c r="S289" s="150"/>
      <c r="T289" s="94"/>
      <c r="U289" s="47" t="s">
        <v>627</v>
      </c>
      <c r="V289" s="172"/>
      <c r="W289" s="172"/>
      <c r="X289" s="172"/>
      <c r="Y289" s="95" t="str">
        <f t="shared" si="49"/>
        <v/>
      </c>
      <c r="Z289" s="172"/>
      <c r="AA289" s="95" t="str">
        <f t="shared" si="50"/>
        <v/>
      </c>
      <c r="AB289" s="150"/>
      <c r="AC289" s="95" t="str">
        <f t="shared" si="51"/>
        <v/>
      </c>
      <c r="AD289" s="150"/>
      <c r="AE289" s="95" t="str">
        <f t="shared" si="52"/>
        <v/>
      </c>
      <c r="AF289" s="150"/>
      <c r="AG289" s="95" t="str">
        <f t="shared" si="53"/>
        <v/>
      </c>
      <c r="AH289" s="150"/>
      <c r="AI289" s="95" t="str">
        <f t="shared" si="54"/>
        <v/>
      </c>
      <c r="AJ289" s="150"/>
      <c r="AK289" s="27" t="str">
        <f t="shared" si="55"/>
        <v/>
      </c>
      <c r="AL289" s="48" t="str">
        <f t="shared" si="56"/>
        <v/>
      </c>
      <c r="AM289" s="48" t="str">
        <f t="shared" si="57"/>
        <v/>
      </c>
      <c r="AN289" s="196"/>
      <c r="AO289" s="196"/>
      <c r="AP289" s="196"/>
      <c r="AQ289" s="196"/>
      <c r="AR289" s="196"/>
      <c r="AS289" s="196"/>
      <c r="AT289" s="196"/>
      <c r="AU289" s="197" t="str">
        <f>IFERROR(VLOOKUP(AT289,'Seguridad Información'!$I$61:$J$65,2,0),"")</f>
        <v/>
      </c>
      <c r="AV289" s="79"/>
      <c r="AW289" s="78" t="str">
        <f t="shared" si="48"/>
        <v/>
      </c>
      <c r="AX289" s="77" t="str">
        <f t="shared" si="58"/>
        <v/>
      </c>
      <c r="AY289" s="21" t="str">
        <f>IFERROR(VLOOKUP((CONCATENATE(AM289,AX289)),Listados!$U$3:$V$11,2,FALSE),"")</f>
        <v/>
      </c>
      <c r="AZ289" s="48">
        <f t="shared" si="59"/>
        <v>100</v>
      </c>
      <c r="BA289" s="430">
        <f>AVERAGE(AZ289:AZ294)</f>
        <v>100</v>
      </c>
      <c r="BB289" s="432" t="str">
        <f>IF(BA289&lt;=50, "Débil", IF(BA289&lt;=99,"Moderado","Fuerte"))</f>
        <v>Fuerte</v>
      </c>
      <c r="BC289" s="169">
        <f>+IF(AND(W289="Preventivo",BB289="Fuerte"),2,IF(AND(W289="Preventivo",BB289="Moderado"),1,0))</f>
        <v>0</v>
      </c>
      <c r="BD289" s="64">
        <f>+IF(AND(W289="Detectivo/Correctivo",$BB289="Fuerte"),2,IF(AND(W289="Detectivo/Correctivo",$BB289="Moderado"),1,IF(AND(W289="Preventivo",$BB289="Fuerte"),1,0)))</f>
        <v>0</v>
      </c>
      <c r="BE289" s="169" t="e">
        <f>+N289-BC289</f>
        <v>#N/A</v>
      </c>
      <c r="BF289" s="169" t="e">
        <f>+P289-BD289</f>
        <v>#N/A</v>
      </c>
      <c r="BG289" s="421" t="e">
        <f>+VLOOKUP(MIN(BE289,BE290,BE291,BE292,BE293,BE294),Listados!$J$18:$K$24,2,TRUE)</f>
        <v>#N/A</v>
      </c>
      <c r="BH289" s="421" t="e">
        <f>+VLOOKUP(MIN(BF289,BF290,BF291,BF292,BF293,BF294),Listados!$J$27:$K$32,2,TRUE)</f>
        <v>#N/A</v>
      </c>
      <c r="BI289" s="421" t="e">
        <f>IF(AND(BG289&lt;&gt;"",BH289&lt;&gt;""),VLOOKUP(BG289&amp;BH289,Listados!$M$3:$N$27,2,FALSE),"")</f>
        <v>#N/A</v>
      </c>
      <c r="BJ289" s="644" t="e">
        <f>+IF($R289="Asumir el riesgo","NA","")</f>
        <v>#N/A</v>
      </c>
      <c r="BK289" s="644" t="e">
        <f>+IF($R289="Asumir el riesgo","NA","")</f>
        <v>#N/A</v>
      </c>
      <c r="BL289" s="644" t="e">
        <f>+IF($R289="Asumir el riesgo","NA","")</f>
        <v>#N/A</v>
      </c>
      <c r="BM289" s="644" t="e">
        <f>+IF($R289="Asumir el riesgo","NA","")</f>
        <v>#N/A</v>
      </c>
    </row>
    <row r="290" spans="1:65" ht="65.099999999999994" customHeight="1" thickBot="1">
      <c r="A290" s="405"/>
      <c r="B290" s="625"/>
      <c r="C290" s="440"/>
      <c r="D290" s="152"/>
      <c r="E290" s="152"/>
      <c r="F290" s="475"/>
      <c r="G290" s="443"/>
      <c r="H290" s="100"/>
      <c r="I290" s="128"/>
      <c r="J290" s="100"/>
      <c r="K290" s="147"/>
      <c r="L290" s="129"/>
      <c r="M290" s="446"/>
      <c r="N290" s="425"/>
      <c r="O290" s="428"/>
      <c r="P290" s="425"/>
      <c r="Q290" s="429"/>
      <c r="R290" s="422"/>
      <c r="S290" s="150"/>
      <c r="T290" s="198"/>
      <c r="U290" s="47" t="s">
        <v>627</v>
      </c>
      <c r="V290" s="172"/>
      <c r="W290" s="172"/>
      <c r="X290" s="172"/>
      <c r="Y290" s="95" t="str">
        <f t="shared" si="49"/>
        <v/>
      </c>
      <c r="Z290" s="172"/>
      <c r="AA290" s="95" t="str">
        <f t="shared" si="50"/>
        <v/>
      </c>
      <c r="AB290" s="150"/>
      <c r="AC290" s="95" t="str">
        <f t="shared" si="51"/>
        <v/>
      </c>
      <c r="AD290" s="150"/>
      <c r="AE290" s="95" t="str">
        <f t="shared" si="52"/>
        <v/>
      </c>
      <c r="AF290" s="150"/>
      <c r="AG290" s="95" t="str">
        <f t="shared" si="53"/>
        <v/>
      </c>
      <c r="AH290" s="150"/>
      <c r="AI290" s="95" t="str">
        <f t="shared" si="54"/>
        <v/>
      </c>
      <c r="AJ290" s="150"/>
      <c r="AK290" s="27" t="str">
        <f t="shared" si="55"/>
        <v/>
      </c>
      <c r="AL290" s="48" t="str">
        <f t="shared" si="56"/>
        <v/>
      </c>
      <c r="AM290" s="48" t="str">
        <f t="shared" si="57"/>
        <v/>
      </c>
      <c r="AN290" s="196"/>
      <c r="AO290" s="196"/>
      <c r="AP290" s="196"/>
      <c r="AQ290" s="196"/>
      <c r="AR290" s="196"/>
      <c r="AS290" s="196"/>
      <c r="AT290" s="196"/>
      <c r="AU290" s="197" t="str">
        <f>IFERROR(VLOOKUP(AT290,'Seguridad Información'!$I$61:$J$65,2,0),"")</f>
        <v/>
      </c>
      <c r="AV290" s="79"/>
      <c r="AW290" s="78" t="str">
        <f t="shared" si="48"/>
        <v/>
      </c>
      <c r="AX290" s="77" t="str">
        <f t="shared" si="58"/>
        <v/>
      </c>
      <c r="AY290" s="21" t="str">
        <f>IFERROR(VLOOKUP((CONCATENATE(AM290,AX290)),Listados!$U$3:$V$11,2,FALSE),"")</f>
        <v/>
      </c>
      <c r="AZ290" s="48">
        <f t="shared" si="59"/>
        <v>100</v>
      </c>
      <c r="BA290" s="431"/>
      <c r="BB290" s="433"/>
      <c r="BC290" s="169">
        <f>+IF(AND(W290="Preventivo",BB289="Fuerte"),2,IF(AND(W290="Preventivo",BB289="Moderado"),1,0))</f>
        <v>0</v>
      </c>
      <c r="BD290" s="64">
        <f>+IF(AND(W290="Detectivo/Correctivo",$BB289="Fuerte"),2,IF(AND(W290="Detectivo/Correctivo",$BB290="Moderado"),1,IF(AND(W290="Preventivo",$BB289="Fuerte"),1,0)))</f>
        <v>0</v>
      </c>
      <c r="BE290" s="169" t="e">
        <f>+N289-BC290</f>
        <v>#N/A</v>
      </c>
      <c r="BF290" s="169" t="e">
        <f>+P289-BD290</f>
        <v>#N/A</v>
      </c>
      <c r="BG290" s="422"/>
      <c r="BH290" s="422"/>
      <c r="BI290" s="422"/>
      <c r="BJ290" s="645"/>
      <c r="BK290" s="645"/>
      <c r="BL290" s="645"/>
      <c r="BM290" s="645"/>
    </row>
    <row r="291" spans="1:65" ht="65.099999999999994" customHeight="1" thickBot="1">
      <c r="A291" s="405"/>
      <c r="B291" s="625"/>
      <c r="C291" s="440"/>
      <c r="D291" s="152"/>
      <c r="E291" s="152"/>
      <c r="F291" s="475"/>
      <c r="G291" s="443"/>
      <c r="H291" s="100"/>
      <c r="I291" s="128"/>
      <c r="J291" s="100"/>
      <c r="K291" s="147"/>
      <c r="L291" s="129"/>
      <c r="M291" s="446"/>
      <c r="N291" s="425"/>
      <c r="O291" s="428"/>
      <c r="P291" s="425"/>
      <c r="Q291" s="429"/>
      <c r="R291" s="422"/>
      <c r="S291" s="150"/>
      <c r="T291" s="96"/>
      <c r="U291" s="47" t="s">
        <v>627</v>
      </c>
      <c r="V291" s="172"/>
      <c r="W291" s="172"/>
      <c r="X291" s="172"/>
      <c r="Y291" s="95" t="str">
        <f t="shared" si="49"/>
        <v/>
      </c>
      <c r="Z291" s="172"/>
      <c r="AA291" s="95" t="str">
        <f t="shared" si="50"/>
        <v/>
      </c>
      <c r="AB291" s="150"/>
      <c r="AC291" s="95" t="str">
        <f t="shared" si="51"/>
        <v/>
      </c>
      <c r="AD291" s="150"/>
      <c r="AE291" s="95" t="str">
        <f t="shared" si="52"/>
        <v/>
      </c>
      <c r="AF291" s="150"/>
      <c r="AG291" s="95" t="str">
        <f t="shared" si="53"/>
        <v/>
      </c>
      <c r="AH291" s="150"/>
      <c r="AI291" s="95" t="str">
        <f t="shared" si="54"/>
        <v/>
      </c>
      <c r="AJ291" s="150"/>
      <c r="AK291" s="27" t="str">
        <f t="shared" si="55"/>
        <v/>
      </c>
      <c r="AL291" s="48" t="str">
        <f t="shared" si="56"/>
        <v/>
      </c>
      <c r="AM291" s="48" t="str">
        <f t="shared" si="57"/>
        <v/>
      </c>
      <c r="AN291" s="196"/>
      <c r="AO291" s="196"/>
      <c r="AP291" s="196"/>
      <c r="AQ291" s="196"/>
      <c r="AR291" s="196"/>
      <c r="AS291" s="196"/>
      <c r="AT291" s="196"/>
      <c r="AU291" s="197" t="str">
        <f>IFERROR(VLOOKUP(AT291,'Seguridad Información'!$I$61:$J$65,2,0),"")</f>
        <v/>
      </c>
      <c r="AV291" s="79"/>
      <c r="AW291" s="78" t="str">
        <f t="shared" si="48"/>
        <v/>
      </c>
      <c r="AX291" s="77" t="str">
        <f t="shared" si="58"/>
        <v/>
      </c>
      <c r="AY291" s="21" t="str">
        <f>IFERROR(VLOOKUP((CONCATENATE(AM291,AX291)),Listados!$U$3:$V$11,2,FALSE),"")</f>
        <v/>
      </c>
      <c r="AZ291" s="48">
        <f t="shared" si="59"/>
        <v>100</v>
      </c>
      <c r="BA291" s="431"/>
      <c r="BB291" s="433"/>
      <c r="BC291" s="169">
        <f>+IF(AND(W291="Preventivo",BB289="Fuerte"),2,IF(AND(W291="Preventivo",BB289="Moderado"),1,0))</f>
        <v>0</v>
      </c>
      <c r="BD291" s="64">
        <f>+IF(AND(W291="Detectivo/Correctivo",$BB289="Fuerte"),2,IF(AND(W291="Detectivo/Correctivo",$BB291="Moderado"),1,IF(AND(W291="Preventivo",$BB289="Fuerte"),1,0)))</f>
        <v>0</v>
      </c>
      <c r="BE291" s="169" t="e">
        <f>+N289-BC291</f>
        <v>#N/A</v>
      </c>
      <c r="BF291" s="169" t="e">
        <f>+P289-BD291</f>
        <v>#N/A</v>
      </c>
      <c r="BG291" s="422"/>
      <c r="BH291" s="422"/>
      <c r="BI291" s="422"/>
      <c r="BJ291" s="645"/>
      <c r="BK291" s="645"/>
      <c r="BL291" s="645"/>
      <c r="BM291" s="645"/>
    </row>
    <row r="292" spans="1:65" ht="65.099999999999994" customHeight="1" thickBot="1">
      <c r="A292" s="405"/>
      <c r="B292" s="625"/>
      <c r="C292" s="440"/>
      <c r="D292" s="152"/>
      <c r="E292" s="152"/>
      <c r="F292" s="475"/>
      <c r="G292" s="443"/>
      <c r="H292" s="100"/>
      <c r="I292" s="128"/>
      <c r="J292" s="100"/>
      <c r="K292" s="147"/>
      <c r="L292" s="129"/>
      <c r="M292" s="446"/>
      <c r="N292" s="425"/>
      <c r="O292" s="428"/>
      <c r="P292" s="425"/>
      <c r="Q292" s="429"/>
      <c r="R292" s="422"/>
      <c r="S292" s="150"/>
      <c r="T292" s="97"/>
      <c r="U292" s="47" t="s">
        <v>627</v>
      </c>
      <c r="V292" s="172"/>
      <c r="W292" s="172"/>
      <c r="X292" s="172"/>
      <c r="Y292" s="95" t="str">
        <f t="shared" si="49"/>
        <v/>
      </c>
      <c r="Z292" s="172"/>
      <c r="AA292" s="95" t="str">
        <f t="shared" si="50"/>
        <v/>
      </c>
      <c r="AB292" s="150"/>
      <c r="AC292" s="95" t="str">
        <f t="shared" si="51"/>
        <v/>
      </c>
      <c r="AD292" s="150"/>
      <c r="AE292" s="95" t="str">
        <f t="shared" si="52"/>
        <v/>
      </c>
      <c r="AF292" s="150"/>
      <c r="AG292" s="95" t="str">
        <f t="shared" si="53"/>
        <v/>
      </c>
      <c r="AH292" s="150"/>
      <c r="AI292" s="95" t="str">
        <f t="shared" si="54"/>
        <v/>
      </c>
      <c r="AJ292" s="150"/>
      <c r="AK292" s="27" t="str">
        <f t="shared" si="55"/>
        <v/>
      </c>
      <c r="AL292" s="48" t="str">
        <f t="shared" si="56"/>
        <v/>
      </c>
      <c r="AM292" s="48" t="str">
        <f t="shared" si="57"/>
        <v/>
      </c>
      <c r="AN292" s="196"/>
      <c r="AO292" s="196"/>
      <c r="AP292" s="196"/>
      <c r="AQ292" s="196"/>
      <c r="AR292" s="196"/>
      <c r="AS292" s="196"/>
      <c r="AT292" s="196"/>
      <c r="AU292" s="197" t="str">
        <f>IFERROR(VLOOKUP(AT292,'Seguridad Información'!$I$61:$J$65,2,0),"")</f>
        <v/>
      </c>
      <c r="AV292" s="79"/>
      <c r="AW292" s="78" t="str">
        <f t="shared" si="48"/>
        <v/>
      </c>
      <c r="AX292" s="77" t="str">
        <f t="shared" si="58"/>
        <v/>
      </c>
      <c r="AY292" s="21" t="str">
        <f>IFERROR(VLOOKUP((CONCATENATE(AM292,AX292)),Listados!$U$3:$V$11,2,FALSE),"")</f>
        <v/>
      </c>
      <c r="AZ292" s="48">
        <f t="shared" si="59"/>
        <v>100</v>
      </c>
      <c r="BA292" s="431"/>
      <c r="BB292" s="433"/>
      <c r="BC292" s="169">
        <f>+IF(AND(W292="Preventivo",BB289="Fuerte"),2,IF(AND(W292="Preventivo",BB289="Moderado"),1,0))</f>
        <v>0</v>
      </c>
      <c r="BD292" s="64">
        <f>+IF(AND(W292="Detectivo/Correctivo",$BB289="Fuerte"),2,IF(AND(W292="Detectivo/Correctivo",$BB292="Moderado"),1,IF(AND(W292="Preventivo",$BB289="Fuerte"),1,0)))</f>
        <v>0</v>
      </c>
      <c r="BE292" s="169" t="e">
        <f>+N289-BC292</f>
        <v>#N/A</v>
      </c>
      <c r="BF292" s="169" t="e">
        <f>+P289-BD292</f>
        <v>#N/A</v>
      </c>
      <c r="BG292" s="422"/>
      <c r="BH292" s="422"/>
      <c r="BI292" s="422"/>
      <c r="BJ292" s="645"/>
      <c r="BK292" s="645"/>
      <c r="BL292" s="645"/>
      <c r="BM292" s="645"/>
    </row>
    <row r="293" spans="1:65" ht="65.099999999999994" customHeight="1" thickBot="1">
      <c r="A293" s="405"/>
      <c r="B293" s="625"/>
      <c r="C293" s="440"/>
      <c r="D293" s="109"/>
      <c r="E293" s="109"/>
      <c r="F293" s="475"/>
      <c r="G293" s="443"/>
      <c r="H293" s="100"/>
      <c r="I293" s="128"/>
      <c r="J293" s="100"/>
      <c r="K293" s="29"/>
      <c r="L293" s="129"/>
      <c r="M293" s="446"/>
      <c r="N293" s="425"/>
      <c r="O293" s="428"/>
      <c r="P293" s="425"/>
      <c r="Q293" s="429"/>
      <c r="R293" s="422"/>
      <c r="S293" s="150"/>
      <c r="T293" s="198"/>
      <c r="U293" s="47" t="s">
        <v>627</v>
      </c>
      <c r="V293" s="172"/>
      <c r="W293" s="172"/>
      <c r="X293" s="172"/>
      <c r="Y293" s="95" t="str">
        <f t="shared" si="49"/>
        <v/>
      </c>
      <c r="Z293" s="172"/>
      <c r="AA293" s="95" t="str">
        <f t="shared" si="50"/>
        <v/>
      </c>
      <c r="AB293" s="150"/>
      <c r="AC293" s="95" t="str">
        <f t="shared" si="51"/>
        <v/>
      </c>
      <c r="AD293" s="150"/>
      <c r="AE293" s="95" t="str">
        <f t="shared" si="52"/>
        <v/>
      </c>
      <c r="AF293" s="150"/>
      <c r="AG293" s="95" t="str">
        <f t="shared" si="53"/>
        <v/>
      </c>
      <c r="AH293" s="150"/>
      <c r="AI293" s="95" t="str">
        <f t="shared" si="54"/>
        <v/>
      </c>
      <c r="AJ293" s="150"/>
      <c r="AK293" s="27" t="str">
        <f t="shared" si="55"/>
        <v/>
      </c>
      <c r="AL293" s="48" t="str">
        <f t="shared" si="56"/>
        <v/>
      </c>
      <c r="AM293" s="48" t="str">
        <f t="shared" si="57"/>
        <v/>
      </c>
      <c r="AN293" s="196"/>
      <c r="AO293" s="196"/>
      <c r="AP293" s="196"/>
      <c r="AQ293" s="196"/>
      <c r="AR293" s="196"/>
      <c r="AS293" s="196"/>
      <c r="AT293" s="196"/>
      <c r="AU293" s="197" t="str">
        <f>IFERROR(VLOOKUP(AT293,'Seguridad Información'!$I$61:$J$65,2,0),"")</f>
        <v/>
      </c>
      <c r="AV293" s="79"/>
      <c r="AW293" s="78" t="str">
        <f t="shared" si="48"/>
        <v/>
      </c>
      <c r="AX293" s="77" t="str">
        <f t="shared" si="58"/>
        <v/>
      </c>
      <c r="AY293" s="21" t="str">
        <f>IFERROR(VLOOKUP((CONCATENATE(AM293,AX293)),Listados!$U$3:$V$11,2,FALSE),"")</f>
        <v/>
      </c>
      <c r="AZ293" s="48">
        <f t="shared" si="59"/>
        <v>100</v>
      </c>
      <c r="BA293" s="431"/>
      <c r="BB293" s="433"/>
      <c r="BC293" s="169">
        <f>+IF(AND(W293="Preventivo",BB289="Fuerte"),2,IF(AND(W293="Preventivo",BB289="Moderado"),1,0))</f>
        <v>0</v>
      </c>
      <c r="BD293" s="64">
        <f>+IF(AND(W293="Detectivo/Correctivo",$BB289="Fuerte"),2,IF(AND(W293="Detectivo/Correctivo",$BB293="Moderado"),1,IF(AND(W293="Preventivo",$BB289="Fuerte"),1,0)))</f>
        <v>0</v>
      </c>
      <c r="BE293" s="169" t="e">
        <f>+N289-BC293</f>
        <v>#N/A</v>
      </c>
      <c r="BF293" s="169" t="e">
        <f>+P289-BD293</f>
        <v>#N/A</v>
      </c>
      <c r="BG293" s="422"/>
      <c r="BH293" s="422"/>
      <c r="BI293" s="422"/>
      <c r="BJ293" s="645"/>
      <c r="BK293" s="645"/>
      <c r="BL293" s="645"/>
      <c r="BM293" s="645"/>
    </row>
    <row r="294" spans="1:65" ht="65.099999999999994" customHeight="1" thickBot="1">
      <c r="A294" s="406"/>
      <c r="B294" s="625"/>
      <c r="C294" s="441"/>
      <c r="D294" s="106"/>
      <c r="E294" s="106"/>
      <c r="F294" s="619"/>
      <c r="G294" s="444"/>
      <c r="H294" s="100"/>
      <c r="I294" s="128"/>
      <c r="J294" s="100"/>
      <c r="K294" s="31"/>
      <c r="L294" s="129"/>
      <c r="M294" s="446"/>
      <c r="N294" s="426"/>
      <c r="O294" s="428"/>
      <c r="P294" s="426"/>
      <c r="Q294" s="429"/>
      <c r="R294" s="423"/>
      <c r="S294" s="150"/>
      <c r="T294" s="98"/>
      <c r="U294" s="47" t="s">
        <v>627</v>
      </c>
      <c r="V294" s="172"/>
      <c r="W294" s="172"/>
      <c r="X294" s="172"/>
      <c r="Y294" s="95" t="str">
        <f t="shared" si="49"/>
        <v/>
      </c>
      <c r="Z294" s="172"/>
      <c r="AA294" s="95" t="str">
        <f t="shared" si="50"/>
        <v/>
      </c>
      <c r="AB294" s="150"/>
      <c r="AC294" s="95" t="str">
        <f t="shared" si="51"/>
        <v/>
      </c>
      <c r="AD294" s="150"/>
      <c r="AE294" s="95" t="str">
        <f t="shared" si="52"/>
        <v/>
      </c>
      <c r="AF294" s="150"/>
      <c r="AG294" s="95" t="str">
        <f t="shared" si="53"/>
        <v/>
      </c>
      <c r="AH294" s="150"/>
      <c r="AI294" s="95" t="str">
        <f t="shared" si="54"/>
        <v/>
      </c>
      <c r="AJ294" s="150"/>
      <c r="AK294" s="27" t="str">
        <f t="shared" si="55"/>
        <v/>
      </c>
      <c r="AL294" s="48" t="str">
        <f t="shared" si="56"/>
        <v/>
      </c>
      <c r="AM294" s="48" t="str">
        <f t="shared" si="57"/>
        <v/>
      </c>
      <c r="AN294" s="196"/>
      <c r="AO294" s="196"/>
      <c r="AP294" s="196"/>
      <c r="AQ294" s="196"/>
      <c r="AR294" s="196"/>
      <c r="AS294" s="196"/>
      <c r="AT294" s="196"/>
      <c r="AU294" s="197" t="str">
        <f>IFERROR(VLOOKUP(AT294,'Seguridad Información'!$I$61:$J$65,2,0),"")</f>
        <v/>
      </c>
      <c r="AV294" s="79"/>
      <c r="AW294" s="78" t="str">
        <f t="shared" si="48"/>
        <v/>
      </c>
      <c r="AX294" s="77" t="str">
        <f t="shared" si="58"/>
        <v/>
      </c>
      <c r="AY294" s="21" t="str">
        <f>IFERROR(VLOOKUP((CONCATENATE(AM294,AX294)),Listados!$U$3:$V$11,2,FALSE),"")</f>
        <v/>
      </c>
      <c r="AZ294" s="48">
        <f t="shared" si="59"/>
        <v>100</v>
      </c>
      <c r="BA294" s="432"/>
      <c r="BB294" s="433"/>
      <c r="BC294" s="169">
        <f>+IF(AND(W294="Preventivo",BB289="Fuerte"),2,IF(AND(W294="Preventivo",BB289="Moderado"),1,0))</f>
        <v>0</v>
      </c>
      <c r="BD294" s="64">
        <f>+IF(AND(W294="Detectivo/Correctivo",$BB289="Fuerte"),2,IF(AND(W294="Detectivo/Correctivo",$BB294="Moderado"),1,IF(AND(W294="Preventivo",$BB289="Fuerte"),1,0)))</f>
        <v>0</v>
      </c>
      <c r="BE294" s="169" t="e">
        <f>+N289-BC294</f>
        <v>#N/A</v>
      </c>
      <c r="BF294" s="169" t="e">
        <f>+P289-BD294</f>
        <v>#N/A</v>
      </c>
      <c r="BG294" s="423"/>
      <c r="BH294" s="423"/>
      <c r="BI294" s="423"/>
      <c r="BJ294" s="646"/>
      <c r="BK294" s="646"/>
      <c r="BL294" s="646"/>
      <c r="BM294" s="646"/>
    </row>
    <row r="295" spans="1:65" ht="65.099999999999994" customHeight="1" thickBot="1">
      <c r="A295" s="404">
        <v>49</v>
      </c>
      <c r="B295" s="628"/>
      <c r="C295" s="447" t="str">
        <f>IFERROR(VLOOKUP(B295,Listados!B$3:C$20,2,FALSE),"")</f>
        <v/>
      </c>
      <c r="D295" s="107"/>
      <c r="E295" s="107"/>
      <c r="F295" s="618"/>
      <c r="G295" s="448"/>
      <c r="H295" s="100"/>
      <c r="I295" s="128"/>
      <c r="J295" s="100"/>
      <c r="K295" s="103"/>
      <c r="L295" s="17"/>
      <c r="M295" s="445"/>
      <c r="N295" s="424" t="e">
        <f>+VLOOKUP(M295,Listados!$K$8:$L$12,2,0)</f>
        <v>#N/A</v>
      </c>
      <c r="O295" s="427"/>
      <c r="P295" s="424" t="e">
        <f>+VLOOKUP(O295,Listados!$K$13:$L$17,2,0)</f>
        <v>#N/A</v>
      </c>
      <c r="Q295" s="423" t="str">
        <f>IF(AND(M295&lt;&gt;"",O295&lt;&gt;""),VLOOKUP(M295&amp;O295,Listados!$M$3:$N$27,2,FALSE),"")</f>
        <v/>
      </c>
      <c r="R295" s="421" t="e">
        <f>+VLOOKUP(Q295,Listados!$P$3:$Q$6,2,FALSE)</f>
        <v>#N/A</v>
      </c>
      <c r="S295" s="150"/>
      <c r="T295" s="94"/>
      <c r="U295" s="47" t="s">
        <v>627</v>
      </c>
      <c r="V295" s="172"/>
      <c r="W295" s="172"/>
      <c r="X295" s="172"/>
      <c r="Y295" s="95" t="str">
        <f t="shared" si="49"/>
        <v/>
      </c>
      <c r="Z295" s="172"/>
      <c r="AA295" s="95" t="str">
        <f t="shared" si="50"/>
        <v/>
      </c>
      <c r="AB295" s="150"/>
      <c r="AC295" s="95" t="str">
        <f t="shared" si="51"/>
        <v/>
      </c>
      <c r="AD295" s="150"/>
      <c r="AE295" s="95" t="str">
        <f t="shared" si="52"/>
        <v/>
      </c>
      <c r="AF295" s="150"/>
      <c r="AG295" s="95" t="str">
        <f t="shared" si="53"/>
        <v/>
      </c>
      <c r="AH295" s="150"/>
      <c r="AI295" s="95" t="str">
        <f t="shared" si="54"/>
        <v/>
      </c>
      <c r="AJ295" s="150"/>
      <c r="AK295" s="27" t="str">
        <f t="shared" si="55"/>
        <v/>
      </c>
      <c r="AL295" s="48" t="str">
        <f t="shared" si="56"/>
        <v/>
      </c>
      <c r="AM295" s="48" t="str">
        <f t="shared" si="57"/>
        <v/>
      </c>
      <c r="AN295" s="196"/>
      <c r="AO295" s="196"/>
      <c r="AP295" s="196"/>
      <c r="AQ295" s="196"/>
      <c r="AR295" s="196"/>
      <c r="AS295" s="196"/>
      <c r="AT295" s="196"/>
      <c r="AU295" s="197" t="str">
        <f>IFERROR(VLOOKUP(AT295,'Seguridad Información'!$I$61:$J$65,2,0),"")</f>
        <v/>
      </c>
      <c r="AV295" s="79"/>
      <c r="AW295" s="78" t="str">
        <f t="shared" si="48"/>
        <v/>
      </c>
      <c r="AX295" s="77" t="str">
        <f t="shared" si="58"/>
        <v/>
      </c>
      <c r="AY295" s="21" t="str">
        <f>IFERROR(VLOOKUP((CONCATENATE(AM295,AX295)),Listados!$U$3:$V$11,2,FALSE),"")</f>
        <v/>
      </c>
      <c r="AZ295" s="48">
        <f t="shared" si="59"/>
        <v>100</v>
      </c>
      <c r="BA295" s="430">
        <f>AVERAGE(AZ295:AZ300)</f>
        <v>100</v>
      </c>
      <c r="BB295" s="432" t="str">
        <f>IF(BA295&lt;=50, "Débil", IF(BA295&lt;=99,"Moderado","Fuerte"))</f>
        <v>Fuerte</v>
      </c>
      <c r="BC295" s="169">
        <f>+IF(AND(W295="Preventivo",BB295="Fuerte"),2,IF(AND(W295="Preventivo",BB295="Moderado"),1,0))</f>
        <v>0</v>
      </c>
      <c r="BD295" s="64">
        <f>+IF(AND(W295="Detectivo/Correctivo",$BB295="Fuerte"),2,IF(AND(W295="Detectivo/Correctivo",$BB295="Moderado"),1,IF(AND(W295="Preventivo",$BB295="Fuerte"),1,0)))</f>
        <v>0</v>
      </c>
      <c r="BE295" s="169" t="e">
        <f>+N295-BC295</f>
        <v>#N/A</v>
      </c>
      <c r="BF295" s="169" t="e">
        <f>+P295-BD295</f>
        <v>#N/A</v>
      </c>
      <c r="BG295" s="421" t="e">
        <f>+VLOOKUP(MIN(BE295,BE296,BE297,BE298,BE299,BE300),Listados!$J$18:$K$24,2,TRUE)</f>
        <v>#N/A</v>
      </c>
      <c r="BH295" s="421" t="e">
        <f>+VLOOKUP(MIN(BF295,BF296,BF297,BF298,BF299,BF300),Listados!$J$27:$K$32,2,TRUE)</f>
        <v>#N/A</v>
      </c>
      <c r="BI295" s="421" t="e">
        <f>IF(AND(BG295&lt;&gt;"",BH295&lt;&gt;""),VLOOKUP(BG295&amp;BH295,Listados!$M$3:$N$27,2,FALSE),"")</f>
        <v>#N/A</v>
      </c>
      <c r="BJ295" s="644" t="e">
        <f>+IF($R295="Asumir el riesgo","NA","")</f>
        <v>#N/A</v>
      </c>
      <c r="BK295" s="644" t="e">
        <f>+IF($R295="Asumir el riesgo","NA","")</f>
        <v>#N/A</v>
      </c>
      <c r="BL295" s="644" t="e">
        <f>+IF($R295="Asumir el riesgo","NA","")</f>
        <v>#N/A</v>
      </c>
      <c r="BM295" s="644" t="e">
        <f>+IF($R295="Asumir el riesgo","NA","")</f>
        <v>#N/A</v>
      </c>
    </row>
    <row r="296" spans="1:65" ht="65.099999999999994" customHeight="1" thickBot="1">
      <c r="A296" s="405"/>
      <c r="B296" s="625"/>
      <c r="C296" s="440"/>
      <c r="D296" s="152"/>
      <c r="E296" s="152"/>
      <c r="F296" s="475"/>
      <c r="G296" s="443"/>
      <c r="H296" s="100"/>
      <c r="I296" s="128"/>
      <c r="J296" s="100"/>
      <c r="K296" s="147"/>
      <c r="L296" s="129"/>
      <c r="M296" s="446"/>
      <c r="N296" s="425"/>
      <c r="O296" s="428"/>
      <c r="P296" s="425"/>
      <c r="Q296" s="429"/>
      <c r="R296" s="422"/>
      <c r="S296" s="150"/>
      <c r="T296" s="198"/>
      <c r="U296" s="47" t="s">
        <v>627</v>
      </c>
      <c r="V296" s="172"/>
      <c r="W296" s="172"/>
      <c r="X296" s="172"/>
      <c r="Y296" s="95" t="str">
        <f t="shared" si="49"/>
        <v/>
      </c>
      <c r="Z296" s="172"/>
      <c r="AA296" s="95" t="str">
        <f t="shared" si="50"/>
        <v/>
      </c>
      <c r="AB296" s="150"/>
      <c r="AC296" s="95" t="str">
        <f t="shared" si="51"/>
        <v/>
      </c>
      <c r="AD296" s="150"/>
      <c r="AE296" s="95" t="str">
        <f t="shared" si="52"/>
        <v/>
      </c>
      <c r="AF296" s="150"/>
      <c r="AG296" s="95" t="str">
        <f t="shared" si="53"/>
        <v/>
      </c>
      <c r="AH296" s="150"/>
      <c r="AI296" s="95" t="str">
        <f t="shared" si="54"/>
        <v/>
      </c>
      <c r="AJ296" s="150"/>
      <c r="AK296" s="27" t="str">
        <f t="shared" si="55"/>
        <v/>
      </c>
      <c r="AL296" s="48" t="str">
        <f t="shared" si="56"/>
        <v/>
      </c>
      <c r="AM296" s="48" t="str">
        <f t="shared" si="57"/>
        <v/>
      </c>
      <c r="AN296" s="196"/>
      <c r="AO296" s="196"/>
      <c r="AP296" s="196"/>
      <c r="AQ296" s="196"/>
      <c r="AR296" s="196"/>
      <c r="AS296" s="196"/>
      <c r="AT296" s="196"/>
      <c r="AU296" s="197" t="str">
        <f>IFERROR(VLOOKUP(AT296,'Seguridad Información'!$I$61:$J$65,2,0),"")</f>
        <v/>
      </c>
      <c r="AV296" s="79"/>
      <c r="AW296" s="78" t="str">
        <f t="shared" si="48"/>
        <v/>
      </c>
      <c r="AX296" s="77" t="str">
        <f t="shared" si="58"/>
        <v/>
      </c>
      <c r="AY296" s="21" t="str">
        <f>IFERROR(VLOOKUP((CONCATENATE(AM296,AX296)),Listados!$U$3:$V$11,2,FALSE),"")</f>
        <v/>
      </c>
      <c r="AZ296" s="48">
        <f t="shared" si="59"/>
        <v>100</v>
      </c>
      <c r="BA296" s="431"/>
      <c r="BB296" s="433"/>
      <c r="BC296" s="169">
        <f>+IF(AND(W296="Preventivo",BB295="Fuerte"),2,IF(AND(W296="Preventivo",BB295="Moderado"),1,0))</f>
        <v>0</v>
      </c>
      <c r="BD296" s="64">
        <f>+IF(AND(W296="Detectivo/Correctivo",$BB295="Fuerte"),2,IF(AND(W296="Detectivo/Correctivo",$BB296="Moderado"),1,IF(AND(W296="Preventivo",$BB295="Fuerte"),1,0)))</f>
        <v>0</v>
      </c>
      <c r="BE296" s="169" t="e">
        <f>+N295-BC296</f>
        <v>#N/A</v>
      </c>
      <c r="BF296" s="169" t="e">
        <f>+P295-BD296</f>
        <v>#N/A</v>
      </c>
      <c r="BG296" s="422"/>
      <c r="BH296" s="422"/>
      <c r="BI296" s="422"/>
      <c r="BJ296" s="645"/>
      <c r="BK296" s="645"/>
      <c r="BL296" s="645"/>
      <c r="BM296" s="645"/>
    </row>
    <row r="297" spans="1:65" ht="65.099999999999994" customHeight="1" thickBot="1">
      <c r="A297" s="405"/>
      <c r="B297" s="625"/>
      <c r="C297" s="440"/>
      <c r="D297" s="152"/>
      <c r="E297" s="152"/>
      <c r="F297" s="475"/>
      <c r="G297" s="443"/>
      <c r="H297" s="100"/>
      <c r="I297" s="128"/>
      <c r="J297" s="100"/>
      <c r="K297" s="147"/>
      <c r="L297" s="129"/>
      <c r="M297" s="446"/>
      <c r="N297" s="425"/>
      <c r="O297" s="428"/>
      <c r="P297" s="425"/>
      <c r="Q297" s="429"/>
      <c r="R297" s="422"/>
      <c r="S297" s="150"/>
      <c r="T297" s="96"/>
      <c r="U297" s="47" t="s">
        <v>627</v>
      </c>
      <c r="V297" s="172"/>
      <c r="W297" s="172"/>
      <c r="X297" s="172"/>
      <c r="Y297" s="95" t="str">
        <f t="shared" si="49"/>
        <v/>
      </c>
      <c r="Z297" s="172"/>
      <c r="AA297" s="95" t="str">
        <f t="shared" si="50"/>
        <v/>
      </c>
      <c r="AB297" s="150"/>
      <c r="AC297" s="95" t="str">
        <f t="shared" si="51"/>
        <v/>
      </c>
      <c r="AD297" s="150"/>
      <c r="AE297" s="95" t="str">
        <f t="shared" si="52"/>
        <v/>
      </c>
      <c r="AF297" s="150"/>
      <c r="AG297" s="95" t="str">
        <f t="shared" si="53"/>
        <v/>
      </c>
      <c r="AH297" s="150"/>
      <c r="AI297" s="95" t="str">
        <f t="shared" si="54"/>
        <v/>
      </c>
      <c r="AJ297" s="150"/>
      <c r="AK297" s="27" t="str">
        <f t="shared" si="55"/>
        <v/>
      </c>
      <c r="AL297" s="48" t="str">
        <f t="shared" si="56"/>
        <v/>
      </c>
      <c r="AM297" s="48" t="str">
        <f t="shared" si="57"/>
        <v/>
      </c>
      <c r="AN297" s="196"/>
      <c r="AO297" s="196"/>
      <c r="AP297" s="196"/>
      <c r="AQ297" s="196"/>
      <c r="AR297" s="196"/>
      <c r="AS297" s="196"/>
      <c r="AT297" s="196"/>
      <c r="AU297" s="197" t="str">
        <f>IFERROR(VLOOKUP(AT297,'Seguridad Información'!$I$61:$J$65,2,0),"")</f>
        <v/>
      </c>
      <c r="AV297" s="79"/>
      <c r="AW297" s="78" t="str">
        <f t="shared" si="48"/>
        <v/>
      </c>
      <c r="AX297" s="77" t="str">
        <f t="shared" si="58"/>
        <v/>
      </c>
      <c r="AY297" s="21" t="str">
        <f>IFERROR(VLOOKUP((CONCATENATE(AM297,AX297)),Listados!$U$3:$V$11,2,FALSE),"")</f>
        <v/>
      </c>
      <c r="AZ297" s="48">
        <f t="shared" si="59"/>
        <v>100</v>
      </c>
      <c r="BA297" s="431"/>
      <c r="BB297" s="433"/>
      <c r="BC297" s="169">
        <f>+IF(AND(W297="Preventivo",BB295="Fuerte"),2,IF(AND(W297="Preventivo",BB295="Moderado"),1,0))</f>
        <v>0</v>
      </c>
      <c r="BD297" s="64">
        <f>+IF(AND(W297="Detectivo/Correctivo",$BB295="Fuerte"),2,IF(AND(W297="Detectivo/Correctivo",$BB297="Moderado"),1,IF(AND(W297="Preventivo",$BB295="Fuerte"),1,0)))</f>
        <v>0</v>
      </c>
      <c r="BE297" s="169" t="e">
        <f>+N295-BC297</f>
        <v>#N/A</v>
      </c>
      <c r="BF297" s="169" t="e">
        <f>+P295-BD297</f>
        <v>#N/A</v>
      </c>
      <c r="BG297" s="422"/>
      <c r="BH297" s="422"/>
      <c r="BI297" s="422"/>
      <c r="BJ297" s="645"/>
      <c r="BK297" s="645"/>
      <c r="BL297" s="645"/>
      <c r="BM297" s="645"/>
    </row>
    <row r="298" spans="1:65" ht="65.099999999999994" customHeight="1" thickBot="1">
      <c r="A298" s="405"/>
      <c r="B298" s="625"/>
      <c r="C298" s="440"/>
      <c r="D298" s="152"/>
      <c r="E298" s="152"/>
      <c r="F298" s="475"/>
      <c r="G298" s="443"/>
      <c r="H298" s="100"/>
      <c r="I298" s="128"/>
      <c r="J298" s="100"/>
      <c r="K298" s="147"/>
      <c r="L298" s="129"/>
      <c r="M298" s="446"/>
      <c r="N298" s="425"/>
      <c r="O298" s="428"/>
      <c r="P298" s="425"/>
      <c r="Q298" s="429"/>
      <c r="R298" s="422"/>
      <c r="S298" s="150"/>
      <c r="T298" s="97"/>
      <c r="U298" s="47" t="s">
        <v>627</v>
      </c>
      <c r="V298" s="172"/>
      <c r="W298" s="172"/>
      <c r="X298" s="172"/>
      <c r="Y298" s="95" t="str">
        <f t="shared" si="49"/>
        <v/>
      </c>
      <c r="Z298" s="172"/>
      <c r="AA298" s="95" t="str">
        <f t="shared" si="50"/>
        <v/>
      </c>
      <c r="AB298" s="150"/>
      <c r="AC298" s="95" t="str">
        <f t="shared" si="51"/>
        <v/>
      </c>
      <c r="AD298" s="150"/>
      <c r="AE298" s="95" t="str">
        <f t="shared" si="52"/>
        <v/>
      </c>
      <c r="AF298" s="150"/>
      <c r="AG298" s="95" t="str">
        <f t="shared" si="53"/>
        <v/>
      </c>
      <c r="AH298" s="150"/>
      <c r="AI298" s="95" t="str">
        <f t="shared" si="54"/>
        <v/>
      </c>
      <c r="AJ298" s="150"/>
      <c r="AK298" s="27" t="str">
        <f t="shared" si="55"/>
        <v/>
      </c>
      <c r="AL298" s="48" t="str">
        <f t="shared" si="56"/>
        <v/>
      </c>
      <c r="AM298" s="48" t="str">
        <f t="shared" si="57"/>
        <v/>
      </c>
      <c r="AN298" s="196"/>
      <c r="AO298" s="196"/>
      <c r="AP298" s="196"/>
      <c r="AQ298" s="196"/>
      <c r="AR298" s="196"/>
      <c r="AS298" s="196"/>
      <c r="AT298" s="196"/>
      <c r="AU298" s="197" t="str">
        <f>IFERROR(VLOOKUP(AT298,'Seguridad Información'!$I$61:$J$65,2,0),"")</f>
        <v/>
      </c>
      <c r="AV298" s="79"/>
      <c r="AW298" s="78" t="str">
        <f t="shared" si="48"/>
        <v/>
      </c>
      <c r="AX298" s="77" t="str">
        <f t="shared" si="58"/>
        <v/>
      </c>
      <c r="AY298" s="21" t="str">
        <f>IFERROR(VLOOKUP((CONCATENATE(AM298,AX298)),Listados!$U$3:$V$11,2,FALSE),"")</f>
        <v/>
      </c>
      <c r="AZ298" s="48">
        <f t="shared" si="59"/>
        <v>100</v>
      </c>
      <c r="BA298" s="431"/>
      <c r="BB298" s="433"/>
      <c r="BC298" s="169">
        <f>+IF(AND(W298="Preventivo",BB295="Fuerte"),2,IF(AND(W298="Preventivo",BB295="Moderado"),1,0))</f>
        <v>0</v>
      </c>
      <c r="BD298" s="64">
        <f>+IF(AND(W298="Detectivo/Correctivo",$BB295="Fuerte"),2,IF(AND(W298="Detectivo/Correctivo",$BB298="Moderado"),1,IF(AND(W298="Preventivo",$BB295="Fuerte"),1,0)))</f>
        <v>0</v>
      </c>
      <c r="BE298" s="169" t="e">
        <f>+N295-BC298</f>
        <v>#N/A</v>
      </c>
      <c r="BF298" s="169" t="e">
        <f>+P295-BD298</f>
        <v>#N/A</v>
      </c>
      <c r="BG298" s="422"/>
      <c r="BH298" s="422"/>
      <c r="BI298" s="422"/>
      <c r="BJ298" s="645"/>
      <c r="BK298" s="645"/>
      <c r="BL298" s="645"/>
      <c r="BM298" s="645"/>
    </row>
    <row r="299" spans="1:65" ht="65.099999999999994" customHeight="1" thickBot="1">
      <c r="A299" s="405"/>
      <c r="B299" s="625"/>
      <c r="C299" s="440"/>
      <c r="D299" s="109"/>
      <c r="E299" s="109"/>
      <c r="F299" s="475"/>
      <c r="G299" s="443"/>
      <c r="H299" s="100"/>
      <c r="I299" s="128"/>
      <c r="J299" s="100"/>
      <c r="K299" s="29"/>
      <c r="L299" s="129"/>
      <c r="M299" s="446"/>
      <c r="N299" s="425"/>
      <c r="O299" s="428"/>
      <c r="P299" s="425"/>
      <c r="Q299" s="429"/>
      <c r="R299" s="422"/>
      <c r="S299" s="150"/>
      <c r="T299" s="198"/>
      <c r="U299" s="47" t="s">
        <v>627</v>
      </c>
      <c r="V299" s="172"/>
      <c r="W299" s="172"/>
      <c r="X299" s="172"/>
      <c r="Y299" s="95" t="str">
        <f t="shared" si="49"/>
        <v/>
      </c>
      <c r="Z299" s="172"/>
      <c r="AA299" s="95" t="str">
        <f t="shared" si="50"/>
        <v/>
      </c>
      <c r="AB299" s="150"/>
      <c r="AC299" s="95" t="str">
        <f t="shared" si="51"/>
        <v/>
      </c>
      <c r="AD299" s="150"/>
      <c r="AE299" s="95" t="str">
        <f t="shared" si="52"/>
        <v/>
      </c>
      <c r="AF299" s="150"/>
      <c r="AG299" s="95" t="str">
        <f t="shared" si="53"/>
        <v/>
      </c>
      <c r="AH299" s="150"/>
      <c r="AI299" s="95" t="str">
        <f t="shared" si="54"/>
        <v/>
      </c>
      <c r="AJ299" s="150"/>
      <c r="AK299" s="27" t="str">
        <f t="shared" si="55"/>
        <v/>
      </c>
      <c r="AL299" s="48" t="str">
        <f t="shared" si="56"/>
        <v/>
      </c>
      <c r="AM299" s="48" t="str">
        <f t="shared" si="57"/>
        <v/>
      </c>
      <c r="AN299" s="196"/>
      <c r="AO299" s="196"/>
      <c r="AP299" s="196"/>
      <c r="AQ299" s="196"/>
      <c r="AR299" s="196"/>
      <c r="AS299" s="196"/>
      <c r="AT299" s="196"/>
      <c r="AU299" s="197" t="str">
        <f>IFERROR(VLOOKUP(AT299,'Seguridad Información'!$I$61:$J$65,2,0),"")</f>
        <v/>
      </c>
      <c r="AV299" s="79"/>
      <c r="AW299" s="78" t="str">
        <f t="shared" si="48"/>
        <v/>
      </c>
      <c r="AX299" s="77" t="str">
        <f t="shared" si="58"/>
        <v/>
      </c>
      <c r="AY299" s="21" t="str">
        <f>IFERROR(VLOOKUP((CONCATENATE(AM299,AX299)),Listados!$U$3:$V$11,2,FALSE),"")</f>
        <v/>
      </c>
      <c r="AZ299" s="48">
        <f t="shared" si="59"/>
        <v>100</v>
      </c>
      <c r="BA299" s="431"/>
      <c r="BB299" s="433"/>
      <c r="BC299" s="169">
        <f>+IF(AND(W299="Preventivo",BB295="Fuerte"),2,IF(AND(W299="Preventivo",BB295="Moderado"),1,0))</f>
        <v>0</v>
      </c>
      <c r="BD299" s="64">
        <f>+IF(AND(W299="Detectivo/Correctivo",$BB295="Fuerte"),2,IF(AND(W299="Detectivo/Correctivo",$BB299="Moderado"),1,IF(AND(W299="Preventivo",$BB295="Fuerte"),1,0)))</f>
        <v>0</v>
      </c>
      <c r="BE299" s="169" t="e">
        <f>+N295-BC299</f>
        <v>#N/A</v>
      </c>
      <c r="BF299" s="169" t="e">
        <f>+P295-BD299</f>
        <v>#N/A</v>
      </c>
      <c r="BG299" s="422"/>
      <c r="BH299" s="422"/>
      <c r="BI299" s="422"/>
      <c r="BJ299" s="645"/>
      <c r="BK299" s="645"/>
      <c r="BL299" s="645"/>
      <c r="BM299" s="645"/>
    </row>
    <row r="300" spans="1:65" ht="65.099999999999994" customHeight="1" thickBot="1">
      <c r="A300" s="406"/>
      <c r="B300" s="625"/>
      <c r="C300" s="441"/>
      <c r="D300" s="106"/>
      <c r="E300" s="106"/>
      <c r="F300" s="619"/>
      <c r="G300" s="444"/>
      <c r="H300" s="100"/>
      <c r="I300" s="128"/>
      <c r="J300" s="100"/>
      <c r="K300" s="31"/>
      <c r="L300" s="129"/>
      <c r="M300" s="446"/>
      <c r="N300" s="426"/>
      <c r="O300" s="428"/>
      <c r="P300" s="426"/>
      <c r="Q300" s="429"/>
      <c r="R300" s="423"/>
      <c r="S300" s="150"/>
      <c r="T300" s="98"/>
      <c r="U300" s="47" t="s">
        <v>627</v>
      </c>
      <c r="V300" s="172"/>
      <c r="W300" s="172"/>
      <c r="X300" s="172"/>
      <c r="Y300" s="95" t="str">
        <f t="shared" si="49"/>
        <v/>
      </c>
      <c r="Z300" s="172"/>
      <c r="AA300" s="95" t="str">
        <f t="shared" si="50"/>
        <v/>
      </c>
      <c r="AB300" s="150"/>
      <c r="AC300" s="95" t="str">
        <f t="shared" si="51"/>
        <v/>
      </c>
      <c r="AD300" s="150"/>
      <c r="AE300" s="95" t="str">
        <f t="shared" si="52"/>
        <v/>
      </c>
      <c r="AF300" s="150"/>
      <c r="AG300" s="95" t="str">
        <f t="shared" si="53"/>
        <v/>
      </c>
      <c r="AH300" s="150"/>
      <c r="AI300" s="95" t="str">
        <f t="shared" si="54"/>
        <v/>
      </c>
      <c r="AJ300" s="150"/>
      <c r="AK300" s="27" t="str">
        <f t="shared" si="55"/>
        <v/>
      </c>
      <c r="AL300" s="48" t="str">
        <f t="shared" si="56"/>
        <v/>
      </c>
      <c r="AM300" s="48" t="str">
        <f t="shared" si="57"/>
        <v/>
      </c>
      <c r="AN300" s="196"/>
      <c r="AO300" s="196"/>
      <c r="AP300" s="196"/>
      <c r="AQ300" s="196"/>
      <c r="AR300" s="196"/>
      <c r="AS300" s="196"/>
      <c r="AT300" s="196"/>
      <c r="AU300" s="197" t="str">
        <f>IFERROR(VLOOKUP(AT300,'Seguridad Información'!$I$61:$J$65,2,0),"")</f>
        <v/>
      </c>
      <c r="AV300" s="79"/>
      <c r="AW300" s="78" t="str">
        <f t="shared" si="48"/>
        <v/>
      </c>
      <c r="AX300" s="77" t="str">
        <f t="shared" si="58"/>
        <v/>
      </c>
      <c r="AY300" s="21" t="str">
        <f>IFERROR(VLOOKUP((CONCATENATE(AM300,AX300)),Listados!$U$3:$V$11,2,FALSE),"")</f>
        <v/>
      </c>
      <c r="AZ300" s="48">
        <f t="shared" si="59"/>
        <v>100</v>
      </c>
      <c r="BA300" s="432"/>
      <c r="BB300" s="433"/>
      <c r="BC300" s="169">
        <f>+IF(AND(W300="Preventivo",BB295="Fuerte"),2,IF(AND(W300="Preventivo",BB295="Moderado"),1,0))</f>
        <v>0</v>
      </c>
      <c r="BD300" s="64">
        <f>+IF(AND(W300="Detectivo/Correctivo",$BB295="Fuerte"),2,IF(AND(W300="Detectivo/Correctivo",$BB300="Moderado"),1,IF(AND(W300="Preventivo",$BB295="Fuerte"),1,0)))</f>
        <v>0</v>
      </c>
      <c r="BE300" s="169" t="e">
        <f>+N295-BC300</f>
        <v>#N/A</v>
      </c>
      <c r="BF300" s="169" t="e">
        <f>+P295-BD300</f>
        <v>#N/A</v>
      </c>
      <c r="BG300" s="423"/>
      <c r="BH300" s="423"/>
      <c r="BI300" s="423"/>
      <c r="BJ300" s="646"/>
      <c r="BK300" s="646"/>
      <c r="BL300" s="646"/>
      <c r="BM300" s="646"/>
    </row>
    <row r="301" spans="1:65" ht="65.099999999999994" customHeight="1" thickBot="1">
      <c r="A301" s="404">
        <v>50</v>
      </c>
      <c r="B301" s="628"/>
      <c r="C301" s="447" t="str">
        <f>IFERROR(VLOOKUP(B301,Listados!B$3:C$20,2,FALSE),"")</f>
        <v/>
      </c>
      <c r="D301" s="107"/>
      <c r="E301" s="107"/>
      <c r="F301" s="618"/>
      <c r="G301" s="448"/>
      <c r="H301" s="100"/>
      <c r="I301" s="128"/>
      <c r="J301" s="100"/>
      <c r="K301" s="103"/>
      <c r="L301" s="17"/>
      <c r="M301" s="445"/>
      <c r="N301" s="424" t="e">
        <f>+VLOOKUP(M301,Listados!$K$8:$L$12,2,0)</f>
        <v>#N/A</v>
      </c>
      <c r="O301" s="427"/>
      <c r="P301" s="424" t="e">
        <f>+VLOOKUP(O301,Listados!$K$13:$L$17,2,0)</f>
        <v>#N/A</v>
      </c>
      <c r="Q301" s="423" t="str">
        <f>IF(AND(M301&lt;&gt;"",O301&lt;&gt;""),VLOOKUP(M301&amp;O301,Listados!$M$3:$N$27,2,FALSE),"")</f>
        <v/>
      </c>
      <c r="R301" s="421" t="e">
        <f>+VLOOKUP(Q301,Listados!$P$3:$Q$6,2,FALSE)</f>
        <v>#N/A</v>
      </c>
      <c r="S301" s="150"/>
      <c r="T301" s="94"/>
      <c r="U301" s="47" t="s">
        <v>627</v>
      </c>
      <c r="V301" s="172"/>
      <c r="W301" s="172"/>
      <c r="X301" s="172"/>
      <c r="Y301" s="95" t="str">
        <f t="shared" si="49"/>
        <v/>
      </c>
      <c r="Z301" s="172"/>
      <c r="AA301" s="95" t="str">
        <f t="shared" si="50"/>
        <v/>
      </c>
      <c r="AB301" s="150"/>
      <c r="AC301" s="95" t="str">
        <f t="shared" si="51"/>
        <v/>
      </c>
      <c r="AD301" s="150"/>
      <c r="AE301" s="95" t="str">
        <f t="shared" si="52"/>
        <v/>
      </c>
      <c r="AF301" s="150"/>
      <c r="AG301" s="95" t="str">
        <f t="shared" si="53"/>
        <v/>
      </c>
      <c r="AH301" s="150"/>
      <c r="AI301" s="95" t="str">
        <f t="shared" si="54"/>
        <v/>
      </c>
      <c r="AJ301" s="150"/>
      <c r="AK301" s="27" t="str">
        <f t="shared" si="55"/>
        <v/>
      </c>
      <c r="AL301" s="48" t="str">
        <f t="shared" si="56"/>
        <v/>
      </c>
      <c r="AM301" s="48" t="str">
        <f t="shared" si="57"/>
        <v/>
      </c>
      <c r="AN301" s="196"/>
      <c r="AO301" s="196"/>
      <c r="AP301" s="196"/>
      <c r="AQ301" s="196"/>
      <c r="AR301" s="196"/>
      <c r="AS301" s="196"/>
      <c r="AT301" s="196"/>
      <c r="AU301" s="197" t="str">
        <f>IFERROR(VLOOKUP(AT301,'Seguridad Información'!$I$61:$J$65,2,0),"")</f>
        <v/>
      </c>
      <c r="AV301" s="79"/>
      <c r="AW301" s="78" t="str">
        <f t="shared" si="48"/>
        <v/>
      </c>
      <c r="AX301" s="77" t="str">
        <f t="shared" si="58"/>
        <v/>
      </c>
      <c r="AY301" s="21" t="str">
        <f>IFERROR(VLOOKUP((CONCATENATE(AM301,AX301)),Listados!$U$3:$V$11,2,FALSE),"")</f>
        <v/>
      </c>
      <c r="AZ301" s="48">
        <f t="shared" si="59"/>
        <v>100</v>
      </c>
      <c r="BA301" s="430">
        <f>AVERAGE(AZ301:AZ306)</f>
        <v>100</v>
      </c>
      <c r="BB301" s="432" t="str">
        <f>IF(BA301&lt;=50, "Débil", IF(BA301&lt;=99,"Moderado","Fuerte"))</f>
        <v>Fuerte</v>
      </c>
      <c r="BC301" s="169">
        <f>+IF(AND(W301="Preventivo",BB301="Fuerte"),2,IF(AND(W301="Preventivo",BB301="Moderado"),1,0))</f>
        <v>0</v>
      </c>
      <c r="BD301" s="64">
        <f>+IF(AND(W301="Detectivo/Correctivo",$BB301="Fuerte"),2,IF(AND(W301="Detectivo/Correctivo",$BB301="Moderado"),1,IF(AND(W301="Preventivo",$BB301="Fuerte"),1,0)))</f>
        <v>0</v>
      </c>
      <c r="BE301" s="169" t="e">
        <f>+N301-BC301</f>
        <v>#N/A</v>
      </c>
      <c r="BF301" s="169" t="e">
        <f>+P301-BD301</f>
        <v>#N/A</v>
      </c>
      <c r="BG301" s="421" t="e">
        <f>+VLOOKUP(MIN(BE301,BE302,BE303,BE304,BE305,BE306),Listados!$J$18:$K$24,2,TRUE)</f>
        <v>#N/A</v>
      </c>
      <c r="BH301" s="421" t="e">
        <f>+VLOOKUP(MIN(BF301,BF302,BF303,BF304,BF305,BF306),Listados!$J$27:$K$32,2,TRUE)</f>
        <v>#N/A</v>
      </c>
      <c r="BI301" s="421" t="e">
        <f>IF(AND(BG301&lt;&gt;"",BH301&lt;&gt;""),VLOOKUP(BG301&amp;BH301,Listados!$M$3:$N$27,2,FALSE),"")</f>
        <v>#N/A</v>
      </c>
      <c r="BJ301" s="644" t="e">
        <f>+IF($R301="Asumir el riesgo","NA","")</f>
        <v>#N/A</v>
      </c>
      <c r="BK301" s="644" t="e">
        <f>+IF($R301="Asumir el riesgo","NA","")</f>
        <v>#N/A</v>
      </c>
      <c r="BL301" s="644" t="e">
        <f>+IF($R301="Asumir el riesgo","NA","")</f>
        <v>#N/A</v>
      </c>
      <c r="BM301" s="644" t="e">
        <f>+IF($R301="Asumir el riesgo","NA","")</f>
        <v>#N/A</v>
      </c>
    </row>
    <row r="302" spans="1:65" ht="65.099999999999994" customHeight="1" thickBot="1">
      <c r="A302" s="405"/>
      <c r="B302" s="625"/>
      <c r="C302" s="440"/>
      <c r="D302" s="152"/>
      <c r="E302" s="152"/>
      <c r="F302" s="475"/>
      <c r="G302" s="443"/>
      <c r="H302" s="100"/>
      <c r="I302" s="128"/>
      <c r="J302" s="100"/>
      <c r="K302" s="147"/>
      <c r="L302" s="129"/>
      <c r="M302" s="446"/>
      <c r="N302" s="425"/>
      <c r="O302" s="428"/>
      <c r="P302" s="425"/>
      <c r="Q302" s="429"/>
      <c r="R302" s="422"/>
      <c r="S302" s="150"/>
      <c r="T302" s="198"/>
      <c r="U302" s="47" t="s">
        <v>627</v>
      </c>
      <c r="V302" s="172"/>
      <c r="W302" s="172"/>
      <c r="X302" s="172"/>
      <c r="Y302" s="95" t="str">
        <f t="shared" si="49"/>
        <v/>
      </c>
      <c r="Z302" s="172"/>
      <c r="AA302" s="95" t="str">
        <f t="shared" si="50"/>
        <v/>
      </c>
      <c r="AB302" s="150"/>
      <c r="AC302" s="95" t="str">
        <f t="shared" si="51"/>
        <v/>
      </c>
      <c r="AD302" s="150"/>
      <c r="AE302" s="95" t="str">
        <f t="shared" si="52"/>
        <v/>
      </c>
      <c r="AF302" s="150"/>
      <c r="AG302" s="95" t="str">
        <f t="shared" si="53"/>
        <v/>
      </c>
      <c r="AH302" s="150"/>
      <c r="AI302" s="95" t="str">
        <f t="shared" si="54"/>
        <v/>
      </c>
      <c r="AJ302" s="150"/>
      <c r="AK302" s="27" t="str">
        <f t="shared" si="55"/>
        <v/>
      </c>
      <c r="AL302" s="48" t="str">
        <f t="shared" si="56"/>
        <v/>
      </c>
      <c r="AM302" s="48" t="str">
        <f t="shared" si="57"/>
        <v/>
      </c>
      <c r="AN302" s="196"/>
      <c r="AO302" s="196"/>
      <c r="AP302" s="196"/>
      <c r="AQ302" s="196"/>
      <c r="AR302" s="196"/>
      <c r="AS302" s="196"/>
      <c r="AT302" s="196"/>
      <c r="AU302" s="197" t="str">
        <f>IFERROR(VLOOKUP(AT302,'Seguridad Información'!$I$61:$J$65,2,0),"")</f>
        <v/>
      </c>
      <c r="AV302" s="79"/>
      <c r="AW302" s="78" t="str">
        <f t="shared" si="48"/>
        <v/>
      </c>
      <c r="AX302" s="77" t="str">
        <f t="shared" si="58"/>
        <v/>
      </c>
      <c r="AY302" s="21" t="str">
        <f>IFERROR(VLOOKUP((CONCATENATE(AM302,AX302)),Listados!$U$3:$V$11,2,FALSE),"")</f>
        <v/>
      </c>
      <c r="AZ302" s="48">
        <f t="shared" si="59"/>
        <v>100</v>
      </c>
      <c r="BA302" s="431"/>
      <c r="BB302" s="433"/>
      <c r="BC302" s="169">
        <f>+IF(AND(W302="Preventivo",BB301="Fuerte"),2,IF(AND(W302="Preventivo",BB301="Moderado"),1,0))</f>
        <v>0</v>
      </c>
      <c r="BD302" s="64">
        <f>+IF(AND(W302="Detectivo/Correctivo",$BB301="Fuerte"),2,IF(AND(W302="Detectivo/Correctivo",$BB302="Moderado"),1,IF(AND(W302="Preventivo",$BB301="Fuerte"),1,0)))</f>
        <v>0</v>
      </c>
      <c r="BE302" s="169" t="e">
        <f>+N301-BC302</f>
        <v>#N/A</v>
      </c>
      <c r="BF302" s="169" t="e">
        <f>+P301-BD302</f>
        <v>#N/A</v>
      </c>
      <c r="BG302" s="422"/>
      <c r="BH302" s="422"/>
      <c r="BI302" s="422"/>
      <c r="BJ302" s="645"/>
      <c r="BK302" s="645"/>
      <c r="BL302" s="645"/>
      <c r="BM302" s="645"/>
    </row>
    <row r="303" spans="1:65" ht="65.099999999999994" customHeight="1" thickBot="1">
      <c r="A303" s="405"/>
      <c r="B303" s="625"/>
      <c r="C303" s="440"/>
      <c r="D303" s="152"/>
      <c r="E303" s="152"/>
      <c r="F303" s="475"/>
      <c r="G303" s="443"/>
      <c r="H303" s="100"/>
      <c r="I303" s="128"/>
      <c r="J303" s="100"/>
      <c r="K303" s="147"/>
      <c r="L303" s="129"/>
      <c r="M303" s="446"/>
      <c r="N303" s="425"/>
      <c r="O303" s="428"/>
      <c r="P303" s="425"/>
      <c r="Q303" s="429"/>
      <c r="R303" s="422"/>
      <c r="S303" s="150"/>
      <c r="T303" s="96"/>
      <c r="U303" s="47" t="s">
        <v>627</v>
      </c>
      <c r="V303" s="172"/>
      <c r="W303" s="172"/>
      <c r="X303" s="172"/>
      <c r="Y303" s="95" t="str">
        <f t="shared" si="49"/>
        <v/>
      </c>
      <c r="Z303" s="172"/>
      <c r="AA303" s="95" t="str">
        <f t="shared" si="50"/>
        <v/>
      </c>
      <c r="AB303" s="150"/>
      <c r="AC303" s="95" t="str">
        <f t="shared" si="51"/>
        <v/>
      </c>
      <c r="AD303" s="150"/>
      <c r="AE303" s="95" t="str">
        <f t="shared" si="52"/>
        <v/>
      </c>
      <c r="AF303" s="150"/>
      <c r="AG303" s="95" t="str">
        <f t="shared" si="53"/>
        <v/>
      </c>
      <c r="AH303" s="150"/>
      <c r="AI303" s="95" t="str">
        <f t="shared" si="54"/>
        <v/>
      </c>
      <c r="AJ303" s="150"/>
      <c r="AK303" s="27" t="str">
        <f t="shared" si="55"/>
        <v/>
      </c>
      <c r="AL303" s="48" t="str">
        <f t="shared" si="56"/>
        <v/>
      </c>
      <c r="AM303" s="48" t="str">
        <f t="shared" si="57"/>
        <v/>
      </c>
      <c r="AN303" s="196"/>
      <c r="AO303" s="196"/>
      <c r="AP303" s="196"/>
      <c r="AQ303" s="196"/>
      <c r="AR303" s="196"/>
      <c r="AS303" s="196"/>
      <c r="AT303" s="196"/>
      <c r="AU303" s="197" t="str">
        <f>IFERROR(VLOOKUP(AT303,'Seguridad Información'!$I$61:$J$65,2,0),"")</f>
        <v/>
      </c>
      <c r="AV303" s="79"/>
      <c r="AW303" s="78" t="str">
        <f t="shared" si="48"/>
        <v/>
      </c>
      <c r="AX303" s="77" t="str">
        <f t="shared" si="58"/>
        <v/>
      </c>
      <c r="AY303" s="21" t="str">
        <f>IFERROR(VLOOKUP((CONCATENATE(AM303,AX303)),Listados!$U$3:$V$11,2,FALSE),"")</f>
        <v/>
      </c>
      <c r="AZ303" s="48">
        <f t="shared" si="59"/>
        <v>100</v>
      </c>
      <c r="BA303" s="431"/>
      <c r="BB303" s="433"/>
      <c r="BC303" s="169">
        <f>+IF(AND(W303="Preventivo",BB301="Fuerte"),2,IF(AND(W303="Preventivo",BB301="Moderado"),1,0))</f>
        <v>0</v>
      </c>
      <c r="BD303" s="64">
        <f>+IF(AND(W303="Detectivo/Correctivo",$BB301="Fuerte"),2,IF(AND(W303="Detectivo/Correctivo",$BB303="Moderado"),1,IF(AND(W303="Preventivo",$BB301="Fuerte"),1,0)))</f>
        <v>0</v>
      </c>
      <c r="BE303" s="169" t="e">
        <f>+N301-BC303</f>
        <v>#N/A</v>
      </c>
      <c r="BF303" s="169" t="e">
        <f>+P301-BD303</f>
        <v>#N/A</v>
      </c>
      <c r="BG303" s="422"/>
      <c r="BH303" s="422"/>
      <c r="BI303" s="422"/>
      <c r="BJ303" s="645"/>
      <c r="BK303" s="645"/>
      <c r="BL303" s="645"/>
      <c r="BM303" s="645"/>
    </row>
    <row r="304" spans="1:65" ht="65.099999999999994" customHeight="1" thickBot="1">
      <c r="A304" s="405"/>
      <c r="B304" s="625"/>
      <c r="C304" s="440"/>
      <c r="D304" s="152"/>
      <c r="E304" s="152"/>
      <c r="F304" s="475"/>
      <c r="G304" s="443"/>
      <c r="H304" s="100"/>
      <c r="I304" s="128"/>
      <c r="J304" s="100"/>
      <c r="K304" s="147"/>
      <c r="L304" s="129"/>
      <c r="M304" s="446"/>
      <c r="N304" s="425"/>
      <c r="O304" s="428"/>
      <c r="P304" s="425"/>
      <c r="Q304" s="429"/>
      <c r="R304" s="422"/>
      <c r="S304" s="150"/>
      <c r="T304" s="97"/>
      <c r="U304" s="47" t="s">
        <v>627</v>
      </c>
      <c r="V304" s="172"/>
      <c r="W304" s="172"/>
      <c r="X304" s="172"/>
      <c r="Y304" s="95" t="str">
        <f t="shared" si="49"/>
        <v/>
      </c>
      <c r="Z304" s="172"/>
      <c r="AA304" s="95" t="str">
        <f t="shared" si="50"/>
        <v/>
      </c>
      <c r="AB304" s="150"/>
      <c r="AC304" s="95" t="str">
        <f t="shared" si="51"/>
        <v/>
      </c>
      <c r="AD304" s="150"/>
      <c r="AE304" s="95" t="str">
        <f t="shared" si="52"/>
        <v/>
      </c>
      <c r="AF304" s="150"/>
      <c r="AG304" s="95" t="str">
        <f t="shared" si="53"/>
        <v/>
      </c>
      <c r="AH304" s="150"/>
      <c r="AI304" s="95" t="str">
        <f t="shared" si="54"/>
        <v/>
      </c>
      <c r="AJ304" s="150"/>
      <c r="AK304" s="27" t="str">
        <f t="shared" si="55"/>
        <v/>
      </c>
      <c r="AL304" s="48" t="str">
        <f t="shared" si="56"/>
        <v/>
      </c>
      <c r="AM304" s="48" t="str">
        <f t="shared" si="57"/>
        <v/>
      </c>
      <c r="AN304" s="196"/>
      <c r="AO304" s="196"/>
      <c r="AP304" s="196"/>
      <c r="AQ304" s="196"/>
      <c r="AR304" s="196"/>
      <c r="AS304" s="196"/>
      <c r="AT304" s="196"/>
      <c r="AU304" s="197" t="str">
        <f>IFERROR(VLOOKUP(AT304,'Seguridad Información'!$I$61:$J$65,2,0),"")</f>
        <v/>
      </c>
      <c r="AV304" s="79"/>
      <c r="AW304" s="78" t="str">
        <f t="shared" si="48"/>
        <v/>
      </c>
      <c r="AX304" s="77" t="str">
        <f t="shared" si="58"/>
        <v/>
      </c>
      <c r="AY304" s="21" t="str">
        <f>IFERROR(VLOOKUP((CONCATENATE(AM304,AX304)),Listados!$U$3:$V$11,2,FALSE),"")</f>
        <v/>
      </c>
      <c r="AZ304" s="48">
        <f t="shared" si="59"/>
        <v>100</v>
      </c>
      <c r="BA304" s="431"/>
      <c r="BB304" s="433"/>
      <c r="BC304" s="169">
        <f>+IF(AND(W304="Preventivo",BB301="Fuerte"),2,IF(AND(W304="Preventivo",BB301="Moderado"),1,0))</f>
        <v>0</v>
      </c>
      <c r="BD304" s="64">
        <f>+IF(AND(W304="Detectivo/Correctivo",$BB301="Fuerte"),2,IF(AND(W304="Detectivo/Correctivo",$BB304="Moderado"),1,IF(AND(W304="Preventivo",$BB301="Fuerte"),1,0)))</f>
        <v>0</v>
      </c>
      <c r="BE304" s="169" t="e">
        <f>+N301-BC304</f>
        <v>#N/A</v>
      </c>
      <c r="BF304" s="169" t="e">
        <f>+P301-BD304</f>
        <v>#N/A</v>
      </c>
      <c r="BG304" s="422"/>
      <c r="BH304" s="422"/>
      <c r="BI304" s="422"/>
      <c r="BJ304" s="645"/>
      <c r="BK304" s="645"/>
      <c r="BL304" s="645"/>
      <c r="BM304" s="645"/>
    </row>
    <row r="305" spans="1:65" ht="65.099999999999994" customHeight="1" thickBot="1">
      <c r="A305" s="405"/>
      <c r="B305" s="625"/>
      <c r="C305" s="440"/>
      <c r="D305" s="109"/>
      <c r="E305" s="109"/>
      <c r="F305" s="475"/>
      <c r="G305" s="443"/>
      <c r="H305" s="100"/>
      <c r="I305" s="128"/>
      <c r="J305" s="100"/>
      <c r="K305" s="29"/>
      <c r="L305" s="129"/>
      <c r="M305" s="446"/>
      <c r="N305" s="425"/>
      <c r="O305" s="428"/>
      <c r="P305" s="425"/>
      <c r="Q305" s="429"/>
      <c r="R305" s="422"/>
      <c r="S305" s="150"/>
      <c r="T305" s="198"/>
      <c r="U305" s="47" t="s">
        <v>627</v>
      </c>
      <c r="V305" s="172"/>
      <c r="W305" s="172"/>
      <c r="X305" s="172"/>
      <c r="Y305" s="95" t="str">
        <f t="shared" si="49"/>
        <v/>
      </c>
      <c r="Z305" s="172"/>
      <c r="AA305" s="95" t="str">
        <f t="shared" si="50"/>
        <v/>
      </c>
      <c r="AB305" s="150"/>
      <c r="AC305" s="95" t="str">
        <f t="shared" si="51"/>
        <v/>
      </c>
      <c r="AD305" s="150"/>
      <c r="AE305" s="95" t="str">
        <f t="shared" si="52"/>
        <v/>
      </c>
      <c r="AF305" s="150"/>
      <c r="AG305" s="95" t="str">
        <f t="shared" si="53"/>
        <v/>
      </c>
      <c r="AH305" s="150"/>
      <c r="AI305" s="95" t="str">
        <f t="shared" si="54"/>
        <v/>
      </c>
      <c r="AJ305" s="150"/>
      <c r="AK305" s="27" t="str">
        <f t="shared" si="55"/>
        <v/>
      </c>
      <c r="AL305" s="48" t="str">
        <f t="shared" si="56"/>
        <v/>
      </c>
      <c r="AM305" s="48" t="str">
        <f t="shared" si="57"/>
        <v/>
      </c>
      <c r="AN305" s="196"/>
      <c r="AO305" s="196"/>
      <c r="AP305" s="196"/>
      <c r="AQ305" s="196"/>
      <c r="AR305" s="196"/>
      <c r="AS305" s="196"/>
      <c r="AT305" s="196"/>
      <c r="AU305" s="197" t="str">
        <f>IFERROR(VLOOKUP(AT305,'Seguridad Información'!$I$61:$J$65,2,0),"")</f>
        <v/>
      </c>
      <c r="AV305" s="79"/>
      <c r="AW305" s="78" t="str">
        <f t="shared" si="48"/>
        <v/>
      </c>
      <c r="AX305" s="77" t="str">
        <f t="shared" si="58"/>
        <v/>
      </c>
      <c r="AY305" s="21" t="str">
        <f>IFERROR(VLOOKUP((CONCATENATE(AM305,AX305)),Listados!$U$3:$V$11,2,FALSE),"")</f>
        <v/>
      </c>
      <c r="AZ305" s="48">
        <f t="shared" si="59"/>
        <v>100</v>
      </c>
      <c r="BA305" s="431"/>
      <c r="BB305" s="433"/>
      <c r="BC305" s="169">
        <f>+IF(AND(W305="Preventivo",BB301="Fuerte"),2,IF(AND(W305="Preventivo",BB301="Moderado"),1,0))</f>
        <v>0</v>
      </c>
      <c r="BD305" s="64">
        <f>+IF(AND(W305="Detectivo/Correctivo",$BB301="Fuerte"),2,IF(AND(W305="Detectivo/Correctivo",$BB305="Moderado"),1,IF(AND(W305="Preventivo",$BB301="Fuerte"),1,0)))</f>
        <v>0</v>
      </c>
      <c r="BE305" s="169" t="e">
        <f>+N301-BC305</f>
        <v>#N/A</v>
      </c>
      <c r="BF305" s="169" t="e">
        <f>+P301-BD305</f>
        <v>#N/A</v>
      </c>
      <c r="BG305" s="422"/>
      <c r="BH305" s="422"/>
      <c r="BI305" s="422"/>
      <c r="BJ305" s="645"/>
      <c r="BK305" s="645"/>
      <c r="BL305" s="645"/>
      <c r="BM305" s="645"/>
    </row>
    <row r="306" spans="1:65" ht="65.099999999999994" customHeight="1" thickBot="1">
      <c r="A306" s="406"/>
      <c r="B306" s="625"/>
      <c r="C306" s="441"/>
      <c r="D306" s="106"/>
      <c r="E306" s="106"/>
      <c r="F306" s="619"/>
      <c r="G306" s="444"/>
      <c r="H306" s="100"/>
      <c r="I306" s="128"/>
      <c r="J306" s="100"/>
      <c r="K306" s="31"/>
      <c r="L306" s="129"/>
      <c r="M306" s="446"/>
      <c r="N306" s="426"/>
      <c r="O306" s="428"/>
      <c r="P306" s="426"/>
      <c r="Q306" s="429"/>
      <c r="R306" s="423"/>
      <c r="S306" s="150"/>
      <c r="T306" s="98"/>
      <c r="U306" s="47" t="s">
        <v>627</v>
      </c>
      <c r="V306" s="172"/>
      <c r="W306" s="172"/>
      <c r="X306" s="172"/>
      <c r="Y306" s="95" t="str">
        <f t="shared" si="49"/>
        <v/>
      </c>
      <c r="Z306" s="172"/>
      <c r="AA306" s="95" t="str">
        <f t="shared" si="50"/>
        <v/>
      </c>
      <c r="AB306" s="150"/>
      <c r="AC306" s="95" t="str">
        <f t="shared" si="51"/>
        <v/>
      </c>
      <c r="AD306" s="150"/>
      <c r="AE306" s="95" t="str">
        <f t="shared" si="52"/>
        <v/>
      </c>
      <c r="AF306" s="150"/>
      <c r="AG306" s="95" t="str">
        <f t="shared" si="53"/>
        <v/>
      </c>
      <c r="AH306" s="150"/>
      <c r="AI306" s="95" t="str">
        <f t="shared" si="54"/>
        <v/>
      </c>
      <c r="AJ306" s="150"/>
      <c r="AK306" s="27" t="str">
        <f t="shared" si="55"/>
        <v/>
      </c>
      <c r="AL306" s="48" t="str">
        <f t="shared" si="56"/>
        <v/>
      </c>
      <c r="AM306" s="48" t="str">
        <f t="shared" si="57"/>
        <v/>
      </c>
      <c r="AN306" s="196"/>
      <c r="AO306" s="196"/>
      <c r="AP306" s="196"/>
      <c r="AQ306" s="196"/>
      <c r="AR306" s="196"/>
      <c r="AS306" s="196"/>
      <c r="AT306" s="196"/>
      <c r="AU306" s="197" t="str">
        <f>IFERROR(VLOOKUP(AT306,'Seguridad Información'!$I$61:$J$65,2,0),"")</f>
        <v/>
      </c>
      <c r="AV306" s="79"/>
      <c r="AW306" s="78" t="str">
        <f t="shared" si="48"/>
        <v/>
      </c>
      <c r="AX306" s="77" t="str">
        <f t="shared" si="58"/>
        <v/>
      </c>
      <c r="AY306" s="21" t="str">
        <f>IFERROR(VLOOKUP((CONCATENATE(AM306,AX306)),Listados!$U$3:$V$11,2,FALSE),"")</f>
        <v/>
      </c>
      <c r="AZ306" s="48">
        <f t="shared" si="59"/>
        <v>100</v>
      </c>
      <c r="BA306" s="432"/>
      <c r="BB306" s="433"/>
      <c r="BC306" s="169">
        <f>+IF(AND(W306="Preventivo",BB301="Fuerte"),2,IF(AND(W306="Preventivo",BB301="Moderado"),1,0))</f>
        <v>0</v>
      </c>
      <c r="BD306" s="64">
        <f>+IF(AND(W306="Detectivo/Correctivo",$BB301="Fuerte"),2,IF(AND(W306="Detectivo/Correctivo",$BB306="Moderado"),1,IF(AND(W306="Preventivo",$BB301="Fuerte"),1,0)))</f>
        <v>0</v>
      </c>
      <c r="BE306" s="169" t="e">
        <f>+N301-BC306</f>
        <v>#N/A</v>
      </c>
      <c r="BF306" s="169" t="e">
        <f>+P301-BD306</f>
        <v>#N/A</v>
      </c>
      <c r="BG306" s="423"/>
      <c r="BH306" s="423"/>
      <c r="BI306" s="423"/>
      <c r="BJ306" s="646"/>
      <c r="BK306" s="646"/>
      <c r="BL306" s="646"/>
      <c r="BM306" s="646"/>
    </row>
    <row r="307" spans="1:65" ht="65.099999999999994" customHeight="1" thickBot="1">
      <c r="A307" s="404">
        <v>51</v>
      </c>
      <c r="B307" s="628"/>
      <c r="C307" s="447" t="str">
        <f>IFERROR(VLOOKUP(B307,Listados!B$3:C$20,2,FALSE),"")</f>
        <v/>
      </c>
      <c r="D307" s="107"/>
      <c r="E307" s="107"/>
      <c r="F307" s="618"/>
      <c r="G307" s="448"/>
      <c r="H307" s="100"/>
      <c r="I307" s="128"/>
      <c r="J307" s="100"/>
      <c r="K307" s="103"/>
      <c r="L307" s="17"/>
      <c r="M307" s="445"/>
      <c r="N307" s="424" t="e">
        <f>+VLOOKUP(M307,Listados!$K$8:$L$12,2,0)</f>
        <v>#N/A</v>
      </c>
      <c r="O307" s="427"/>
      <c r="P307" s="424" t="e">
        <f>+VLOOKUP(O307,Listados!$K$13:$L$17,2,0)</f>
        <v>#N/A</v>
      </c>
      <c r="Q307" s="423" t="str">
        <f>IF(AND(M307&lt;&gt;"",O307&lt;&gt;""),VLOOKUP(M307&amp;O307,Listados!$M$3:$N$27,2,FALSE),"")</f>
        <v/>
      </c>
      <c r="R307" s="421" t="e">
        <f>+VLOOKUP(Q307,Listados!$P$3:$Q$6,2,FALSE)</f>
        <v>#N/A</v>
      </c>
      <c r="S307" s="150"/>
      <c r="T307" s="94"/>
      <c r="U307" s="47" t="s">
        <v>627</v>
      </c>
      <c r="V307" s="172"/>
      <c r="W307" s="172"/>
      <c r="X307" s="172"/>
      <c r="Y307" s="95" t="str">
        <f t="shared" si="49"/>
        <v/>
      </c>
      <c r="Z307" s="172"/>
      <c r="AA307" s="95" t="str">
        <f t="shared" si="50"/>
        <v/>
      </c>
      <c r="AB307" s="150"/>
      <c r="AC307" s="95" t="str">
        <f t="shared" si="51"/>
        <v/>
      </c>
      <c r="AD307" s="150"/>
      <c r="AE307" s="95" t="str">
        <f t="shared" si="52"/>
        <v/>
      </c>
      <c r="AF307" s="150"/>
      <c r="AG307" s="95" t="str">
        <f t="shared" si="53"/>
        <v/>
      </c>
      <c r="AH307" s="150"/>
      <c r="AI307" s="95" t="str">
        <f t="shared" si="54"/>
        <v/>
      </c>
      <c r="AJ307" s="150"/>
      <c r="AK307" s="27" t="str">
        <f t="shared" si="55"/>
        <v/>
      </c>
      <c r="AL307" s="48" t="str">
        <f t="shared" si="56"/>
        <v/>
      </c>
      <c r="AM307" s="48" t="str">
        <f t="shared" si="57"/>
        <v/>
      </c>
      <c r="AN307" s="196"/>
      <c r="AO307" s="196"/>
      <c r="AP307" s="196"/>
      <c r="AQ307" s="196"/>
      <c r="AR307" s="196"/>
      <c r="AS307" s="196"/>
      <c r="AT307" s="196"/>
      <c r="AU307" s="197" t="str">
        <f>IFERROR(VLOOKUP(AT307,'Seguridad Información'!$I$61:$J$65,2,0),"")</f>
        <v/>
      </c>
      <c r="AV307" s="79"/>
      <c r="AW307" s="78" t="str">
        <f t="shared" si="48"/>
        <v/>
      </c>
      <c r="AX307" s="77" t="str">
        <f t="shared" si="58"/>
        <v/>
      </c>
      <c r="AY307" s="21" t="str">
        <f>IFERROR(VLOOKUP((CONCATENATE(AM307,AX307)),Listados!$U$3:$V$11,2,FALSE),"")</f>
        <v/>
      </c>
      <c r="AZ307" s="48">
        <f t="shared" si="59"/>
        <v>100</v>
      </c>
      <c r="BA307" s="430">
        <f>AVERAGE(AZ307:AZ312)</f>
        <v>100</v>
      </c>
      <c r="BB307" s="432" t="str">
        <f>IF(BA307&lt;=50, "Débil", IF(BA307&lt;=99,"Moderado","Fuerte"))</f>
        <v>Fuerte</v>
      </c>
      <c r="BC307" s="169">
        <f>+IF(AND(W307="Preventivo",BB307="Fuerte"),2,IF(AND(W307="Preventivo",BB307="Moderado"),1,0))</f>
        <v>0</v>
      </c>
      <c r="BD307" s="64">
        <f>+IF(AND(W307="Detectivo/Correctivo",$BB307="Fuerte"),2,IF(AND(W307="Detectivo/Correctivo",$BB307="Moderado"),1,IF(AND(W307="Preventivo",$BB307="Fuerte"),1,0)))</f>
        <v>0</v>
      </c>
      <c r="BE307" s="169" t="e">
        <f>+N307-BC307</f>
        <v>#N/A</v>
      </c>
      <c r="BF307" s="169" t="e">
        <f>+P307-BD307</f>
        <v>#N/A</v>
      </c>
      <c r="BG307" s="421" t="e">
        <f>+VLOOKUP(MIN(BE307,BE308,BE309,BE310,BE311,BE312),Listados!$J$18:$K$24,2,TRUE)</f>
        <v>#N/A</v>
      </c>
      <c r="BH307" s="421" t="e">
        <f>+VLOOKUP(MIN(BF307,BF308,BF309,BF310,BF311,BF312),Listados!$J$27:$K$32,2,TRUE)</f>
        <v>#N/A</v>
      </c>
      <c r="BI307" s="421" t="e">
        <f>IF(AND(BG307&lt;&gt;"",BH307&lt;&gt;""),VLOOKUP(BG307&amp;BH307,Listados!$M$3:$N$27,2,FALSE),"")</f>
        <v>#N/A</v>
      </c>
      <c r="BJ307" s="644" t="e">
        <f>+IF($R307="Asumir el riesgo","NA","")</f>
        <v>#N/A</v>
      </c>
      <c r="BK307" s="644" t="e">
        <f>+IF($R307="Asumir el riesgo","NA","")</f>
        <v>#N/A</v>
      </c>
      <c r="BL307" s="644" t="e">
        <f>+IF($R307="Asumir el riesgo","NA","")</f>
        <v>#N/A</v>
      </c>
      <c r="BM307" s="644" t="e">
        <f>+IF($R307="Asumir el riesgo","NA","")</f>
        <v>#N/A</v>
      </c>
    </row>
    <row r="308" spans="1:65" ht="65.099999999999994" customHeight="1" thickBot="1">
      <c r="A308" s="405"/>
      <c r="B308" s="625"/>
      <c r="C308" s="440"/>
      <c r="D308" s="152"/>
      <c r="E308" s="152"/>
      <c r="F308" s="475"/>
      <c r="G308" s="443"/>
      <c r="H308" s="100"/>
      <c r="I308" s="128"/>
      <c r="J308" s="100"/>
      <c r="K308" s="147"/>
      <c r="L308" s="129"/>
      <c r="M308" s="446"/>
      <c r="N308" s="425"/>
      <c r="O308" s="428"/>
      <c r="P308" s="425"/>
      <c r="Q308" s="429"/>
      <c r="R308" s="422"/>
      <c r="S308" s="150"/>
      <c r="T308" s="198"/>
      <c r="U308" s="47" t="s">
        <v>627</v>
      </c>
      <c r="V308" s="172"/>
      <c r="W308" s="172"/>
      <c r="X308" s="172"/>
      <c r="Y308" s="95" t="str">
        <f t="shared" si="49"/>
        <v/>
      </c>
      <c r="Z308" s="172"/>
      <c r="AA308" s="95" t="str">
        <f t="shared" si="50"/>
        <v/>
      </c>
      <c r="AB308" s="150"/>
      <c r="AC308" s="95" t="str">
        <f t="shared" si="51"/>
        <v/>
      </c>
      <c r="AD308" s="150"/>
      <c r="AE308" s="95" t="str">
        <f t="shared" si="52"/>
        <v/>
      </c>
      <c r="AF308" s="150"/>
      <c r="AG308" s="95" t="str">
        <f t="shared" si="53"/>
        <v/>
      </c>
      <c r="AH308" s="150"/>
      <c r="AI308" s="95" t="str">
        <f t="shared" si="54"/>
        <v/>
      </c>
      <c r="AJ308" s="150"/>
      <c r="AK308" s="27" t="str">
        <f t="shared" si="55"/>
        <v/>
      </c>
      <c r="AL308" s="48" t="str">
        <f t="shared" si="56"/>
        <v/>
      </c>
      <c r="AM308" s="48" t="str">
        <f t="shared" si="57"/>
        <v/>
      </c>
      <c r="AN308" s="196"/>
      <c r="AO308" s="196"/>
      <c r="AP308" s="196"/>
      <c r="AQ308" s="196"/>
      <c r="AR308" s="196"/>
      <c r="AS308" s="196"/>
      <c r="AT308" s="196"/>
      <c r="AU308" s="197" t="str">
        <f>IFERROR(VLOOKUP(AT308,'Seguridad Información'!$I$61:$J$65,2,0),"")</f>
        <v/>
      </c>
      <c r="AV308" s="79"/>
      <c r="AW308" s="78" t="str">
        <f t="shared" si="48"/>
        <v/>
      </c>
      <c r="AX308" s="77" t="str">
        <f t="shared" si="58"/>
        <v/>
      </c>
      <c r="AY308" s="21" t="str">
        <f>IFERROR(VLOOKUP((CONCATENATE(AM308,AX308)),Listados!$U$3:$V$11,2,FALSE),"")</f>
        <v/>
      </c>
      <c r="AZ308" s="48">
        <f t="shared" si="59"/>
        <v>100</v>
      </c>
      <c r="BA308" s="431"/>
      <c r="BB308" s="433"/>
      <c r="BC308" s="169">
        <f>+IF(AND(W308="Preventivo",BB307="Fuerte"),2,IF(AND(W308="Preventivo",BB307="Moderado"),1,0))</f>
        <v>0</v>
      </c>
      <c r="BD308" s="64">
        <f>+IF(AND(W308="Detectivo/Correctivo",$BB307="Fuerte"),2,IF(AND(W308="Detectivo/Correctivo",$BB308="Moderado"),1,IF(AND(W308="Preventivo",$BB307="Fuerte"),1,0)))</f>
        <v>0</v>
      </c>
      <c r="BE308" s="169" t="e">
        <f>+N307-BC308</f>
        <v>#N/A</v>
      </c>
      <c r="BF308" s="169" t="e">
        <f>+P307-BD308</f>
        <v>#N/A</v>
      </c>
      <c r="BG308" s="422"/>
      <c r="BH308" s="422"/>
      <c r="BI308" s="422"/>
      <c r="BJ308" s="645"/>
      <c r="BK308" s="645"/>
      <c r="BL308" s="645"/>
      <c r="BM308" s="645"/>
    </row>
    <row r="309" spans="1:65" ht="65.099999999999994" customHeight="1" thickBot="1">
      <c r="A309" s="405"/>
      <c r="B309" s="625"/>
      <c r="C309" s="440"/>
      <c r="D309" s="152"/>
      <c r="E309" s="152"/>
      <c r="F309" s="475"/>
      <c r="G309" s="443"/>
      <c r="H309" s="100"/>
      <c r="I309" s="128"/>
      <c r="J309" s="100"/>
      <c r="K309" s="147"/>
      <c r="L309" s="129"/>
      <c r="M309" s="446"/>
      <c r="N309" s="425"/>
      <c r="O309" s="428"/>
      <c r="P309" s="425"/>
      <c r="Q309" s="429"/>
      <c r="R309" s="422"/>
      <c r="S309" s="150"/>
      <c r="T309" s="96"/>
      <c r="U309" s="47" t="s">
        <v>627</v>
      </c>
      <c r="V309" s="172"/>
      <c r="W309" s="172"/>
      <c r="X309" s="172"/>
      <c r="Y309" s="95" t="str">
        <f t="shared" si="49"/>
        <v/>
      </c>
      <c r="Z309" s="172"/>
      <c r="AA309" s="95" t="str">
        <f t="shared" si="50"/>
        <v/>
      </c>
      <c r="AB309" s="150"/>
      <c r="AC309" s="95" t="str">
        <f t="shared" si="51"/>
        <v/>
      </c>
      <c r="AD309" s="150"/>
      <c r="AE309" s="95" t="str">
        <f t="shared" si="52"/>
        <v/>
      </c>
      <c r="AF309" s="150"/>
      <c r="AG309" s="95" t="str">
        <f t="shared" si="53"/>
        <v/>
      </c>
      <c r="AH309" s="150"/>
      <c r="AI309" s="95" t="str">
        <f t="shared" si="54"/>
        <v/>
      </c>
      <c r="AJ309" s="150"/>
      <c r="AK309" s="27" t="str">
        <f t="shared" si="55"/>
        <v/>
      </c>
      <c r="AL309" s="48" t="str">
        <f t="shared" si="56"/>
        <v/>
      </c>
      <c r="AM309" s="48" t="str">
        <f t="shared" si="57"/>
        <v/>
      </c>
      <c r="AN309" s="196"/>
      <c r="AO309" s="196"/>
      <c r="AP309" s="196"/>
      <c r="AQ309" s="196"/>
      <c r="AR309" s="196"/>
      <c r="AS309" s="196"/>
      <c r="AT309" s="196"/>
      <c r="AU309" s="197" t="str">
        <f>IFERROR(VLOOKUP(AT309,'Seguridad Información'!$I$61:$J$65,2,0),"")</f>
        <v/>
      </c>
      <c r="AV309" s="79"/>
      <c r="AW309" s="78" t="str">
        <f t="shared" si="48"/>
        <v/>
      </c>
      <c r="AX309" s="77" t="str">
        <f t="shared" si="58"/>
        <v/>
      </c>
      <c r="AY309" s="21" t="str">
        <f>IFERROR(VLOOKUP((CONCATENATE(AM309,AX309)),Listados!$U$3:$V$11,2,FALSE),"")</f>
        <v/>
      </c>
      <c r="AZ309" s="48">
        <f t="shared" si="59"/>
        <v>100</v>
      </c>
      <c r="BA309" s="431"/>
      <c r="BB309" s="433"/>
      <c r="BC309" s="169">
        <f>+IF(AND(W309="Preventivo",BB307="Fuerte"),2,IF(AND(W309="Preventivo",BB307="Moderado"),1,0))</f>
        <v>0</v>
      </c>
      <c r="BD309" s="64">
        <f>+IF(AND(W309="Detectivo/Correctivo",$BB307="Fuerte"),2,IF(AND(W309="Detectivo/Correctivo",$BB309="Moderado"),1,IF(AND(W309="Preventivo",$BB307="Fuerte"),1,0)))</f>
        <v>0</v>
      </c>
      <c r="BE309" s="169" t="e">
        <f>+N307-BC309</f>
        <v>#N/A</v>
      </c>
      <c r="BF309" s="169" t="e">
        <f>+P307-BD309</f>
        <v>#N/A</v>
      </c>
      <c r="BG309" s="422"/>
      <c r="BH309" s="422"/>
      <c r="BI309" s="422"/>
      <c r="BJ309" s="645"/>
      <c r="BK309" s="645"/>
      <c r="BL309" s="645"/>
      <c r="BM309" s="645"/>
    </row>
    <row r="310" spans="1:65" ht="65.099999999999994" customHeight="1" thickBot="1">
      <c r="A310" s="405"/>
      <c r="B310" s="625"/>
      <c r="C310" s="440"/>
      <c r="D310" s="152"/>
      <c r="E310" s="152"/>
      <c r="F310" s="475"/>
      <c r="G310" s="443"/>
      <c r="H310" s="100"/>
      <c r="I310" s="128"/>
      <c r="J310" s="100"/>
      <c r="K310" s="147"/>
      <c r="L310" s="129"/>
      <c r="M310" s="446"/>
      <c r="N310" s="425"/>
      <c r="O310" s="428"/>
      <c r="P310" s="425"/>
      <c r="Q310" s="429"/>
      <c r="R310" s="422"/>
      <c r="S310" s="150"/>
      <c r="T310" s="97"/>
      <c r="U310" s="47" t="s">
        <v>627</v>
      </c>
      <c r="V310" s="172"/>
      <c r="W310" s="172"/>
      <c r="X310" s="172"/>
      <c r="Y310" s="95" t="str">
        <f t="shared" si="49"/>
        <v/>
      </c>
      <c r="Z310" s="172"/>
      <c r="AA310" s="95" t="str">
        <f t="shared" si="50"/>
        <v/>
      </c>
      <c r="AB310" s="150"/>
      <c r="AC310" s="95" t="str">
        <f t="shared" si="51"/>
        <v/>
      </c>
      <c r="AD310" s="150"/>
      <c r="AE310" s="95" t="str">
        <f t="shared" si="52"/>
        <v/>
      </c>
      <c r="AF310" s="150"/>
      <c r="AG310" s="95" t="str">
        <f t="shared" si="53"/>
        <v/>
      </c>
      <c r="AH310" s="150"/>
      <c r="AI310" s="95" t="str">
        <f t="shared" si="54"/>
        <v/>
      </c>
      <c r="AJ310" s="150"/>
      <c r="AK310" s="27" t="str">
        <f t="shared" si="55"/>
        <v/>
      </c>
      <c r="AL310" s="48" t="str">
        <f t="shared" si="56"/>
        <v/>
      </c>
      <c r="AM310" s="48" t="str">
        <f t="shared" si="57"/>
        <v/>
      </c>
      <c r="AN310" s="196"/>
      <c r="AO310" s="196"/>
      <c r="AP310" s="196"/>
      <c r="AQ310" s="196"/>
      <c r="AR310" s="196"/>
      <c r="AS310" s="196"/>
      <c r="AT310" s="196"/>
      <c r="AU310" s="197" t="str">
        <f>IFERROR(VLOOKUP(AT310,'Seguridad Información'!$I$61:$J$65,2,0),"")</f>
        <v/>
      </c>
      <c r="AV310" s="79"/>
      <c r="AW310" s="78" t="str">
        <f t="shared" si="48"/>
        <v/>
      </c>
      <c r="AX310" s="77" t="str">
        <f t="shared" si="58"/>
        <v/>
      </c>
      <c r="AY310" s="21" t="str">
        <f>IFERROR(VLOOKUP((CONCATENATE(AM310,AX310)),Listados!$U$3:$V$11,2,FALSE),"")</f>
        <v/>
      </c>
      <c r="AZ310" s="48">
        <f t="shared" si="59"/>
        <v>100</v>
      </c>
      <c r="BA310" s="431"/>
      <c r="BB310" s="433"/>
      <c r="BC310" s="169">
        <f>+IF(AND(W310="Preventivo",BB307="Fuerte"),2,IF(AND(W310="Preventivo",BB307="Moderado"),1,0))</f>
        <v>0</v>
      </c>
      <c r="BD310" s="64">
        <f>+IF(AND(W310="Detectivo/Correctivo",$BB307="Fuerte"),2,IF(AND(W310="Detectivo/Correctivo",$BB310="Moderado"),1,IF(AND(W310="Preventivo",$BB307="Fuerte"),1,0)))</f>
        <v>0</v>
      </c>
      <c r="BE310" s="169" t="e">
        <f>+N307-BC310</f>
        <v>#N/A</v>
      </c>
      <c r="BF310" s="169" t="e">
        <f>+P307-BD310</f>
        <v>#N/A</v>
      </c>
      <c r="BG310" s="422"/>
      <c r="BH310" s="422"/>
      <c r="BI310" s="422"/>
      <c r="BJ310" s="645"/>
      <c r="BK310" s="645"/>
      <c r="BL310" s="645"/>
      <c r="BM310" s="645"/>
    </row>
    <row r="311" spans="1:65" ht="65.099999999999994" customHeight="1" thickBot="1">
      <c r="A311" s="405"/>
      <c r="B311" s="625"/>
      <c r="C311" s="440"/>
      <c r="D311" s="109"/>
      <c r="E311" s="109"/>
      <c r="F311" s="475"/>
      <c r="G311" s="443"/>
      <c r="H311" s="100"/>
      <c r="I311" s="128"/>
      <c r="J311" s="100"/>
      <c r="K311" s="29"/>
      <c r="L311" s="129"/>
      <c r="M311" s="446"/>
      <c r="N311" s="425"/>
      <c r="O311" s="428"/>
      <c r="P311" s="425"/>
      <c r="Q311" s="429"/>
      <c r="R311" s="422"/>
      <c r="S311" s="150"/>
      <c r="T311" s="198"/>
      <c r="U311" s="47" t="s">
        <v>627</v>
      </c>
      <c r="V311" s="172"/>
      <c r="W311" s="172"/>
      <c r="X311" s="172"/>
      <c r="Y311" s="95" t="str">
        <f t="shared" si="49"/>
        <v/>
      </c>
      <c r="Z311" s="172"/>
      <c r="AA311" s="95" t="str">
        <f t="shared" si="50"/>
        <v/>
      </c>
      <c r="AB311" s="150"/>
      <c r="AC311" s="95" t="str">
        <f t="shared" si="51"/>
        <v/>
      </c>
      <c r="AD311" s="150"/>
      <c r="AE311" s="95" t="str">
        <f t="shared" si="52"/>
        <v/>
      </c>
      <c r="AF311" s="150"/>
      <c r="AG311" s="95" t="str">
        <f t="shared" si="53"/>
        <v/>
      </c>
      <c r="AH311" s="150"/>
      <c r="AI311" s="95" t="str">
        <f t="shared" si="54"/>
        <v/>
      </c>
      <c r="AJ311" s="150"/>
      <c r="AK311" s="27" t="str">
        <f t="shared" si="55"/>
        <v/>
      </c>
      <c r="AL311" s="48" t="str">
        <f t="shared" si="56"/>
        <v/>
      </c>
      <c r="AM311" s="48" t="str">
        <f t="shared" si="57"/>
        <v/>
      </c>
      <c r="AN311" s="196"/>
      <c r="AO311" s="196"/>
      <c r="AP311" s="196"/>
      <c r="AQ311" s="196"/>
      <c r="AR311" s="196"/>
      <c r="AS311" s="196"/>
      <c r="AT311" s="196"/>
      <c r="AU311" s="197" t="str">
        <f>IFERROR(VLOOKUP(AT311,'Seguridad Información'!$I$61:$J$65,2,0),"")</f>
        <v/>
      </c>
      <c r="AV311" s="79"/>
      <c r="AW311" s="78" t="str">
        <f t="shared" si="48"/>
        <v/>
      </c>
      <c r="AX311" s="77" t="str">
        <f t="shared" si="58"/>
        <v/>
      </c>
      <c r="AY311" s="21" t="str">
        <f>IFERROR(VLOOKUP((CONCATENATE(AM311,AX311)),Listados!$U$3:$V$11,2,FALSE),"")</f>
        <v/>
      </c>
      <c r="AZ311" s="48">
        <f t="shared" si="59"/>
        <v>100</v>
      </c>
      <c r="BA311" s="431"/>
      <c r="BB311" s="433"/>
      <c r="BC311" s="169">
        <f>+IF(AND(W311="Preventivo",BB307="Fuerte"),2,IF(AND(W311="Preventivo",BB307="Moderado"),1,0))</f>
        <v>0</v>
      </c>
      <c r="BD311" s="64">
        <f>+IF(AND(W311="Detectivo/Correctivo",$BB307="Fuerte"),2,IF(AND(W311="Detectivo/Correctivo",$BB311="Moderado"),1,IF(AND(W311="Preventivo",$BB307="Fuerte"),1,0)))</f>
        <v>0</v>
      </c>
      <c r="BE311" s="169" t="e">
        <f>+N307-BC311</f>
        <v>#N/A</v>
      </c>
      <c r="BF311" s="169" t="e">
        <f>+P307-BD311</f>
        <v>#N/A</v>
      </c>
      <c r="BG311" s="422"/>
      <c r="BH311" s="422"/>
      <c r="BI311" s="422"/>
      <c r="BJ311" s="645"/>
      <c r="BK311" s="645"/>
      <c r="BL311" s="645"/>
      <c r="BM311" s="645"/>
    </row>
    <row r="312" spans="1:65" ht="65.099999999999994" customHeight="1" thickBot="1">
      <c r="A312" s="406"/>
      <c r="B312" s="625"/>
      <c r="C312" s="441"/>
      <c r="D312" s="106"/>
      <c r="E312" s="106"/>
      <c r="F312" s="619"/>
      <c r="G312" s="444"/>
      <c r="H312" s="100"/>
      <c r="I312" s="128"/>
      <c r="J312" s="100"/>
      <c r="K312" s="31"/>
      <c r="L312" s="129"/>
      <c r="M312" s="446"/>
      <c r="N312" s="426"/>
      <c r="O312" s="428"/>
      <c r="P312" s="426"/>
      <c r="Q312" s="429"/>
      <c r="R312" s="423"/>
      <c r="S312" s="150"/>
      <c r="T312" s="98"/>
      <c r="U312" s="47" t="s">
        <v>627</v>
      </c>
      <c r="V312" s="172"/>
      <c r="W312" s="172"/>
      <c r="X312" s="172"/>
      <c r="Y312" s="95" t="str">
        <f t="shared" si="49"/>
        <v/>
      </c>
      <c r="Z312" s="172"/>
      <c r="AA312" s="95" t="str">
        <f t="shared" si="50"/>
        <v/>
      </c>
      <c r="AB312" s="150"/>
      <c r="AC312" s="95" t="str">
        <f t="shared" si="51"/>
        <v/>
      </c>
      <c r="AD312" s="150"/>
      <c r="AE312" s="95" t="str">
        <f t="shared" si="52"/>
        <v/>
      </c>
      <c r="AF312" s="150"/>
      <c r="AG312" s="95" t="str">
        <f t="shared" si="53"/>
        <v/>
      </c>
      <c r="AH312" s="150"/>
      <c r="AI312" s="95" t="str">
        <f t="shared" si="54"/>
        <v/>
      </c>
      <c r="AJ312" s="150"/>
      <c r="AK312" s="27" t="str">
        <f t="shared" si="55"/>
        <v/>
      </c>
      <c r="AL312" s="48" t="str">
        <f t="shared" si="56"/>
        <v/>
      </c>
      <c r="AM312" s="48" t="str">
        <f t="shared" si="57"/>
        <v/>
      </c>
      <c r="AN312" s="196"/>
      <c r="AO312" s="196"/>
      <c r="AP312" s="196"/>
      <c r="AQ312" s="196"/>
      <c r="AR312" s="196"/>
      <c r="AS312" s="196"/>
      <c r="AT312" s="196"/>
      <c r="AU312" s="197" t="str">
        <f>IFERROR(VLOOKUP(AT312,'Seguridad Información'!$I$61:$J$65,2,0),"")</f>
        <v/>
      </c>
      <c r="AV312" s="79"/>
      <c r="AW312" s="78" t="str">
        <f t="shared" si="48"/>
        <v/>
      </c>
      <c r="AX312" s="77" t="str">
        <f t="shared" si="58"/>
        <v/>
      </c>
      <c r="AY312" s="21" t="str">
        <f>IFERROR(VLOOKUP((CONCATENATE(AM312,AX312)),Listados!$U$3:$V$11,2,FALSE),"")</f>
        <v/>
      </c>
      <c r="AZ312" s="48">
        <f t="shared" si="59"/>
        <v>100</v>
      </c>
      <c r="BA312" s="432"/>
      <c r="BB312" s="433"/>
      <c r="BC312" s="169">
        <f>+IF(AND(W312="Preventivo",BB307="Fuerte"),2,IF(AND(W312="Preventivo",BB307="Moderado"),1,0))</f>
        <v>0</v>
      </c>
      <c r="BD312" s="64">
        <f>+IF(AND(W312="Detectivo/Correctivo",$BB307="Fuerte"),2,IF(AND(W312="Detectivo/Correctivo",$BB312="Moderado"),1,IF(AND(W312="Preventivo",$BB307="Fuerte"),1,0)))</f>
        <v>0</v>
      </c>
      <c r="BE312" s="169" t="e">
        <f>+N307-BC312</f>
        <v>#N/A</v>
      </c>
      <c r="BF312" s="169" t="e">
        <f>+P307-BD312</f>
        <v>#N/A</v>
      </c>
      <c r="BG312" s="423"/>
      <c r="BH312" s="423"/>
      <c r="BI312" s="423"/>
      <c r="BJ312" s="646"/>
      <c r="BK312" s="646"/>
      <c r="BL312" s="646"/>
      <c r="BM312" s="646"/>
    </row>
    <row r="313" spans="1:65" ht="65.099999999999994" customHeight="1" thickBot="1">
      <c r="A313" s="404">
        <v>52</v>
      </c>
      <c r="B313" s="628"/>
      <c r="C313" s="447" t="str">
        <f>IFERROR(VLOOKUP(B313,Listados!B$3:C$20,2,FALSE),"")</f>
        <v/>
      </c>
      <c r="D313" s="107"/>
      <c r="E313" s="107"/>
      <c r="F313" s="618"/>
      <c r="G313" s="448"/>
      <c r="H313" s="100"/>
      <c r="I313" s="128"/>
      <c r="J313" s="100"/>
      <c r="K313" s="103"/>
      <c r="L313" s="17"/>
      <c r="M313" s="445"/>
      <c r="N313" s="424" t="e">
        <f>+VLOOKUP(M313,Listados!$K$8:$L$12,2,0)</f>
        <v>#N/A</v>
      </c>
      <c r="O313" s="427"/>
      <c r="P313" s="424" t="e">
        <f>+VLOOKUP(O313,Listados!$K$13:$L$17,2,0)</f>
        <v>#N/A</v>
      </c>
      <c r="Q313" s="423" t="str">
        <f>IF(AND(M313&lt;&gt;"",O313&lt;&gt;""),VLOOKUP(M313&amp;O313,Listados!$M$3:$N$27,2,FALSE),"")</f>
        <v/>
      </c>
      <c r="R313" s="421" t="e">
        <f>+VLOOKUP(Q313,Listados!$P$3:$Q$6,2,FALSE)</f>
        <v>#N/A</v>
      </c>
      <c r="S313" s="150"/>
      <c r="T313" s="94"/>
      <c r="U313" s="47" t="s">
        <v>627</v>
      </c>
      <c r="V313" s="172"/>
      <c r="W313" s="172"/>
      <c r="X313" s="172"/>
      <c r="Y313" s="95" t="str">
        <f t="shared" si="49"/>
        <v/>
      </c>
      <c r="Z313" s="172"/>
      <c r="AA313" s="95" t="str">
        <f t="shared" si="50"/>
        <v/>
      </c>
      <c r="AB313" s="150"/>
      <c r="AC313" s="95" t="str">
        <f t="shared" si="51"/>
        <v/>
      </c>
      <c r="AD313" s="150"/>
      <c r="AE313" s="95" t="str">
        <f t="shared" si="52"/>
        <v/>
      </c>
      <c r="AF313" s="150"/>
      <c r="AG313" s="95" t="str">
        <f t="shared" si="53"/>
        <v/>
      </c>
      <c r="AH313" s="150"/>
      <c r="AI313" s="95" t="str">
        <f t="shared" si="54"/>
        <v/>
      </c>
      <c r="AJ313" s="150"/>
      <c r="AK313" s="27" t="str">
        <f t="shared" si="55"/>
        <v/>
      </c>
      <c r="AL313" s="48" t="str">
        <f t="shared" si="56"/>
        <v/>
      </c>
      <c r="AM313" s="48" t="str">
        <f t="shared" si="57"/>
        <v/>
      </c>
      <c r="AN313" s="196"/>
      <c r="AO313" s="196"/>
      <c r="AP313" s="196"/>
      <c r="AQ313" s="196"/>
      <c r="AR313" s="196"/>
      <c r="AS313" s="196"/>
      <c r="AT313" s="196"/>
      <c r="AU313" s="197" t="str">
        <f>IFERROR(VLOOKUP(AT313,'Seguridad Información'!$I$61:$J$65,2,0),"")</f>
        <v/>
      </c>
      <c r="AV313" s="79"/>
      <c r="AW313" s="78" t="str">
        <f t="shared" si="48"/>
        <v/>
      </c>
      <c r="AX313" s="77" t="str">
        <f t="shared" si="58"/>
        <v/>
      </c>
      <c r="AY313" s="21" t="str">
        <f>IFERROR(VLOOKUP((CONCATENATE(AM313,AX313)),Listados!$U$3:$V$11,2,FALSE),"")</f>
        <v/>
      </c>
      <c r="AZ313" s="48">
        <f t="shared" si="59"/>
        <v>100</v>
      </c>
      <c r="BA313" s="430">
        <f>AVERAGE(AZ313:AZ318)</f>
        <v>100</v>
      </c>
      <c r="BB313" s="432" t="str">
        <f>IF(BA313&lt;=50, "Débil", IF(BA313&lt;=99,"Moderado","Fuerte"))</f>
        <v>Fuerte</v>
      </c>
      <c r="BC313" s="169">
        <f>+IF(AND(W313="Preventivo",BB313="Fuerte"),2,IF(AND(W313="Preventivo",BB313="Moderado"),1,0))</f>
        <v>0</v>
      </c>
      <c r="BD313" s="64">
        <f>+IF(AND(W313="Detectivo/Correctivo",$BB313="Fuerte"),2,IF(AND(W313="Detectivo/Correctivo",$BB313="Moderado"),1,IF(AND(W313="Preventivo",$BB313="Fuerte"),1,0)))</f>
        <v>0</v>
      </c>
      <c r="BE313" s="169" t="e">
        <f>+N313-BC313</f>
        <v>#N/A</v>
      </c>
      <c r="BF313" s="169" t="e">
        <f>+P313-BD313</f>
        <v>#N/A</v>
      </c>
      <c r="BG313" s="421" t="e">
        <f>+VLOOKUP(MIN(BE313,BE314,BE315,BE316,BE317,BE318),Listados!$J$18:$K$24,2,TRUE)</f>
        <v>#N/A</v>
      </c>
      <c r="BH313" s="421" t="e">
        <f>+VLOOKUP(MIN(BF313,BF314,BF315,BF316,BF317,BF318),Listados!$J$27:$K$32,2,TRUE)</f>
        <v>#N/A</v>
      </c>
      <c r="BI313" s="421" t="e">
        <f>IF(AND(BG313&lt;&gt;"",BH313&lt;&gt;""),VLOOKUP(BG313&amp;BH313,Listados!$M$3:$N$27,2,FALSE),"")</f>
        <v>#N/A</v>
      </c>
      <c r="BJ313" s="644" t="e">
        <f>+IF($R313="Asumir el riesgo","NA","")</f>
        <v>#N/A</v>
      </c>
      <c r="BK313" s="644" t="e">
        <f>+IF($R313="Asumir el riesgo","NA","")</f>
        <v>#N/A</v>
      </c>
      <c r="BL313" s="644" t="e">
        <f>+IF($R313="Asumir el riesgo","NA","")</f>
        <v>#N/A</v>
      </c>
      <c r="BM313" s="644" t="e">
        <f>+IF($R313="Asumir el riesgo","NA","")</f>
        <v>#N/A</v>
      </c>
    </row>
    <row r="314" spans="1:65" ht="65.099999999999994" customHeight="1" thickBot="1">
      <c r="A314" s="405"/>
      <c r="B314" s="625"/>
      <c r="C314" s="440"/>
      <c r="D314" s="152"/>
      <c r="E314" s="152"/>
      <c r="F314" s="475"/>
      <c r="G314" s="443"/>
      <c r="H314" s="100"/>
      <c r="I314" s="128"/>
      <c r="J314" s="100"/>
      <c r="K314" s="147"/>
      <c r="L314" s="129"/>
      <c r="M314" s="446"/>
      <c r="N314" s="425"/>
      <c r="O314" s="428"/>
      <c r="P314" s="425"/>
      <c r="Q314" s="429"/>
      <c r="R314" s="422"/>
      <c r="S314" s="150"/>
      <c r="T314" s="198"/>
      <c r="U314" s="47" t="s">
        <v>627</v>
      </c>
      <c r="V314" s="172"/>
      <c r="W314" s="172"/>
      <c r="X314" s="172"/>
      <c r="Y314" s="95" t="str">
        <f t="shared" si="49"/>
        <v/>
      </c>
      <c r="Z314" s="172"/>
      <c r="AA314" s="95" t="str">
        <f t="shared" si="50"/>
        <v/>
      </c>
      <c r="AB314" s="150"/>
      <c r="AC314" s="95" t="str">
        <f t="shared" si="51"/>
        <v/>
      </c>
      <c r="AD314" s="150"/>
      <c r="AE314" s="95" t="str">
        <f t="shared" si="52"/>
        <v/>
      </c>
      <c r="AF314" s="150"/>
      <c r="AG314" s="95" t="str">
        <f t="shared" si="53"/>
        <v/>
      </c>
      <c r="AH314" s="150"/>
      <c r="AI314" s="95" t="str">
        <f t="shared" si="54"/>
        <v/>
      </c>
      <c r="AJ314" s="150"/>
      <c r="AK314" s="27" t="str">
        <f t="shared" si="55"/>
        <v/>
      </c>
      <c r="AL314" s="48" t="str">
        <f t="shared" si="56"/>
        <v/>
      </c>
      <c r="AM314" s="48" t="str">
        <f t="shared" si="57"/>
        <v/>
      </c>
      <c r="AN314" s="196"/>
      <c r="AO314" s="196"/>
      <c r="AP314" s="196"/>
      <c r="AQ314" s="196"/>
      <c r="AR314" s="196"/>
      <c r="AS314" s="196"/>
      <c r="AT314" s="196"/>
      <c r="AU314" s="197" t="str">
        <f>IFERROR(VLOOKUP(AT314,'Seguridad Información'!$I$61:$J$65,2,0),"")</f>
        <v/>
      </c>
      <c r="AV314" s="79"/>
      <c r="AW314" s="78" t="str">
        <f t="shared" si="48"/>
        <v/>
      </c>
      <c r="AX314" s="77" t="str">
        <f t="shared" si="58"/>
        <v/>
      </c>
      <c r="AY314" s="21" t="str">
        <f>IFERROR(VLOOKUP((CONCATENATE(AM314,AX314)),Listados!$U$3:$V$11,2,FALSE),"")</f>
        <v/>
      </c>
      <c r="AZ314" s="48">
        <f t="shared" si="59"/>
        <v>100</v>
      </c>
      <c r="BA314" s="431"/>
      <c r="BB314" s="433"/>
      <c r="BC314" s="169">
        <f>+IF(AND(W314="Preventivo",BB313="Fuerte"),2,IF(AND(W314="Preventivo",BB313="Moderado"),1,0))</f>
        <v>0</v>
      </c>
      <c r="BD314" s="64">
        <f>+IF(AND(W314="Detectivo/Correctivo",$BB313="Fuerte"),2,IF(AND(W314="Detectivo/Correctivo",$BB314="Moderado"),1,IF(AND(W314="Preventivo",$BB313="Fuerte"),1,0)))</f>
        <v>0</v>
      </c>
      <c r="BE314" s="169" t="e">
        <f>+N313-BC314</f>
        <v>#N/A</v>
      </c>
      <c r="BF314" s="169" t="e">
        <f>+P313-BD314</f>
        <v>#N/A</v>
      </c>
      <c r="BG314" s="422"/>
      <c r="BH314" s="422"/>
      <c r="BI314" s="422"/>
      <c r="BJ314" s="645"/>
      <c r="BK314" s="645"/>
      <c r="BL314" s="645"/>
      <c r="BM314" s="645"/>
    </row>
    <row r="315" spans="1:65" ht="65.099999999999994" customHeight="1" thickBot="1">
      <c r="A315" s="405"/>
      <c r="B315" s="625"/>
      <c r="C315" s="440"/>
      <c r="D315" s="152"/>
      <c r="E315" s="152"/>
      <c r="F315" s="475"/>
      <c r="G315" s="443"/>
      <c r="H315" s="100"/>
      <c r="I315" s="128"/>
      <c r="J315" s="100"/>
      <c r="K315" s="147"/>
      <c r="L315" s="129"/>
      <c r="M315" s="446"/>
      <c r="N315" s="425"/>
      <c r="O315" s="428"/>
      <c r="P315" s="425"/>
      <c r="Q315" s="429"/>
      <c r="R315" s="422"/>
      <c r="S315" s="150"/>
      <c r="T315" s="96"/>
      <c r="U315" s="47" t="s">
        <v>627</v>
      </c>
      <c r="V315" s="172"/>
      <c r="W315" s="172"/>
      <c r="X315" s="172"/>
      <c r="Y315" s="95" t="str">
        <f t="shared" si="49"/>
        <v/>
      </c>
      <c r="Z315" s="172"/>
      <c r="AA315" s="95" t="str">
        <f t="shared" si="50"/>
        <v/>
      </c>
      <c r="AB315" s="150"/>
      <c r="AC315" s="95" t="str">
        <f t="shared" si="51"/>
        <v/>
      </c>
      <c r="AD315" s="150"/>
      <c r="AE315" s="95" t="str">
        <f t="shared" si="52"/>
        <v/>
      </c>
      <c r="AF315" s="150"/>
      <c r="AG315" s="95" t="str">
        <f t="shared" si="53"/>
        <v/>
      </c>
      <c r="AH315" s="150"/>
      <c r="AI315" s="95" t="str">
        <f t="shared" si="54"/>
        <v/>
      </c>
      <c r="AJ315" s="150"/>
      <c r="AK315" s="27" t="str">
        <f t="shared" si="55"/>
        <v/>
      </c>
      <c r="AL315" s="48" t="str">
        <f t="shared" si="56"/>
        <v/>
      </c>
      <c r="AM315" s="48" t="str">
        <f t="shared" si="57"/>
        <v/>
      </c>
      <c r="AN315" s="196"/>
      <c r="AO315" s="196"/>
      <c r="AP315" s="196"/>
      <c r="AQ315" s="196"/>
      <c r="AR315" s="196"/>
      <c r="AS315" s="196"/>
      <c r="AT315" s="196"/>
      <c r="AU315" s="197" t="str">
        <f>IFERROR(VLOOKUP(AT315,'Seguridad Información'!$I$61:$J$65,2,0),"")</f>
        <v/>
      </c>
      <c r="AV315" s="79"/>
      <c r="AW315" s="78" t="str">
        <f t="shared" si="48"/>
        <v/>
      </c>
      <c r="AX315" s="77" t="str">
        <f t="shared" si="58"/>
        <v/>
      </c>
      <c r="AY315" s="21" t="str">
        <f>IFERROR(VLOOKUP((CONCATENATE(AM315,AX315)),Listados!$U$3:$V$11,2,FALSE),"")</f>
        <v/>
      </c>
      <c r="AZ315" s="48">
        <f t="shared" si="59"/>
        <v>100</v>
      </c>
      <c r="BA315" s="431"/>
      <c r="BB315" s="433"/>
      <c r="BC315" s="169">
        <f>+IF(AND(W315="Preventivo",BB313="Fuerte"),2,IF(AND(W315="Preventivo",BB313="Moderado"),1,0))</f>
        <v>0</v>
      </c>
      <c r="BD315" s="64">
        <f>+IF(AND(W315="Detectivo/Correctivo",$BB313="Fuerte"),2,IF(AND(W315="Detectivo/Correctivo",$BB315="Moderado"),1,IF(AND(W315="Preventivo",$BB313="Fuerte"),1,0)))</f>
        <v>0</v>
      </c>
      <c r="BE315" s="169" t="e">
        <f>+N313-BC315</f>
        <v>#N/A</v>
      </c>
      <c r="BF315" s="169" t="e">
        <f>+P313-BD315</f>
        <v>#N/A</v>
      </c>
      <c r="BG315" s="422"/>
      <c r="BH315" s="422"/>
      <c r="BI315" s="422"/>
      <c r="BJ315" s="645"/>
      <c r="BK315" s="645"/>
      <c r="BL315" s="645"/>
      <c r="BM315" s="645"/>
    </row>
    <row r="316" spans="1:65" ht="65.099999999999994" customHeight="1" thickBot="1">
      <c r="A316" s="405"/>
      <c r="B316" s="625"/>
      <c r="C316" s="440"/>
      <c r="D316" s="152"/>
      <c r="E316" s="152"/>
      <c r="F316" s="475"/>
      <c r="G316" s="443"/>
      <c r="H316" s="100"/>
      <c r="I316" s="128"/>
      <c r="J316" s="100"/>
      <c r="K316" s="147"/>
      <c r="L316" s="129"/>
      <c r="M316" s="446"/>
      <c r="N316" s="425"/>
      <c r="O316" s="428"/>
      <c r="P316" s="425"/>
      <c r="Q316" s="429"/>
      <c r="R316" s="422"/>
      <c r="S316" s="150"/>
      <c r="T316" s="97"/>
      <c r="U316" s="47" t="s">
        <v>627</v>
      </c>
      <c r="V316" s="172"/>
      <c r="W316" s="172"/>
      <c r="X316" s="172"/>
      <c r="Y316" s="95" t="str">
        <f t="shared" si="49"/>
        <v/>
      </c>
      <c r="Z316" s="172"/>
      <c r="AA316" s="95" t="str">
        <f t="shared" si="50"/>
        <v/>
      </c>
      <c r="AB316" s="150"/>
      <c r="AC316" s="95" t="str">
        <f t="shared" si="51"/>
        <v/>
      </c>
      <c r="AD316" s="150"/>
      <c r="AE316" s="95" t="str">
        <f t="shared" si="52"/>
        <v/>
      </c>
      <c r="AF316" s="150"/>
      <c r="AG316" s="95" t="str">
        <f t="shared" si="53"/>
        <v/>
      </c>
      <c r="AH316" s="150"/>
      <c r="AI316" s="95" t="str">
        <f t="shared" si="54"/>
        <v/>
      </c>
      <c r="AJ316" s="150"/>
      <c r="AK316" s="27" t="str">
        <f t="shared" si="55"/>
        <v/>
      </c>
      <c r="AL316" s="48" t="str">
        <f t="shared" si="56"/>
        <v/>
      </c>
      <c r="AM316" s="48" t="str">
        <f t="shared" si="57"/>
        <v/>
      </c>
      <c r="AN316" s="196"/>
      <c r="AO316" s="196"/>
      <c r="AP316" s="196"/>
      <c r="AQ316" s="196"/>
      <c r="AR316" s="196"/>
      <c r="AS316" s="196"/>
      <c r="AT316" s="196"/>
      <c r="AU316" s="197" t="str">
        <f>IFERROR(VLOOKUP(AT316,'Seguridad Información'!$I$61:$J$65,2,0),"")</f>
        <v/>
      </c>
      <c r="AV316" s="79"/>
      <c r="AW316" s="78" t="str">
        <f t="shared" si="48"/>
        <v/>
      </c>
      <c r="AX316" s="77" t="str">
        <f t="shared" si="58"/>
        <v/>
      </c>
      <c r="AY316" s="21" t="str">
        <f>IFERROR(VLOOKUP((CONCATENATE(AM316,AX316)),Listados!$U$3:$V$11,2,FALSE),"")</f>
        <v/>
      </c>
      <c r="AZ316" s="48">
        <f t="shared" si="59"/>
        <v>100</v>
      </c>
      <c r="BA316" s="431"/>
      <c r="BB316" s="433"/>
      <c r="BC316" s="169">
        <f>+IF(AND(W316="Preventivo",BB313="Fuerte"),2,IF(AND(W316="Preventivo",BB313="Moderado"),1,0))</f>
        <v>0</v>
      </c>
      <c r="BD316" s="64">
        <f>+IF(AND(W316="Detectivo/Correctivo",$BB313="Fuerte"),2,IF(AND(W316="Detectivo/Correctivo",$BB316="Moderado"),1,IF(AND(W316="Preventivo",$BB313="Fuerte"),1,0)))</f>
        <v>0</v>
      </c>
      <c r="BE316" s="169" t="e">
        <f>+N313-BC316</f>
        <v>#N/A</v>
      </c>
      <c r="BF316" s="169" t="e">
        <f>+P313-BD316</f>
        <v>#N/A</v>
      </c>
      <c r="BG316" s="422"/>
      <c r="BH316" s="422"/>
      <c r="BI316" s="422"/>
      <c r="BJ316" s="645"/>
      <c r="BK316" s="645"/>
      <c r="BL316" s="645"/>
      <c r="BM316" s="645"/>
    </row>
    <row r="317" spans="1:65" ht="65.099999999999994" customHeight="1" thickBot="1">
      <c r="A317" s="405"/>
      <c r="B317" s="625"/>
      <c r="C317" s="440"/>
      <c r="D317" s="109"/>
      <c r="E317" s="109"/>
      <c r="F317" s="475"/>
      <c r="G317" s="443"/>
      <c r="H317" s="100"/>
      <c r="I317" s="128"/>
      <c r="J317" s="100"/>
      <c r="K317" s="29"/>
      <c r="L317" s="129"/>
      <c r="M317" s="446"/>
      <c r="N317" s="425"/>
      <c r="O317" s="428"/>
      <c r="P317" s="425"/>
      <c r="Q317" s="429"/>
      <c r="R317" s="422"/>
      <c r="S317" s="150"/>
      <c r="T317" s="198"/>
      <c r="U317" s="47" t="s">
        <v>627</v>
      </c>
      <c r="V317" s="172"/>
      <c r="W317" s="172"/>
      <c r="X317" s="172"/>
      <c r="Y317" s="95" t="str">
        <f t="shared" si="49"/>
        <v/>
      </c>
      <c r="Z317" s="172"/>
      <c r="AA317" s="95" t="str">
        <f t="shared" si="50"/>
        <v/>
      </c>
      <c r="AB317" s="150"/>
      <c r="AC317" s="95" t="str">
        <f t="shared" si="51"/>
        <v/>
      </c>
      <c r="AD317" s="150"/>
      <c r="AE317" s="95" t="str">
        <f t="shared" si="52"/>
        <v/>
      </c>
      <c r="AF317" s="150"/>
      <c r="AG317" s="95" t="str">
        <f t="shared" si="53"/>
        <v/>
      </c>
      <c r="AH317" s="150"/>
      <c r="AI317" s="95" t="str">
        <f t="shared" si="54"/>
        <v/>
      </c>
      <c r="AJ317" s="150"/>
      <c r="AK317" s="27" t="str">
        <f t="shared" si="55"/>
        <v/>
      </c>
      <c r="AL317" s="48" t="str">
        <f t="shared" si="56"/>
        <v/>
      </c>
      <c r="AM317" s="48" t="str">
        <f t="shared" si="57"/>
        <v/>
      </c>
      <c r="AN317" s="196"/>
      <c r="AO317" s="196"/>
      <c r="AP317" s="196"/>
      <c r="AQ317" s="196"/>
      <c r="AR317" s="196"/>
      <c r="AS317" s="196"/>
      <c r="AT317" s="196"/>
      <c r="AU317" s="197" t="str">
        <f>IFERROR(VLOOKUP(AT317,'Seguridad Información'!$I$61:$J$65,2,0),"")</f>
        <v/>
      </c>
      <c r="AV317" s="79"/>
      <c r="AW317" s="78" t="str">
        <f t="shared" si="48"/>
        <v/>
      </c>
      <c r="AX317" s="77" t="str">
        <f t="shared" si="58"/>
        <v/>
      </c>
      <c r="AY317" s="21" t="str">
        <f>IFERROR(VLOOKUP((CONCATENATE(AM317,AX317)),Listados!$U$3:$V$11,2,FALSE),"")</f>
        <v/>
      </c>
      <c r="AZ317" s="48">
        <f t="shared" si="59"/>
        <v>100</v>
      </c>
      <c r="BA317" s="431"/>
      <c r="BB317" s="433"/>
      <c r="BC317" s="169">
        <f>+IF(AND(W317="Preventivo",BB313="Fuerte"),2,IF(AND(W317="Preventivo",BB313="Moderado"),1,0))</f>
        <v>0</v>
      </c>
      <c r="BD317" s="64">
        <f>+IF(AND(W317="Detectivo/Correctivo",$BB313="Fuerte"),2,IF(AND(W317="Detectivo/Correctivo",$BB317="Moderado"),1,IF(AND(W317="Preventivo",$BB313="Fuerte"),1,0)))</f>
        <v>0</v>
      </c>
      <c r="BE317" s="169" t="e">
        <f>+N313-BC317</f>
        <v>#N/A</v>
      </c>
      <c r="BF317" s="169" t="e">
        <f>+P313-BD317</f>
        <v>#N/A</v>
      </c>
      <c r="BG317" s="422"/>
      <c r="BH317" s="422"/>
      <c r="BI317" s="422"/>
      <c r="BJ317" s="645"/>
      <c r="BK317" s="645"/>
      <c r="BL317" s="645"/>
      <c r="BM317" s="645"/>
    </row>
    <row r="318" spans="1:65" ht="65.099999999999994" customHeight="1" thickBot="1">
      <c r="A318" s="406"/>
      <c r="B318" s="625"/>
      <c r="C318" s="441"/>
      <c r="D318" s="106"/>
      <c r="E318" s="106"/>
      <c r="F318" s="619"/>
      <c r="G318" s="444"/>
      <c r="H318" s="100"/>
      <c r="I318" s="128"/>
      <c r="J318" s="100"/>
      <c r="K318" s="31"/>
      <c r="L318" s="129"/>
      <c r="M318" s="446"/>
      <c r="N318" s="426"/>
      <c r="O318" s="428"/>
      <c r="P318" s="426"/>
      <c r="Q318" s="429"/>
      <c r="R318" s="423"/>
      <c r="S318" s="150"/>
      <c r="T318" s="98"/>
      <c r="U318" s="47" t="s">
        <v>627</v>
      </c>
      <c r="V318" s="172"/>
      <c r="W318" s="172"/>
      <c r="X318" s="172"/>
      <c r="Y318" s="95" t="str">
        <f t="shared" si="49"/>
        <v/>
      </c>
      <c r="Z318" s="172"/>
      <c r="AA318" s="95" t="str">
        <f t="shared" si="50"/>
        <v/>
      </c>
      <c r="AB318" s="150"/>
      <c r="AC318" s="95" t="str">
        <f t="shared" si="51"/>
        <v/>
      </c>
      <c r="AD318" s="150"/>
      <c r="AE318" s="95" t="str">
        <f t="shared" si="52"/>
        <v/>
      </c>
      <c r="AF318" s="150"/>
      <c r="AG318" s="95" t="str">
        <f t="shared" si="53"/>
        <v/>
      </c>
      <c r="AH318" s="150"/>
      <c r="AI318" s="95" t="str">
        <f t="shared" si="54"/>
        <v/>
      </c>
      <c r="AJ318" s="150"/>
      <c r="AK318" s="27" t="str">
        <f t="shared" si="55"/>
        <v/>
      </c>
      <c r="AL318" s="48" t="str">
        <f t="shared" si="56"/>
        <v/>
      </c>
      <c r="AM318" s="48" t="str">
        <f t="shared" si="57"/>
        <v/>
      </c>
      <c r="AN318" s="196"/>
      <c r="AO318" s="196"/>
      <c r="AP318" s="196"/>
      <c r="AQ318" s="196"/>
      <c r="AR318" s="196"/>
      <c r="AS318" s="196"/>
      <c r="AT318" s="196"/>
      <c r="AU318" s="197" t="str">
        <f>IFERROR(VLOOKUP(AT318,'Seguridad Información'!$I$61:$J$65,2,0),"")</f>
        <v/>
      </c>
      <c r="AV318" s="79"/>
      <c r="AW318" s="78" t="str">
        <f t="shared" si="48"/>
        <v/>
      </c>
      <c r="AX318" s="77" t="str">
        <f t="shared" si="58"/>
        <v/>
      </c>
      <c r="AY318" s="21" t="str">
        <f>IFERROR(VLOOKUP((CONCATENATE(AM318,AX318)),Listados!$U$3:$V$11,2,FALSE),"")</f>
        <v/>
      </c>
      <c r="AZ318" s="48">
        <f t="shared" si="59"/>
        <v>100</v>
      </c>
      <c r="BA318" s="432"/>
      <c r="BB318" s="433"/>
      <c r="BC318" s="169">
        <f>+IF(AND(W318="Preventivo",BB313="Fuerte"),2,IF(AND(W318="Preventivo",BB313="Moderado"),1,0))</f>
        <v>0</v>
      </c>
      <c r="BD318" s="64">
        <f>+IF(AND(W318="Detectivo/Correctivo",$BB313="Fuerte"),2,IF(AND(W318="Detectivo/Correctivo",$BB318="Moderado"),1,IF(AND(W318="Preventivo",$BB313="Fuerte"),1,0)))</f>
        <v>0</v>
      </c>
      <c r="BE318" s="169" t="e">
        <f>+N313-BC318</f>
        <v>#N/A</v>
      </c>
      <c r="BF318" s="169" t="e">
        <f>+P313-BD318</f>
        <v>#N/A</v>
      </c>
      <c r="BG318" s="423"/>
      <c r="BH318" s="423"/>
      <c r="BI318" s="423"/>
      <c r="BJ318" s="646"/>
      <c r="BK318" s="646"/>
      <c r="BL318" s="646"/>
      <c r="BM318" s="646"/>
    </row>
    <row r="319" spans="1:65" ht="65.099999999999994" customHeight="1" thickBot="1">
      <c r="A319" s="404">
        <v>53</v>
      </c>
      <c r="B319" s="628"/>
      <c r="C319" s="447" t="str">
        <f>IFERROR(VLOOKUP(B319,Listados!B$3:C$20,2,FALSE),"")</f>
        <v/>
      </c>
      <c r="D319" s="107"/>
      <c r="E319" s="107"/>
      <c r="F319" s="618"/>
      <c r="G319" s="448"/>
      <c r="H319" s="100"/>
      <c r="I319" s="128"/>
      <c r="J319" s="100"/>
      <c r="K319" s="103"/>
      <c r="L319" s="17"/>
      <c r="M319" s="445"/>
      <c r="N319" s="424" t="e">
        <f>+VLOOKUP(M319,Listados!$K$8:$L$12,2,0)</f>
        <v>#N/A</v>
      </c>
      <c r="O319" s="427"/>
      <c r="P319" s="424" t="e">
        <f>+VLOOKUP(O319,Listados!$K$13:$L$17,2,0)</f>
        <v>#N/A</v>
      </c>
      <c r="Q319" s="423" t="str">
        <f>IF(AND(M319&lt;&gt;"",O319&lt;&gt;""),VLOOKUP(M319&amp;O319,Listados!$M$3:$N$27,2,FALSE),"")</f>
        <v/>
      </c>
      <c r="R319" s="421" t="e">
        <f>+VLOOKUP(Q319,Listados!$P$3:$Q$6,2,FALSE)</f>
        <v>#N/A</v>
      </c>
      <c r="S319" s="150"/>
      <c r="T319" s="94"/>
      <c r="U319" s="47" t="s">
        <v>627</v>
      </c>
      <c r="V319" s="172"/>
      <c r="W319" s="172"/>
      <c r="X319" s="172"/>
      <c r="Y319" s="95" t="str">
        <f t="shared" si="49"/>
        <v/>
      </c>
      <c r="Z319" s="172"/>
      <c r="AA319" s="95" t="str">
        <f t="shared" si="50"/>
        <v/>
      </c>
      <c r="AB319" s="150"/>
      <c r="AC319" s="95" t="str">
        <f t="shared" si="51"/>
        <v/>
      </c>
      <c r="AD319" s="150"/>
      <c r="AE319" s="95" t="str">
        <f t="shared" si="52"/>
        <v/>
      </c>
      <c r="AF319" s="150"/>
      <c r="AG319" s="95" t="str">
        <f t="shared" si="53"/>
        <v/>
      </c>
      <c r="AH319" s="150"/>
      <c r="AI319" s="95" t="str">
        <f t="shared" si="54"/>
        <v/>
      </c>
      <c r="AJ319" s="150"/>
      <c r="AK319" s="27" t="str">
        <f t="shared" si="55"/>
        <v/>
      </c>
      <c r="AL319" s="48" t="str">
        <f t="shared" si="56"/>
        <v/>
      </c>
      <c r="AM319" s="48" t="str">
        <f t="shared" si="57"/>
        <v/>
      </c>
      <c r="AN319" s="196"/>
      <c r="AO319" s="196"/>
      <c r="AP319" s="196"/>
      <c r="AQ319" s="196"/>
      <c r="AR319" s="196"/>
      <c r="AS319" s="196"/>
      <c r="AT319" s="196"/>
      <c r="AU319" s="197" t="str">
        <f>IFERROR(VLOOKUP(AT319,'Seguridad Información'!$I$61:$J$65,2,0),"")</f>
        <v/>
      </c>
      <c r="AV319" s="79"/>
      <c r="AW319" s="78" t="str">
        <f t="shared" si="48"/>
        <v/>
      </c>
      <c r="AX319" s="77" t="str">
        <f t="shared" si="58"/>
        <v/>
      </c>
      <c r="AY319" s="21" t="str">
        <f>IFERROR(VLOOKUP((CONCATENATE(AM319,AX319)),Listados!$U$3:$V$11,2,FALSE),"")</f>
        <v/>
      </c>
      <c r="AZ319" s="48">
        <f t="shared" si="59"/>
        <v>100</v>
      </c>
      <c r="BA319" s="430">
        <f>AVERAGE(AZ319:AZ324)</f>
        <v>100</v>
      </c>
      <c r="BB319" s="432" t="str">
        <f>IF(BA319&lt;=50, "Débil", IF(BA319&lt;=99,"Moderado","Fuerte"))</f>
        <v>Fuerte</v>
      </c>
      <c r="BC319" s="169">
        <f>+IF(AND(W319="Preventivo",BB319="Fuerte"),2,IF(AND(W319="Preventivo",BB319="Moderado"),1,0))</f>
        <v>0</v>
      </c>
      <c r="BD319" s="64">
        <f>+IF(AND(W319="Detectivo/Correctivo",$BB319="Fuerte"),2,IF(AND(W319="Detectivo/Correctivo",$BB319="Moderado"),1,IF(AND(W319="Preventivo",$BB319="Fuerte"),1,0)))</f>
        <v>0</v>
      </c>
      <c r="BE319" s="169" t="e">
        <f>+N319-BC319</f>
        <v>#N/A</v>
      </c>
      <c r="BF319" s="169" t="e">
        <f>+P319-BD319</f>
        <v>#N/A</v>
      </c>
      <c r="BG319" s="421" t="e">
        <f>+VLOOKUP(MIN(BE319,BE320,BE321,BE322,BE323,BE324),Listados!$J$18:$K$24,2,TRUE)</f>
        <v>#N/A</v>
      </c>
      <c r="BH319" s="421" t="e">
        <f>+VLOOKUP(MIN(BF319,BF320,BF321,BF322,BF323,BF324),Listados!$J$27:$K$32,2,TRUE)</f>
        <v>#N/A</v>
      </c>
      <c r="BI319" s="421" t="e">
        <f>IF(AND(BG319&lt;&gt;"",BH319&lt;&gt;""),VLOOKUP(BG319&amp;BH319,Listados!$M$3:$N$27,2,FALSE),"")</f>
        <v>#N/A</v>
      </c>
      <c r="BJ319" s="644" t="e">
        <f>+IF($R319="Asumir el riesgo","NA","")</f>
        <v>#N/A</v>
      </c>
      <c r="BK319" s="644" t="e">
        <f>+IF($R319="Asumir el riesgo","NA","")</f>
        <v>#N/A</v>
      </c>
      <c r="BL319" s="644" t="e">
        <f>+IF($R319="Asumir el riesgo","NA","")</f>
        <v>#N/A</v>
      </c>
      <c r="BM319" s="644" t="e">
        <f>+IF($R319="Asumir el riesgo","NA","")</f>
        <v>#N/A</v>
      </c>
    </row>
    <row r="320" spans="1:65" ht="65.099999999999994" customHeight="1" thickBot="1">
      <c r="A320" s="405"/>
      <c r="B320" s="625"/>
      <c r="C320" s="440"/>
      <c r="D320" s="152"/>
      <c r="E320" s="152"/>
      <c r="F320" s="475"/>
      <c r="G320" s="443"/>
      <c r="H320" s="100"/>
      <c r="I320" s="128"/>
      <c r="J320" s="100"/>
      <c r="K320" s="147"/>
      <c r="L320" s="129"/>
      <c r="M320" s="446"/>
      <c r="N320" s="425"/>
      <c r="O320" s="428"/>
      <c r="P320" s="425"/>
      <c r="Q320" s="429"/>
      <c r="R320" s="422"/>
      <c r="S320" s="150"/>
      <c r="T320" s="198"/>
      <c r="U320" s="47" t="s">
        <v>627</v>
      </c>
      <c r="V320" s="172"/>
      <c r="W320" s="172"/>
      <c r="X320" s="172"/>
      <c r="Y320" s="95" t="str">
        <f t="shared" si="49"/>
        <v/>
      </c>
      <c r="Z320" s="172"/>
      <c r="AA320" s="95" t="str">
        <f t="shared" si="50"/>
        <v/>
      </c>
      <c r="AB320" s="150"/>
      <c r="AC320" s="95" t="str">
        <f t="shared" si="51"/>
        <v/>
      </c>
      <c r="AD320" s="150"/>
      <c r="AE320" s="95" t="str">
        <f t="shared" si="52"/>
        <v/>
      </c>
      <c r="AF320" s="150"/>
      <c r="AG320" s="95" t="str">
        <f t="shared" si="53"/>
        <v/>
      </c>
      <c r="AH320" s="150"/>
      <c r="AI320" s="95" t="str">
        <f t="shared" si="54"/>
        <v/>
      </c>
      <c r="AJ320" s="150"/>
      <c r="AK320" s="27" t="str">
        <f t="shared" si="55"/>
        <v/>
      </c>
      <c r="AL320" s="48" t="str">
        <f t="shared" si="56"/>
        <v/>
      </c>
      <c r="AM320" s="48" t="str">
        <f t="shared" si="57"/>
        <v/>
      </c>
      <c r="AN320" s="196"/>
      <c r="AO320" s="196"/>
      <c r="AP320" s="196"/>
      <c r="AQ320" s="196"/>
      <c r="AR320" s="196"/>
      <c r="AS320" s="196"/>
      <c r="AT320" s="196"/>
      <c r="AU320" s="197" t="str">
        <f>IFERROR(VLOOKUP(AT320,'Seguridad Información'!$I$61:$J$65,2,0),"")</f>
        <v/>
      </c>
      <c r="AV320" s="79"/>
      <c r="AW320" s="78" t="str">
        <f t="shared" si="48"/>
        <v/>
      </c>
      <c r="AX320" s="77" t="str">
        <f t="shared" si="58"/>
        <v/>
      </c>
      <c r="AY320" s="21" t="str">
        <f>IFERROR(VLOOKUP((CONCATENATE(AM320,AX320)),Listados!$U$3:$V$11,2,FALSE),"")</f>
        <v/>
      </c>
      <c r="AZ320" s="48">
        <f t="shared" si="59"/>
        <v>100</v>
      </c>
      <c r="BA320" s="431"/>
      <c r="BB320" s="433"/>
      <c r="BC320" s="169">
        <f>+IF(AND(W320="Preventivo",BB319="Fuerte"),2,IF(AND(W320="Preventivo",BB319="Moderado"),1,0))</f>
        <v>0</v>
      </c>
      <c r="BD320" s="64">
        <f>+IF(AND(W320="Detectivo/Correctivo",$BB319="Fuerte"),2,IF(AND(W320="Detectivo/Correctivo",$BB320="Moderado"),1,IF(AND(W320="Preventivo",$BB319="Fuerte"),1,0)))</f>
        <v>0</v>
      </c>
      <c r="BE320" s="169" t="e">
        <f>+N319-BC320</f>
        <v>#N/A</v>
      </c>
      <c r="BF320" s="169" t="e">
        <f>+P319-BD320</f>
        <v>#N/A</v>
      </c>
      <c r="BG320" s="422"/>
      <c r="BH320" s="422"/>
      <c r="BI320" s="422"/>
      <c r="BJ320" s="645"/>
      <c r="BK320" s="645"/>
      <c r="BL320" s="645"/>
      <c r="BM320" s="645"/>
    </row>
    <row r="321" spans="1:65" ht="65.099999999999994" customHeight="1" thickBot="1">
      <c r="A321" s="405"/>
      <c r="B321" s="625"/>
      <c r="C321" s="440"/>
      <c r="D321" s="152"/>
      <c r="E321" s="152"/>
      <c r="F321" s="475"/>
      <c r="G321" s="443"/>
      <c r="H321" s="100"/>
      <c r="I321" s="128"/>
      <c r="J321" s="100"/>
      <c r="K321" s="147"/>
      <c r="L321" s="129"/>
      <c r="M321" s="446"/>
      <c r="N321" s="425"/>
      <c r="O321" s="428"/>
      <c r="P321" s="425"/>
      <c r="Q321" s="429"/>
      <c r="R321" s="422"/>
      <c r="S321" s="150"/>
      <c r="T321" s="96"/>
      <c r="U321" s="47" t="s">
        <v>627</v>
      </c>
      <c r="V321" s="172"/>
      <c r="W321" s="172"/>
      <c r="X321" s="172"/>
      <c r="Y321" s="95" t="str">
        <f t="shared" si="49"/>
        <v/>
      </c>
      <c r="Z321" s="172"/>
      <c r="AA321" s="95" t="str">
        <f t="shared" si="50"/>
        <v/>
      </c>
      <c r="AB321" s="150"/>
      <c r="AC321" s="95" t="str">
        <f t="shared" si="51"/>
        <v/>
      </c>
      <c r="AD321" s="150"/>
      <c r="AE321" s="95" t="str">
        <f t="shared" si="52"/>
        <v/>
      </c>
      <c r="AF321" s="150"/>
      <c r="AG321" s="95" t="str">
        <f t="shared" si="53"/>
        <v/>
      </c>
      <c r="AH321" s="150"/>
      <c r="AI321" s="95" t="str">
        <f t="shared" si="54"/>
        <v/>
      </c>
      <c r="AJ321" s="150"/>
      <c r="AK321" s="27" t="str">
        <f t="shared" si="55"/>
        <v/>
      </c>
      <c r="AL321" s="48" t="str">
        <f t="shared" si="56"/>
        <v/>
      </c>
      <c r="AM321" s="48" t="str">
        <f t="shared" si="57"/>
        <v/>
      </c>
      <c r="AN321" s="196"/>
      <c r="AO321" s="196"/>
      <c r="AP321" s="196"/>
      <c r="AQ321" s="196"/>
      <c r="AR321" s="196"/>
      <c r="AS321" s="196"/>
      <c r="AT321" s="196"/>
      <c r="AU321" s="197" t="str">
        <f>IFERROR(VLOOKUP(AT321,'Seguridad Información'!$I$61:$J$65,2,0),"")</f>
        <v/>
      </c>
      <c r="AV321" s="79"/>
      <c r="AW321" s="78" t="str">
        <f t="shared" si="48"/>
        <v/>
      </c>
      <c r="AX321" s="77" t="str">
        <f t="shared" si="58"/>
        <v/>
      </c>
      <c r="AY321" s="21" t="str">
        <f>IFERROR(VLOOKUP((CONCATENATE(AM321,AX321)),Listados!$U$3:$V$11,2,FALSE),"")</f>
        <v/>
      </c>
      <c r="AZ321" s="48">
        <f t="shared" si="59"/>
        <v>100</v>
      </c>
      <c r="BA321" s="431"/>
      <c r="BB321" s="433"/>
      <c r="BC321" s="169">
        <f>+IF(AND(W321="Preventivo",BB319="Fuerte"),2,IF(AND(W321="Preventivo",BB319="Moderado"),1,0))</f>
        <v>0</v>
      </c>
      <c r="BD321" s="64">
        <f>+IF(AND(W321="Detectivo/Correctivo",$BB319="Fuerte"),2,IF(AND(W321="Detectivo/Correctivo",$BB321="Moderado"),1,IF(AND(W321="Preventivo",$BB319="Fuerte"),1,0)))</f>
        <v>0</v>
      </c>
      <c r="BE321" s="169" t="e">
        <f>+N319-BC321</f>
        <v>#N/A</v>
      </c>
      <c r="BF321" s="169" t="e">
        <f>+P319-BD321</f>
        <v>#N/A</v>
      </c>
      <c r="BG321" s="422"/>
      <c r="BH321" s="422"/>
      <c r="BI321" s="422"/>
      <c r="BJ321" s="645"/>
      <c r="BK321" s="645"/>
      <c r="BL321" s="645"/>
      <c r="BM321" s="645"/>
    </row>
    <row r="322" spans="1:65" ht="65.099999999999994" customHeight="1" thickBot="1">
      <c r="A322" s="405"/>
      <c r="B322" s="625"/>
      <c r="C322" s="440"/>
      <c r="D322" s="152"/>
      <c r="E322" s="152"/>
      <c r="F322" s="475"/>
      <c r="G322" s="443"/>
      <c r="H322" s="100"/>
      <c r="I322" s="128"/>
      <c r="J322" s="100"/>
      <c r="K322" s="147"/>
      <c r="L322" s="129"/>
      <c r="M322" s="446"/>
      <c r="N322" s="425"/>
      <c r="O322" s="428"/>
      <c r="P322" s="425"/>
      <c r="Q322" s="429"/>
      <c r="R322" s="422"/>
      <c r="S322" s="150"/>
      <c r="T322" s="97"/>
      <c r="U322" s="47" t="s">
        <v>627</v>
      </c>
      <c r="V322" s="172"/>
      <c r="W322" s="172"/>
      <c r="X322" s="172"/>
      <c r="Y322" s="95" t="str">
        <f t="shared" si="49"/>
        <v/>
      </c>
      <c r="Z322" s="172"/>
      <c r="AA322" s="95" t="str">
        <f t="shared" si="50"/>
        <v/>
      </c>
      <c r="AB322" s="150"/>
      <c r="AC322" s="95" t="str">
        <f t="shared" si="51"/>
        <v/>
      </c>
      <c r="AD322" s="150"/>
      <c r="AE322" s="95" t="str">
        <f t="shared" si="52"/>
        <v/>
      </c>
      <c r="AF322" s="150"/>
      <c r="AG322" s="95" t="str">
        <f t="shared" si="53"/>
        <v/>
      </c>
      <c r="AH322" s="150"/>
      <c r="AI322" s="95" t="str">
        <f t="shared" si="54"/>
        <v/>
      </c>
      <c r="AJ322" s="150"/>
      <c r="AK322" s="27" t="str">
        <f t="shared" si="55"/>
        <v/>
      </c>
      <c r="AL322" s="48" t="str">
        <f t="shared" si="56"/>
        <v/>
      </c>
      <c r="AM322" s="48" t="str">
        <f t="shared" si="57"/>
        <v/>
      </c>
      <c r="AN322" s="196"/>
      <c r="AO322" s="196"/>
      <c r="AP322" s="196"/>
      <c r="AQ322" s="196"/>
      <c r="AR322" s="196"/>
      <c r="AS322" s="196"/>
      <c r="AT322" s="196"/>
      <c r="AU322" s="197" t="str">
        <f>IFERROR(VLOOKUP(AT322,'Seguridad Información'!$I$61:$J$65,2,0),"")</f>
        <v/>
      </c>
      <c r="AV322" s="79"/>
      <c r="AW322" s="78" t="str">
        <f t="shared" si="48"/>
        <v/>
      </c>
      <c r="AX322" s="77" t="str">
        <f t="shared" si="58"/>
        <v/>
      </c>
      <c r="AY322" s="21" t="str">
        <f>IFERROR(VLOOKUP((CONCATENATE(AM322,AX322)),Listados!$U$3:$V$11,2,FALSE),"")</f>
        <v/>
      </c>
      <c r="AZ322" s="48">
        <f t="shared" si="59"/>
        <v>100</v>
      </c>
      <c r="BA322" s="431"/>
      <c r="BB322" s="433"/>
      <c r="BC322" s="169">
        <f>+IF(AND(W322="Preventivo",BB319="Fuerte"),2,IF(AND(W322="Preventivo",BB319="Moderado"),1,0))</f>
        <v>0</v>
      </c>
      <c r="BD322" s="64">
        <f>+IF(AND(W322="Detectivo/Correctivo",$BB319="Fuerte"),2,IF(AND(W322="Detectivo/Correctivo",$BB322="Moderado"),1,IF(AND(W322="Preventivo",$BB319="Fuerte"),1,0)))</f>
        <v>0</v>
      </c>
      <c r="BE322" s="169" t="e">
        <f>+N319-BC322</f>
        <v>#N/A</v>
      </c>
      <c r="BF322" s="169" t="e">
        <f>+P319-BD322</f>
        <v>#N/A</v>
      </c>
      <c r="BG322" s="422"/>
      <c r="BH322" s="422"/>
      <c r="BI322" s="422"/>
      <c r="BJ322" s="645"/>
      <c r="BK322" s="645"/>
      <c r="BL322" s="645"/>
      <c r="BM322" s="645"/>
    </row>
    <row r="323" spans="1:65" ht="65.099999999999994" customHeight="1" thickBot="1">
      <c r="A323" s="405"/>
      <c r="B323" s="625"/>
      <c r="C323" s="440"/>
      <c r="D323" s="109"/>
      <c r="E323" s="109"/>
      <c r="F323" s="475"/>
      <c r="G323" s="443"/>
      <c r="H323" s="100"/>
      <c r="I323" s="128"/>
      <c r="J323" s="100"/>
      <c r="K323" s="29"/>
      <c r="L323" s="129"/>
      <c r="M323" s="446"/>
      <c r="N323" s="425"/>
      <c r="O323" s="428"/>
      <c r="P323" s="425"/>
      <c r="Q323" s="429"/>
      <c r="R323" s="422"/>
      <c r="S323" s="150"/>
      <c r="T323" s="198"/>
      <c r="U323" s="47" t="s">
        <v>627</v>
      </c>
      <c r="V323" s="172"/>
      <c r="W323" s="172"/>
      <c r="X323" s="172"/>
      <c r="Y323" s="95" t="str">
        <f t="shared" si="49"/>
        <v/>
      </c>
      <c r="Z323" s="172"/>
      <c r="AA323" s="95" t="str">
        <f t="shared" si="50"/>
        <v/>
      </c>
      <c r="AB323" s="150"/>
      <c r="AC323" s="95" t="str">
        <f t="shared" si="51"/>
        <v/>
      </c>
      <c r="AD323" s="150"/>
      <c r="AE323" s="95" t="str">
        <f t="shared" si="52"/>
        <v/>
      </c>
      <c r="AF323" s="150"/>
      <c r="AG323" s="95" t="str">
        <f t="shared" si="53"/>
        <v/>
      </c>
      <c r="AH323" s="150"/>
      <c r="AI323" s="95" t="str">
        <f t="shared" si="54"/>
        <v/>
      </c>
      <c r="AJ323" s="150"/>
      <c r="AK323" s="27" t="str">
        <f t="shared" si="55"/>
        <v/>
      </c>
      <c r="AL323" s="48" t="str">
        <f t="shared" si="56"/>
        <v/>
      </c>
      <c r="AM323" s="48" t="str">
        <f t="shared" si="57"/>
        <v/>
      </c>
      <c r="AN323" s="196"/>
      <c r="AO323" s="196"/>
      <c r="AP323" s="196"/>
      <c r="AQ323" s="196"/>
      <c r="AR323" s="196"/>
      <c r="AS323" s="196"/>
      <c r="AT323" s="196"/>
      <c r="AU323" s="197" t="str">
        <f>IFERROR(VLOOKUP(AT323,'Seguridad Información'!$I$61:$J$65,2,0),"")</f>
        <v/>
      </c>
      <c r="AV323" s="79"/>
      <c r="AW323" s="78" t="str">
        <f t="shared" si="48"/>
        <v/>
      </c>
      <c r="AX323" s="77" t="str">
        <f t="shared" si="58"/>
        <v/>
      </c>
      <c r="AY323" s="21" t="str">
        <f>IFERROR(VLOOKUP((CONCATENATE(AM323,AX323)),Listados!$U$3:$V$11,2,FALSE),"")</f>
        <v/>
      </c>
      <c r="AZ323" s="48">
        <f t="shared" si="59"/>
        <v>100</v>
      </c>
      <c r="BA323" s="431"/>
      <c r="BB323" s="433"/>
      <c r="BC323" s="169">
        <f>+IF(AND(W323="Preventivo",BB319="Fuerte"),2,IF(AND(W323="Preventivo",BB319="Moderado"),1,0))</f>
        <v>0</v>
      </c>
      <c r="BD323" s="64">
        <f>+IF(AND(W323="Detectivo/Correctivo",$BB319="Fuerte"),2,IF(AND(W323="Detectivo/Correctivo",$BB323="Moderado"),1,IF(AND(W323="Preventivo",$BB319="Fuerte"),1,0)))</f>
        <v>0</v>
      </c>
      <c r="BE323" s="169" t="e">
        <f>+N319-BC323</f>
        <v>#N/A</v>
      </c>
      <c r="BF323" s="169" t="e">
        <f>+P319-BD323</f>
        <v>#N/A</v>
      </c>
      <c r="BG323" s="422"/>
      <c r="BH323" s="422"/>
      <c r="BI323" s="422"/>
      <c r="BJ323" s="645"/>
      <c r="BK323" s="645"/>
      <c r="BL323" s="645"/>
      <c r="BM323" s="645"/>
    </row>
    <row r="324" spans="1:65" ht="65.099999999999994" customHeight="1" thickBot="1">
      <c r="A324" s="406"/>
      <c r="B324" s="625"/>
      <c r="C324" s="441"/>
      <c r="D324" s="106"/>
      <c r="E324" s="106"/>
      <c r="F324" s="619"/>
      <c r="G324" s="444"/>
      <c r="H324" s="100"/>
      <c r="I324" s="128"/>
      <c r="J324" s="100"/>
      <c r="K324" s="31"/>
      <c r="L324" s="129"/>
      <c r="M324" s="446"/>
      <c r="N324" s="426"/>
      <c r="O324" s="428"/>
      <c r="P324" s="426"/>
      <c r="Q324" s="429"/>
      <c r="R324" s="423"/>
      <c r="S324" s="150"/>
      <c r="T324" s="98"/>
      <c r="U324" s="47" t="s">
        <v>627</v>
      </c>
      <c r="V324" s="172"/>
      <c r="W324" s="172"/>
      <c r="X324" s="172"/>
      <c r="Y324" s="95" t="str">
        <f t="shared" si="49"/>
        <v/>
      </c>
      <c r="Z324" s="172"/>
      <c r="AA324" s="95" t="str">
        <f t="shared" si="50"/>
        <v/>
      </c>
      <c r="AB324" s="150"/>
      <c r="AC324" s="95" t="str">
        <f t="shared" si="51"/>
        <v/>
      </c>
      <c r="AD324" s="150"/>
      <c r="AE324" s="95" t="str">
        <f t="shared" si="52"/>
        <v/>
      </c>
      <c r="AF324" s="150"/>
      <c r="AG324" s="95" t="str">
        <f t="shared" si="53"/>
        <v/>
      </c>
      <c r="AH324" s="150"/>
      <c r="AI324" s="95" t="str">
        <f t="shared" si="54"/>
        <v/>
      </c>
      <c r="AJ324" s="150"/>
      <c r="AK324" s="27" t="str">
        <f t="shared" si="55"/>
        <v/>
      </c>
      <c r="AL324" s="48" t="str">
        <f t="shared" si="56"/>
        <v/>
      </c>
      <c r="AM324" s="48" t="str">
        <f t="shared" si="57"/>
        <v/>
      </c>
      <c r="AN324" s="196"/>
      <c r="AO324" s="196"/>
      <c r="AP324" s="196"/>
      <c r="AQ324" s="196"/>
      <c r="AR324" s="196"/>
      <c r="AS324" s="196"/>
      <c r="AT324" s="196"/>
      <c r="AU324" s="197" t="str">
        <f>IFERROR(VLOOKUP(AT324,'Seguridad Información'!$I$61:$J$65,2,0),"")</f>
        <v/>
      </c>
      <c r="AV324" s="79"/>
      <c r="AW324" s="78" t="str">
        <f t="shared" si="48"/>
        <v/>
      </c>
      <c r="AX324" s="77" t="str">
        <f t="shared" si="58"/>
        <v/>
      </c>
      <c r="AY324" s="21" t="str">
        <f>IFERROR(VLOOKUP((CONCATENATE(AM324,AX324)),Listados!$U$3:$V$11,2,FALSE),"")</f>
        <v/>
      </c>
      <c r="AZ324" s="48">
        <f t="shared" si="59"/>
        <v>100</v>
      </c>
      <c r="BA324" s="432"/>
      <c r="BB324" s="433"/>
      <c r="BC324" s="169">
        <f>+IF(AND(W324="Preventivo",BB319="Fuerte"),2,IF(AND(W324="Preventivo",BB319="Moderado"),1,0))</f>
        <v>0</v>
      </c>
      <c r="BD324" s="64">
        <f>+IF(AND(W324="Detectivo/Correctivo",$BB319="Fuerte"),2,IF(AND(W324="Detectivo/Correctivo",$BB324="Moderado"),1,IF(AND(W324="Preventivo",$BB319="Fuerte"),1,0)))</f>
        <v>0</v>
      </c>
      <c r="BE324" s="169" t="e">
        <f>+N319-BC324</f>
        <v>#N/A</v>
      </c>
      <c r="BF324" s="169" t="e">
        <f>+P319-BD324</f>
        <v>#N/A</v>
      </c>
      <c r="BG324" s="423"/>
      <c r="BH324" s="423"/>
      <c r="BI324" s="423"/>
      <c r="BJ324" s="646"/>
      <c r="BK324" s="646"/>
      <c r="BL324" s="646"/>
      <c r="BM324" s="646"/>
    </row>
    <row r="325" spans="1:65" ht="65.099999999999994" customHeight="1" thickBot="1">
      <c r="A325" s="404">
        <v>54</v>
      </c>
      <c r="B325" s="628"/>
      <c r="C325" s="447" t="str">
        <f>IFERROR(VLOOKUP(B325,Listados!B$3:C$20,2,FALSE),"")</f>
        <v/>
      </c>
      <c r="D325" s="107"/>
      <c r="E325" s="107"/>
      <c r="F325" s="618"/>
      <c r="G325" s="448"/>
      <c r="H325" s="100"/>
      <c r="I325" s="128"/>
      <c r="J325" s="100"/>
      <c r="K325" s="103"/>
      <c r="L325" s="17"/>
      <c r="M325" s="445"/>
      <c r="N325" s="424" t="e">
        <f>+VLOOKUP(M325,Listados!$K$8:$L$12,2,0)</f>
        <v>#N/A</v>
      </c>
      <c r="O325" s="427"/>
      <c r="P325" s="424" t="e">
        <f>+VLOOKUP(O325,Listados!$K$13:$L$17,2,0)</f>
        <v>#N/A</v>
      </c>
      <c r="Q325" s="423" t="str">
        <f>IF(AND(M325&lt;&gt;"",O325&lt;&gt;""),VLOOKUP(M325&amp;O325,Listados!$M$3:$N$27,2,FALSE),"")</f>
        <v/>
      </c>
      <c r="R325" s="421" t="e">
        <f>+VLOOKUP(Q325,Listados!$P$3:$Q$6,2,FALSE)</f>
        <v>#N/A</v>
      </c>
      <c r="S325" s="150"/>
      <c r="T325" s="94"/>
      <c r="U325" s="47" t="s">
        <v>627</v>
      </c>
      <c r="V325" s="172"/>
      <c r="W325" s="172"/>
      <c r="X325" s="172"/>
      <c r="Y325" s="95" t="str">
        <f t="shared" si="49"/>
        <v/>
      </c>
      <c r="Z325" s="172"/>
      <c r="AA325" s="95" t="str">
        <f t="shared" si="50"/>
        <v/>
      </c>
      <c r="AB325" s="150"/>
      <c r="AC325" s="95" t="str">
        <f t="shared" si="51"/>
        <v/>
      </c>
      <c r="AD325" s="150"/>
      <c r="AE325" s="95" t="str">
        <f t="shared" si="52"/>
        <v/>
      </c>
      <c r="AF325" s="150"/>
      <c r="AG325" s="95" t="str">
        <f t="shared" si="53"/>
        <v/>
      </c>
      <c r="AH325" s="150"/>
      <c r="AI325" s="95" t="str">
        <f t="shared" si="54"/>
        <v/>
      </c>
      <c r="AJ325" s="150"/>
      <c r="AK325" s="27" t="str">
        <f t="shared" si="55"/>
        <v/>
      </c>
      <c r="AL325" s="48" t="str">
        <f t="shared" si="56"/>
        <v/>
      </c>
      <c r="AM325" s="48" t="str">
        <f t="shared" si="57"/>
        <v/>
      </c>
      <c r="AN325" s="196"/>
      <c r="AO325" s="196"/>
      <c r="AP325" s="196"/>
      <c r="AQ325" s="196"/>
      <c r="AR325" s="196"/>
      <c r="AS325" s="196"/>
      <c r="AT325" s="196"/>
      <c r="AU325" s="197" t="str">
        <f>IFERROR(VLOOKUP(AT325,'Seguridad Información'!$I$61:$J$65,2,0),"")</f>
        <v/>
      </c>
      <c r="AV325" s="79"/>
      <c r="AW325" s="78" t="str">
        <f t="shared" si="48"/>
        <v/>
      </c>
      <c r="AX325" s="77" t="str">
        <f t="shared" si="58"/>
        <v/>
      </c>
      <c r="AY325" s="21" t="str">
        <f>IFERROR(VLOOKUP((CONCATENATE(AM325,AX325)),Listados!$U$3:$V$11,2,FALSE),"")</f>
        <v/>
      </c>
      <c r="AZ325" s="48">
        <f t="shared" si="59"/>
        <v>100</v>
      </c>
      <c r="BA325" s="430">
        <f>AVERAGE(AZ325:AZ330)</f>
        <v>100</v>
      </c>
      <c r="BB325" s="432" t="str">
        <f>IF(BA325&lt;=50, "Débil", IF(BA325&lt;=99,"Moderado","Fuerte"))</f>
        <v>Fuerte</v>
      </c>
      <c r="BC325" s="169">
        <f>+IF(AND(W325="Preventivo",BB325="Fuerte"),2,IF(AND(W325="Preventivo",BB325="Moderado"),1,0))</f>
        <v>0</v>
      </c>
      <c r="BD325" s="64">
        <f>+IF(AND(W325="Detectivo/Correctivo",$BB325="Fuerte"),2,IF(AND(W325="Detectivo/Correctivo",$BB325="Moderado"),1,IF(AND(W325="Preventivo",$BB325="Fuerte"),1,0)))</f>
        <v>0</v>
      </c>
      <c r="BE325" s="169" t="e">
        <f>+N325-BC325</f>
        <v>#N/A</v>
      </c>
      <c r="BF325" s="169" t="e">
        <f>+P325-BD325</f>
        <v>#N/A</v>
      </c>
      <c r="BG325" s="421" t="e">
        <f>+VLOOKUP(MIN(BE325,BE326,BE327,BE328,BE329,BE330),Listados!$J$18:$K$24,2,TRUE)</f>
        <v>#N/A</v>
      </c>
      <c r="BH325" s="421" t="e">
        <f>+VLOOKUP(MIN(BF325,BF326,BF327,BF328,BF329,BF330),Listados!$J$27:$K$32,2,TRUE)</f>
        <v>#N/A</v>
      </c>
      <c r="BI325" s="421" t="e">
        <f>IF(AND(BG325&lt;&gt;"",BH325&lt;&gt;""),VLOOKUP(BG325&amp;BH325,Listados!$M$3:$N$27,2,FALSE),"")</f>
        <v>#N/A</v>
      </c>
      <c r="BJ325" s="644" t="e">
        <f>+IF($R325="Asumir el riesgo","NA","")</f>
        <v>#N/A</v>
      </c>
      <c r="BK325" s="644" t="e">
        <f>+IF($R325="Asumir el riesgo","NA","")</f>
        <v>#N/A</v>
      </c>
      <c r="BL325" s="644" t="e">
        <f>+IF($R325="Asumir el riesgo","NA","")</f>
        <v>#N/A</v>
      </c>
      <c r="BM325" s="644" t="e">
        <f>+IF($R325="Asumir el riesgo","NA","")</f>
        <v>#N/A</v>
      </c>
    </row>
    <row r="326" spans="1:65" ht="65.099999999999994" customHeight="1" thickBot="1">
      <c r="A326" s="405"/>
      <c r="B326" s="625"/>
      <c r="C326" s="440"/>
      <c r="D326" s="152"/>
      <c r="E326" s="152"/>
      <c r="F326" s="475"/>
      <c r="G326" s="443"/>
      <c r="H326" s="100"/>
      <c r="I326" s="128"/>
      <c r="J326" s="100"/>
      <c r="K326" s="147"/>
      <c r="L326" s="129"/>
      <c r="M326" s="446"/>
      <c r="N326" s="425"/>
      <c r="O326" s="428"/>
      <c r="P326" s="425"/>
      <c r="Q326" s="429"/>
      <c r="R326" s="422"/>
      <c r="S326" s="150"/>
      <c r="T326" s="198"/>
      <c r="U326" s="47" t="s">
        <v>627</v>
      </c>
      <c r="V326" s="172"/>
      <c r="W326" s="172"/>
      <c r="X326" s="172"/>
      <c r="Y326" s="95" t="str">
        <f t="shared" si="49"/>
        <v/>
      </c>
      <c r="Z326" s="172"/>
      <c r="AA326" s="95" t="str">
        <f t="shared" si="50"/>
        <v/>
      </c>
      <c r="AB326" s="150"/>
      <c r="AC326" s="95" t="str">
        <f t="shared" si="51"/>
        <v/>
      </c>
      <c r="AD326" s="150"/>
      <c r="AE326" s="95" t="str">
        <f t="shared" si="52"/>
        <v/>
      </c>
      <c r="AF326" s="150"/>
      <c r="AG326" s="95" t="str">
        <f t="shared" si="53"/>
        <v/>
      </c>
      <c r="AH326" s="150"/>
      <c r="AI326" s="95" t="str">
        <f t="shared" si="54"/>
        <v/>
      </c>
      <c r="AJ326" s="150"/>
      <c r="AK326" s="27" t="str">
        <f t="shared" si="55"/>
        <v/>
      </c>
      <c r="AL326" s="48" t="str">
        <f t="shared" si="56"/>
        <v/>
      </c>
      <c r="AM326" s="48" t="str">
        <f t="shared" si="57"/>
        <v/>
      </c>
      <c r="AN326" s="196"/>
      <c r="AO326" s="196"/>
      <c r="AP326" s="196"/>
      <c r="AQ326" s="196"/>
      <c r="AR326" s="196"/>
      <c r="AS326" s="196"/>
      <c r="AT326" s="196"/>
      <c r="AU326" s="197" t="str">
        <f>IFERROR(VLOOKUP(AT326,'Seguridad Información'!$I$61:$J$65,2,0),"")</f>
        <v/>
      </c>
      <c r="AV326" s="79"/>
      <c r="AW326" s="78" t="str">
        <f t="shared" si="48"/>
        <v/>
      </c>
      <c r="AX326" s="77" t="str">
        <f t="shared" si="58"/>
        <v/>
      </c>
      <c r="AY326" s="21" t="str">
        <f>IFERROR(VLOOKUP((CONCATENATE(AM326,AX326)),Listados!$U$3:$V$11,2,FALSE),"")</f>
        <v/>
      </c>
      <c r="AZ326" s="48">
        <f t="shared" si="59"/>
        <v>100</v>
      </c>
      <c r="BA326" s="431"/>
      <c r="BB326" s="433"/>
      <c r="BC326" s="169">
        <f>+IF(AND(W326="Preventivo",BB325="Fuerte"),2,IF(AND(W326="Preventivo",BB325="Moderado"),1,0))</f>
        <v>0</v>
      </c>
      <c r="BD326" s="64">
        <f>+IF(AND(W326="Detectivo/Correctivo",$BB325="Fuerte"),2,IF(AND(W326="Detectivo/Correctivo",$BB326="Moderado"),1,IF(AND(W326="Preventivo",$BB325="Fuerte"),1,0)))</f>
        <v>0</v>
      </c>
      <c r="BE326" s="169" t="e">
        <f>+N325-BC326</f>
        <v>#N/A</v>
      </c>
      <c r="BF326" s="169" t="e">
        <f>+P325-BD326</f>
        <v>#N/A</v>
      </c>
      <c r="BG326" s="422"/>
      <c r="BH326" s="422"/>
      <c r="BI326" s="422"/>
      <c r="BJ326" s="645"/>
      <c r="BK326" s="645"/>
      <c r="BL326" s="645"/>
      <c r="BM326" s="645"/>
    </row>
    <row r="327" spans="1:65" ht="65.099999999999994" customHeight="1" thickBot="1">
      <c r="A327" s="405"/>
      <c r="B327" s="625"/>
      <c r="C327" s="440"/>
      <c r="D327" s="152"/>
      <c r="E327" s="152"/>
      <c r="F327" s="475"/>
      <c r="G327" s="443"/>
      <c r="H327" s="100"/>
      <c r="I327" s="128"/>
      <c r="J327" s="100"/>
      <c r="K327" s="147"/>
      <c r="L327" s="129"/>
      <c r="M327" s="446"/>
      <c r="N327" s="425"/>
      <c r="O327" s="428"/>
      <c r="P327" s="425"/>
      <c r="Q327" s="429"/>
      <c r="R327" s="422"/>
      <c r="S327" s="150"/>
      <c r="T327" s="96"/>
      <c r="U327" s="47" t="s">
        <v>627</v>
      </c>
      <c r="V327" s="172"/>
      <c r="W327" s="172"/>
      <c r="X327" s="172"/>
      <c r="Y327" s="95" t="str">
        <f t="shared" si="49"/>
        <v/>
      </c>
      <c r="Z327" s="172"/>
      <c r="AA327" s="95" t="str">
        <f t="shared" si="50"/>
        <v/>
      </c>
      <c r="AB327" s="150"/>
      <c r="AC327" s="95" t="str">
        <f t="shared" si="51"/>
        <v/>
      </c>
      <c r="AD327" s="150"/>
      <c r="AE327" s="95" t="str">
        <f t="shared" si="52"/>
        <v/>
      </c>
      <c r="AF327" s="150"/>
      <c r="AG327" s="95" t="str">
        <f t="shared" si="53"/>
        <v/>
      </c>
      <c r="AH327" s="150"/>
      <c r="AI327" s="95" t="str">
        <f t="shared" si="54"/>
        <v/>
      </c>
      <c r="AJ327" s="150"/>
      <c r="AK327" s="27" t="str">
        <f t="shared" si="55"/>
        <v/>
      </c>
      <c r="AL327" s="48" t="str">
        <f t="shared" si="56"/>
        <v/>
      </c>
      <c r="AM327" s="48" t="str">
        <f t="shared" si="57"/>
        <v/>
      </c>
      <c r="AN327" s="196"/>
      <c r="AO327" s="196"/>
      <c r="AP327" s="196"/>
      <c r="AQ327" s="196"/>
      <c r="AR327" s="196"/>
      <c r="AS327" s="196"/>
      <c r="AT327" s="196"/>
      <c r="AU327" s="197" t="str">
        <f>IFERROR(VLOOKUP(AT327,'Seguridad Información'!$I$61:$J$65,2,0),"")</f>
        <v/>
      </c>
      <c r="AV327" s="79"/>
      <c r="AW327" s="78" t="str">
        <f t="shared" ref="AW327:AW366" si="60">IFERROR(AVERAGE(AO327,AQ327,AS327,AU327),"")</f>
        <v/>
      </c>
      <c r="AX327" s="77" t="str">
        <f t="shared" si="58"/>
        <v/>
      </c>
      <c r="AY327" s="21" t="str">
        <f>IFERROR(VLOOKUP((CONCATENATE(AM327,AX327)),Listados!$U$3:$V$11,2,FALSE),"")</f>
        <v/>
      </c>
      <c r="AZ327" s="48">
        <f t="shared" si="59"/>
        <v>100</v>
      </c>
      <c r="BA327" s="431"/>
      <c r="BB327" s="433"/>
      <c r="BC327" s="169">
        <f>+IF(AND(W327="Preventivo",BB325="Fuerte"),2,IF(AND(W327="Preventivo",BB325="Moderado"),1,0))</f>
        <v>0</v>
      </c>
      <c r="BD327" s="64">
        <f>+IF(AND(W327="Detectivo/Correctivo",$BB325="Fuerte"),2,IF(AND(W327="Detectivo/Correctivo",$BB327="Moderado"),1,IF(AND(W327="Preventivo",$BB325="Fuerte"),1,0)))</f>
        <v>0</v>
      </c>
      <c r="BE327" s="169" t="e">
        <f>+N325-BC327</f>
        <v>#N/A</v>
      </c>
      <c r="BF327" s="169" t="e">
        <f>+P325-BD327</f>
        <v>#N/A</v>
      </c>
      <c r="BG327" s="422"/>
      <c r="BH327" s="422"/>
      <c r="BI327" s="422"/>
      <c r="BJ327" s="645"/>
      <c r="BK327" s="645"/>
      <c r="BL327" s="645"/>
      <c r="BM327" s="645"/>
    </row>
    <row r="328" spans="1:65" ht="65.099999999999994" customHeight="1" thickBot="1">
      <c r="A328" s="405"/>
      <c r="B328" s="625"/>
      <c r="C328" s="440"/>
      <c r="D328" s="152"/>
      <c r="E328" s="152"/>
      <c r="F328" s="475"/>
      <c r="G328" s="443"/>
      <c r="H328" s="100"/>
      <c r="I328" s="128"/>
      <c r="J328" s="100"/>
      <c r="K328" s="147"/>
      <c r="L328" s="129"/>
      <c r="M328" s="446"/>
      <c r="N328" s="425"/>
      <c r="O328" s="428"/>
      <c r="P328" s="425"/>
      <c r="Q328" s="429"/>
      <c r="R328" s="422"/>
      <c r="S328" s="150"/>
      <c r="T328" s="97"/>
      <c r="U328" s="47" t="s">
        <v>627</v>
      </c>
      <c r="V328" s="172"/>
      <c r="W328" s="172"/>
      <c r="X328" s="172"/>
      <c r="Y328" s="95" t="str">
        <f t="shared" ref="Y328:Y366" si="61">+IF(X328="si",15,"")</f>
        <v/>
      </c>
      <c r="Z328" s="172"/>
      <c r="AA328" s="95" t="str">
        <f t="shared" ref="AA328:AA366" si="62">+IF(Z328="si",15,"")</f>
        <v/>
      </c>
      <c r="AB328" s="150"/>
      <c r="AC328" s="95" t="str">
        <f t="shared" ref="AC328:AC366" si="63">+IF(AB328="si",15,"")</f>
        <v/>
      </c>
      <c r="AD328" s="150"/>
      <c r="AE328" s="95" t="str">
        <f t="shared" ref="AE328:AE366" si="64">+IF(AD328="si",15,"")</f>
        <v/>
      </c>
      <c r="AF328" s="150"/>
      <c r="AG328" s="95" t="str">
        <f t="shared" ref="AG328:AG366" si="65">+IF(AF328="si",15,"")</f>
        <v/>
      </c>
      <c r="AH328" s="150"/>
      <c r="AI328" s="95" t="str">
        <f t="shared" ref="AI328:AI366" si="66">+IF(AH328="si",15,"")</f>
        <v/>
      </c>
      <c r="AJ328" s="150"/>
      <c r="AK328" s="27" t="str">
        <f t="shared" ref="AK328:AK366" si="67">+IF(AJ328="Completa",10,IF(AJ328="Incompleta",5,""))</f>
        <v/>
      </c>
      <c r="AL328" s="48" t="str">
        <f t="shared" ref="AL328:AL366" si="68">IF((SUM(Y328,AA328,AC328,AE328,AG328,AI328,AK328)=0),"",(SUM(Y328,AA328,AC328,AE328,AG328,AI328,AK328)))</f>
        <v/>
      </c>
      <c r="AM328" s="48" t="str">
        <f t="shared" ref="AM328:AM366" si="69">IF(AL328&lt;=85,"Débil",IF(AL328&lt;=95,"Moderado",IF(AL328=100,"Fuerte","")))</f>
        <v/>
      </c>
      <c r="AN328" s="196"/>
      <c r="AO328" s="196"/>
      <c r="AP328" s="196"/>
      <c r="AQ328" s="196"/>
      <c r="AR328" s="196"/>
      <c r="AS328" s="196"/>
      <c r="AT328" s="196"/>
      <c r="AU328" s="197" t="str">
        <f>IFERROR(VLOOKUP(AT328,'Seguridad Información'!$I$61:$J$65,2,0),"")</f>
        <v/>
      </c>
      <c r="AV328" s="79"/>
      <c r="AW328" s="78" t="str">
        <f t="shared" si="60"/>
        <v/>
      </c>
      <c r="AX328" s="77" t="str">
        <f t="shared" ref="AX328:AX366" si="70">IF(AW328&lt;=80,"Débil",IF(AW328&lt;=90,"Moderado",IF(AW328=100,"Fuerte","")))</f>
        <v/>
      </c>
      <c r="AY328" s="21" t="str">
        <f>IFERROR(VLOOKUP((CONCATENATE(AM328,AX328)),Listados!$U$3:$V$11,2,FALSE),"")</f>
        <v/>
      </c>
      <c r="AZ328" s="48">
        <f t="shared" si="59"/>
        <v>100</v>
      </c>
      <c r="BA328" s="431"/>
      <c r="BB328" s="433"/>
      <c r="BC328" s="169">
        <f>+IF(AND(W328="Preventivo",BB325="Fuerte"),2,IF(AND(W328="Preventivo",BB325="Moderado"),1,0))</f>
        <v>0</v>
      </c>
      <c r="BD328" s="64">
        <f>+IF(AND(W328="Detectivo/Correctivo",$BB325="Fuerte"),2,IF(AND(W328="Detectivo/Correctivo",$BB328="Moderado"),1,IF(AND(W328="Preventivo",$BB325="Fuerte"),1,0)))</f>
        <v>0</v>
      </c>
      <c r="BE328" s="169" t="e">
        <f>+N325-BC328</f>
        <v>#N/A</v>
      </c>
      <c r="BF328" s="169" t="e">
        <f>+P325-BD328</f>
        <v>#N/A</v>
      </c>
      <c r="BG328" s="422"/>
      <c r="BH328" s="422"/>
      <c r="BI328" s="422"/>
      <c r="BJ328" s="645"/>
      <c r="BK328" s="645"/>
      <c r="BL328" s="645"/>
      <c r="BM328" s="645"/>
    </row>
    <row r="329" spans="1:65" ht="65.099999999999994" customHeight="1" thickBot="1">
      <c r="A329" s="405"/>
      <c r="B329" s="625"/>
      <c r="C329" s="440"/>
      <c r="D329" s="109"/>
      <c r="E329" s="109"/>
      <c r="F329" s="475"/>
      <c r="G329" s="443"/>
      <c r="H329" s="100"/>
      <c r="I329" s="128"/>
      <c r="J329" s="100"/>
      <c r="K329" s="29"/>
      <c r="L329" s="129"/>
      <c r="M329" s="446"/>
      <c r="N329" s="425"/>
      <c r="O329" s="428"/>
      <c r="P329" s="425"/>
      <c r="Q329" s="429"/>
      <c r="R329" s="422"/>
      <c r="S329" s="150"/>
      <c r="T329" s="198"/>
      <c r="U329" s="47" t="s">
        <v>627</v>
      </c>
      <c r="V329" s="172"/>
      <c r="W329" s="172"/>
      <c r="X329" s="172"/>
      <c r="Y329" s="95" t="str">
        <f t="shared" si="61"/>
        <v/>
      </c>
      <c r="Z329" s="172"/>
      <c r="AA329" s="95" t="str">
        <f t="shared" si="62"/>
        <v/>
      </c>
      <c r="AB329" s="150"/>
      <c r="AC329" s="95" t="str">
        <f t="shared" si="63"/>
        <v/>
      </c>
      <c r="AD329" s="150"/>
      <c r="AE329" s="95" t="str">
        <f t="shared" si="64"/>
        <v/>
      </c>
      <c r="AF329" s="150"/>
      <c r="AG329" s="95" t="str">
        <f t="shared" si="65"/>
        <v/>
      </c>
      <c r="AH329" s="150"/>
      <c r="AI329" s="95" t="str">
        <f t="shared" si="66"/>
        <v/>
      </c>
      <c r="AJ329" s="150"/>
      <c r="AK329" s="27" t="str">
        <f t="shared" si="67"/>
        <v/>
      </c>
      <c r="AL329" s="48" t="str">
        <f t="shared" si="68"/>
        <v/>
      </c>
      <c r="AM329" s="48" t="str">
        <f t="shared" si="69"/>
        <v/>
      </c>
      <c r="AN329" s="196"/>
      <c r="AO329" s="196"/>
      <c r="AP329" s="196"/>
      <c r="AQ329" s="196"/>
      <c r="AR329" s="196"/>
      <c r="AS329" s="196"/>
      <c r="AT329" s="196"/>
      <c r="AU329" s="197" t="str">
        <f>IFERROR(VLOOKUP(AT329,'Seguridad Información'!$I$61:$J$65,2,0),"")</f>
        <v/>
      </c>
      <c r="AV329" s="79"/>
      <c r="AW329" s="78" t="str">
        <f t="shared" si="60"/>
        <v/>
      </c>
      <c r="AX329" s="77" t="str">
        <f t="shared" si="70"/>
        <v/>
      </c>
      <c r="AY329" s="21" t="str">
        <f>IFERROR(VLOOKUP((CONCATENATE(AM329,AX329)),Listados!$U$3:$V$11,2,FALSE),"")</f>
        <v/>
      </c>
      <c r="AZ329" s="48">
        <f t="shared" ref="AZ329:AZ366" si="71">IF(ISBLANK(AY329),"",IF(AY329="Débil", 0, IF(AY329="Moderado",50,100)))</f>
        <v>100</v>
      </c>
      <c r="BA329" s="431"/>
      <c r="BB329" s="433"/>
      <c r="BC329" s="169">
        <f>+IF(AND(W329="Preventivo",BB325="Fuerte"),2,IF(AND(W329="Preventivo",BB325="Moderado"),1,0))</f>
        <v>0</v>
      </c>
      <c r="BD329" s="64">
        <f>+IF(AND(W329="Detectivo/Correctivo",$BB325="Fuerte"),2,IF(AND(W329="Detectivo/Correctivo",$BB329="Moderado"),1,IF(AND(W329="Preventivo",$BB325="Fuerte"),1,0)))</f>
        <v>0</v>
      </c>
      <c r="BE329" s="169" t="e">
        <f>+N325-BC329</f>
        <v>#N/A</v>
      </c>
      <c r="BF329" s="169" t="e">
        <f>+P325-BD329</f>
        <v>#N/A</v>
      </c>
      <c r="BG329" s="422"/>
      <c r="BH329" s="422"/>
      <c r="BI329" s="422"/>
      <c r="BJ329" s="645"/>
      <c r="BK329" s="645"/>
      <c r="BL329" s="645"/>
      <c r="BM329" s="645"/>
    </row>
    <row r="330" spans="1:65" ht="65.099999999999994" customHeight="1" thickBot="1">
      <c r="A330" s="406"/>
      <c r="B330" s="625"/>
      <c r="C330" s="441"/>
      <c r="D330" s="106"/>
      <c r="E330" s="106"/>
      <c r="F330" s="619"/>
      <c r="G330" s="444"/>
      <c r="H330" s="100"/>
      <c r="I330" s="128"/>
      <c r="J330" s="100"/>
      <c r="K330" s="31"/>
      <c r="L330" s="129"/>
      <c r="M330" s="446"/>
      <c r="N330" s="426"/>
      <c r="O330" s="428"/>
      <c r="P330" s="426"/>
      <c r="Q330" s="429"/>
      <c r="R330" s="423"/>
      <c r="S330" s="150"/>
      <c r="T330" s="98"/>
      <c r="U330" s="47" t="s">
        <v>627</v>
      </c>
      <c r="V330" s="172"/>
      <c r="W330" s="172"/>
      <c r="X330" s="172"/>
      <c r="Y330" s="95" t="str">
        <f t="shared" si="61"/>
        <v/>
      </c>
      <c r="Z330" s="172"/>
      <c r="AA330" s="95" t="str">
        <f t="shared" si="62"/>
        <v/>
      </c>
      <c r="AB330" s="150"/>
      <c r="AC330" s="95" t="str">
        <f t="shared" si="63"/>
        <v/>
      </c>
      <c r="AD330" s="150"/>
      <c r="AE330" s="95" t="str">
        <f t="shared" si="64"/>
        <v/>
      </c>
      <c r="AF330" s="150"/>
      <c r="AG330" s="95" t="str">
        <f t="shared" si="65"/>
        <v/>
      </c>
      <c r="AH330" s="150"/>
      <c r="AI330" s="95" t="str">
        <f t="shared" si="66"/>
        <v/>
      </c>
      <c r="AJ330" s="150"/>
      <c r="AK330" s="27" t="str">
        <f t="shared" si="67"/>
        <v/>
      </c>
      <c r="AL330" s="48" t="str">
        <f t="shared" si="68"/>
        <v/>
      </c>
      <c r="AM330" s="48" t="str">
        <f t="shared" si="69"/>
        <v/>
      </c>
      <c r="AN330" s="196"/>
      <c r="AO330" s="196"/>
      <c r="AP330" s="196"/>
      <c r="AQ330" s="196"/>
      <c r="AR330" s="196"/>
      <c r="AS330" s="196"/>
      <c r="AT330" s="196"/>
      <c r="AU330" s="197" t="str">
        <f>IFERROR(VLOOKUP(AT330,'Seguridad Información'!$I$61:$J$65,2,0),"")</f>
        <v/>
      </c>
      <c r="AV330" s="79"/>
      <c r="AW330" s="78" t="str">
        <f t="shared" si="60"/>
        <v/>
      </c>
      <c r="AX330" s="77" t="str">
        <f t="shared" si="70"/>
        <v/>
      </c>
      <c r="AY330" s="21" t="str">
        <f>IFERROR(VLOOKUP((CONCATENATE(AM330,AX330)),Listados!$U$3:$V$11,2,FALSE),"")</f>
        <v/>
      </c>
      <c r="AZ330" s="48">
        <f t="shared" si="71"/>
        <v>100</v>
      </c>
      <c r="BA330" s="432"/>
      <c r="BB330" s="433"/>
      <c r="BC330" s="169">
        <f>+IF(AND(W330="Preventivo",BB325="Fuerte"),2,IF(AND(W330="Preventivo",BB325="Moderado"),1,0))</f>
        <v>0</v>
      </c>
      <c r="BD330" s="64">
        <f>+IF(AND(W330="Detectivo/Correctivo",$BB325="Fuerte"),2,IF(AND(W330="Detectivo/Correctivo",$BB330="Moderado"),1,IF(AND(W330="Preventivo",$BB325="Fuerte"),1,0)))</f>
        <v>0</v>
      </c>
      <c r="BE330" s="169" t="e">
        <f>+N325-BC330</f>
        <v>#N/A</v>
      </c>
      <c r="BF330" s="169" t="e">
        <f>+P325-BD330</f>
        <v>#N/A</v>
      </c>
      <c r="BG330" s="423"/>
      <c r="BH330" s="423"/>
      <c r="BI330" s="423"/>
      <c r="BJ330" s="646"/>
      <c r="BK330" s="646"/>
      <c r="BL330" s="646"/>
      <c r="BM330" s="646"/>
    </row>
    <row r="331" spans="1:65" ht="65.099999999999994" customHeight="1" thickBot="1">
      <c r="A331" s="404">
        <v>55</v>
      </c>
      <c r="B331" s="628"/>
      <c r="C331" s="447" t="str">
        <f>IFERROR(VLOOKUP(B331,Listados!B$3:C$20,2,FALSE),"")</f>
        <v/>
      </c>
      <c r="D331" s="107"/>
      <c r="E331" s="107"/>
      <c r="F331" s="618"/>
      <c r="G331" s="448"/>
      <c r="H331" s="100"/>
      <c r="I331" s="128"/>
      <c r="J331" s="100"/>
      <c r="K331" s="103"/>
      <c r="L331" s="17"/>
      <c r="M331" s="445"/>
      <c r="N331" s="424" t="e">
        <f>+VLOOKUP(M331,Listados!$K$8:$L$12,2,0)</f>
        <v>#N/A</v>
      </c>
      <c r="O331" s="427"/>
      <c r="P331" s="424" t="e">
        <f>+VLOOKUP(O331,Listados!$K$13:$L$17,2,0)</f>
        <v>#N/A</v>
      </c>
      <c r="Q331" s="423" t="str">
        <f>IF(AND(M331&lt;&gt;"",O331&lt;&gt;""),VLOOKUP(M331&amp;O331,Listados!$M$3:$N$27,2,FALSE),"")</f>
        <v/>
      </c>
      <c r="R331" s="421" t="e">
        <f>+VLOOKUP(Q331,Listados!$P$3:$Q$6,2,FALSE)</f>
        <v>#N/A</v>
      </c>
      <c r="S331" s="150"/>
      <c r="T331" s="94"/>
      <c r="U331" s="47" t="s">
        <v>627</v>
      </c>
      <c r="V331" s="172"/>
      <c r="W331" s="172"/>
      <c r="X331" s="172"/>
      <c r="Y331" s="95" t="str">
        <f t="shared" si="61"/>
        <v/>
      </c>
      <c r="Z331" s="172"/>
      <c r="AA331" s="95" t="str">
        <f t="shared" si="62"/>
        <v/>
      </c>
      <c r="AB331" s="150"/>
      <c r="AC331" s="95" t="str">
        <f t="shared" si="63"/>
        <v/>
      </c>
      <c r="AD331" s="150"/>
      <c r="AE331" s="95" t="str">
        <f t="shared" si="64"/>
        <v/>
      </c>
      <c r="AF331" s="150"/>
      <c r="AG331" s="95" t="str">
        <f t="shared" si="65"/>
        <v/>
      </c>
      <c r="AH331" s="150"/>
      <c r="AI331" s="95" t="str">
        <f t="shared" si="66"/>
        <v/>
      </c>
      <c r="AJ331" s="150"/>
      <c r="AK331" s="27" t="str">
        <f t="shared" si="67"/>
        <v/>
      </c>
      <c r="AL331" s="48" t="str">
        <f t="shared" si="68"/>
        <v/>
      </c>
      <c r="AM331" s="48" t="str">
        <f t="shared" si="69"/>
        <v/>
      </c>
      <c r="AN331" s="196"/>
      <c r="AO331" s="196"/>
      <c r="AP331" s="196"/>
      <c r="AQ331" s="196"/>
      <c r="AR331" s="196"/>
      <c r="AS331" s="196"/>
      <c r="AT331" s="196"/>
      <c r="AU331" s="197" t="str">
        <f>IFERROR(VLOOKUP(AT331,'Seguridad Información'!$I$61:$J$65,2,0),"")</f>
        <v/>
      </c>
      <c r="AV331" s="79"/>
      <c r="AW331" s="78" t="str">
        <f t="shared" si="60"/>
        <v/>
      </c>
      <c r="AX331" s="77" t="str">
        <f t="shared" si="70"/>
        <v/>
      </c>
      <c r="AY331" s="21" t="str">
        <f>IFERROR(VLOOKUP((CONCATENATE(AM331,AX331)),Listados!$U$3:$V$11,2,FALSE),"")</f>
        <v/>
      </c>
      <c r="AZ331" s="48">
        <f t="shared" si="71"/>
        <v>100</v>
      </c>
      <c r="BA331" s="430">
        <f>AVERAGE(AZ331:AZ336)</f>
        <v>100</v>
      </c>
      <c r="BB331" s="432" t="str">
        <f>IF(BA331&lt;=50, "Débil", IF(BA331&lt;=99,"Moderado","Fuerte"))</f>
        <v>Fuerte</v>
      </c>
      <c r="BC331" s="169">
        <f>+IF(AND(W331="Preventivo",BB331="Fuerte"),2,IF(AND(W331="Preventivo",BB331="Moderado"),1,0))</f>
        <v>0</v>
      </c>
      <c r="BD331" s="64">
        <f>+IF(AND(W331="Detectivo/Correctivo",$BB331="Fuerte"),2,IF(AND(W331="Detectivo/Correctivo",$BB331="Moderado"),1,IF(AND(W331="Preventivo",$BB331="Fuerte"),1,0)))</f>
        <v>0</v>
      </c>
      <c r="BE331" s="169" t="e">
        <f>+N331-BC331</f>
        <v>#N/A</v>
      </c>
      <c r="BF331" s="169" t="e">
        <f>+P331-BD331</f>
        <v>#N/A</v>
      </c>
      <c r="BG331" s="421" t="e">
        <f>+VLOOKUP(MIN(BE331,BE332,BE333,BE334,BE335,BE336),Listados!$J$18:$K$24,2,TRUE)</f>
        <v>#N/A</v>
      </c>
      <c r="BH331" s="421" t="e">
        <f>+VLOOKUP(MIN(BF331,BF332,BF333,BF334,BF335,BF336),Listados!$J$27:$K$32,2,TRUE)</f>
        <v>#N/A</v>
      </c>
      <c r="BI331" s="421" t="e">
        <f>IF(AND(BG331&lt;&gt;"",BH331&lt;&gt;""),VLOOKUP(BG331&amp;BH331,Listados!$M$3:$N$27,2,FALSE),"")</f>
        <v>#N/A</v>
      </c>
      <c r="BJ331" s="644" t="e">
        <f>+IF($R331="Asumir el riesgo","NA","")</f>
        <v>#N/A</v>
      </c>
      <c r="BK331" s="644" t="e">
        <f>+IF($R331="Asumir el riesgo","NA","")</f>
        <v>#N/A</v>
      </c>
      <c r="BL331" s="644" t="e">
        <f>+IF($R331="Asumir el riesgo","NA","")</f>
        <v>#N/A</v>
      </c>
      <c r="BM331" s="644" t="e">
        <f>+IF($R331="Asumir el riesgo","NA","")</f>
        <v>#N/A</v>
      </c>
    </row>
    <row r="332" spans="1:65" ht="65.099999999999994" customHeight="1" thickBot="1">
      <c r="A332" s="405"/>
      <c r="B332" s="625"/>
      <c r="C332" s="440"/>
      <c r="D332" s="152"/>
      <c r="E332" s="152"/>
      <c r="F332" s="475"/>
      <c r="G332" s="443"/>
      <c r="H332" s="100"/>
      <c r="I332" s="128"/>
      <c r="J332" s="100"/>
      <c r="K332" s="147"/>
      <c r="L332" s="129"/>
      <c r="M332" s="446"/>
      <c r="N332" s="425"/>
      <c r="O332" s="428"/>
      <c r="P332" s="425"/>
      <c r="Q332" s="429"/>
      <c r="R332" s="422"/>
      <c r="S332" s="150"/>
      <c r="T332" s="198"/>
      <c r="U332" s="47" t="s">
        <v>627</v>
      </c>
      <c r="V332" s="172"/>
      <c r="W332" s="172"/>
      <c r="X332" s="172"/>
      <c r="Y332" s="95" t="str">
        <f t="shared" si="61"/>
        <v/>
      </c>
      <c r="Z332" s="172"/>
      <c r="AA332" s="95" t="str">
        <f t="shared" si="62"/>
        <v/>
      </c>
      <c r="AB332" s="150"/>
      <c r="AC332" s="95" t="str">
        <f t="shared" si="63"/>
        <v/>
      </c>
      <c r="AD332" s="150"/>
      <c r="AE332" s="95" t="str">
        <f t="shared" si="64"/>
        <v/>
      </c>
      <c r="AF332" s="150"/>
      <c r="AG332" s="95" t="str">
        <f t="shared" si="65"/>
        <v/>
      </c>
      <c r="AH332" s="150"/>
      <c r="AI332" s="95" t="str">
        <f t="shared" si="66"/>
        <v/>
      </c>
      <c r="AJ332" s="150"/>
      <c r="AK332" s="27" t="str">
        <f t="shared" si="67"/>
        <v/>
      </c>
      <c r="AL332" s="48" t="str">
        <f t="shared" si="68"/>
        <v/>
      </c>
      <c r="AM332" s="48" t="str">
        <f t="shared" si="69"/>
        <v/>
      </c>
      <c r="AN332" s="196"/>
      <c r="AO332" s="196"/>
      <c r="AP332" s="196"/>
      <c r="AQ332" s="196"/>
      <c r="AR332" s="196"/>
      <c r="AS332" s="196"/>
      <c r="AT332" s="196"/>
      <c r="AU332" s="197" t="str">
        <f>IFERROR(VLOOKUP(AT332,'Seguridad Información'!$I$61:$J$65,2,0),"")</f>
        <v/>
      </c>
      <c r="AV332" s="79"/>
      <c r="AW332" s="78" t="str">
        <f t="shared" si="60"/>
        <v/>
      </c>
      <c r="AX332" s="77" t="str">
        <f t="shared" si="70"/>
        <v/>
      </c>
      <c r="AY332" s="21" t="str">
        <f>IFERROR(VLOOKUP((CONCATENATE(AM332,AX332)),Listados!$U$3:$V$11,2,FALSE),"")</f>
        <v/>
      </c>
      <c r="AZ332" s="48">
        <f t="shared" si="71"/>
        <v>100</v>
      </c>
      <c r="BA332" s="431"/>
      <c r="BB332" s="433"/>
      <c r="BC332" s="169">
        <f>+IF(AND(W332="Preventivo",BB331="Fuerte"),2,IF(AND(W332="Preventivo",BB331="Moderado"),1,0))</f>
        <v>0</v>
      </c>
      <c r="BD332" s="64">
        <f>+IF(AND(W332="Detectivo/Correctivo",$BB331="Fuerte"),2,IF(AND(W332="Detectivo/Correctivo",$BB332="Moderado"),1,IF(AND(W332="Preventivo",$BB331="Fuerte"),1,0)))</f>
        <v>0</v>
      </c>
      <c r="BE332" s="169" t="e">
        <f>+N331-BC332</f>
        <v>#N/A</v>
      </c>
      <c r="BF332" s="169" t="e">
        <f>+P331-BD332</f>
        <v>#N/A</v>
      </c>
      <c r="BG332" s="422"/>
      <c r="BH332" s="422"/>
      <c r="BI332" s="422"/>
      <c r="BJ332" s="645"/>
      <c r="BK332" s="645"/>
      <c r="BL332" s="645"/>
      <c r="BM332" s="645"/>
    </row>
    <row r="333" spans="1:65" ht="65.099999999999994" customHeight="1" thickBot="1">
      <c r="A333" s="405"/>
      <c r="B333" s="625"/>
      <c r="C333" s="440"/>
      <c r="D333" s="152"/>
      <c r="E333" s="152"/>
      <c r="F333" s="475"/>
      <c r="G333" s="443"/>
      <c r="H333" s="100"/>
      <c r="I333" s="128"/>
      <c r="J333" s="100"/>
      <c r="K333" s="147"/>
      <c r="L333" s="129"/>
      <c r="M333" s="446"/>
      <c r="N333" s="425"/>
      <c r="O333" s="428"/>
      <c r="P333" s="425"/>
      <c r="Q333" s="429"/>
      <c r="R333" s="422"/>
      <c r="S333" s="150"/>
      <c r="T333" s="96"/>
      <c r="U333" s="47" t="s">
        <v>627</v>
      </c>
      <c r="V333" s="172"/>
      <c r="W333" s="172"/>
      <c r="X333" s="172"/>
      <c r="Y333" s="95" t="str">
        <f t="shared" si="61"/>
        <v/>
      </c>
      <c r="Z333" s="172"/>
      <c r="AA333" s="95" t="str">
        <f t="shared" si="62"/>
        <v/>
      </c>
      <c r="AB333" s="150"/>
      <c r="AC333" s="95" t="str">
        <f t="shared" si="63"/>
        <v/>
      </c>
      <c r="AD333" s="150"/>
      <c r="AE333" s="95" t="str">
        <f t="shared" si="64"/>
        <v/>
      </c>
      <c r="AF333" s="150"/>
      <c r="AG333" s="95" t="str">
        <f t="shared" si="65"/>
        <v/>
      </c>
      <c r="AH333" s="150"/>
      <c r="AI333" s="95" t="str">
        <f t="shared" si="66"/>
        <v/>
      </c>
      <c r="AJ333" s="150"/>
      <c r="AK333" s="27" t="str">
        <f t="shared" si="67"/>
        <v/>
      </c>
      <c r="AL333" s="48" t="str">
        <f t="shared" si="68"/>
        <v/>
      </c>
      <c r="AM333" s="48" t="str">
        <f t="shared" si="69"/>
        <v/>
      </c>
      <c r="AN333" s="196"/>
      <c r="AO333" s="196"/>
      <c r="AP333" s="196"/>
      <c r="AQ333" s="196"/>
      <c r="AR333" s="196"/>
      <c r="AS333" s="196"/>
      <c r="AT333" s="196"/>
      <c r="AU333" s="197" t="str">
        <f>IFERROR(VLOOKUP(AT333,'Seguridad Información'!$I$61:$J$65,2,0),"")</f>
        <v/>
      </c>
      <c r="AV333" s="79"/>
      <c r="AW333" s="78" t="str">
        <f t="shared" si="60"/>
        <v/>
      </c>
      <c r="AX333" s="77" t="str">
        <f t="shared" si="70"/>
        <v/>
      </c>
      <c r="AY333" s="21" t="str">
        <f>IFERROR(VLOOKUP((CONCATENATE(AM333,AX333)),Listados!$U$3:$V$11,2,FALSE),"")</f>
        <v/>
      </c>
      <c r="AZ333" s="48">
        <f t="shared" si="71"/>
        <v>100</v>
      </c>
      <c r="BA333" s="431"/>
      <c r="BB333" s="433"/>
      <c r="BC333" s="169">
        <f>+IF(AND(W333="Preventivo",BB331="Fuerte"),2,IF(AND(W333="Preventivo",BB331="Moderado"),1,0))</f>
        <v>0</v>
      </c>
      <c r="BD333" s="64">
        <f>+IF(AND(W333="Detectivo/Correctivo",$BB331="Fuerte"),2,IF(AND(W333="Detectivo/Correctivo",$BB333="Moderado"),1,IF(AND(W333="Preventivo",$BB331="Fuerte"),1,0)))</f>
        <v>0</v>
      </c>
      <c r="BE333" s="169" t="e">
        <f>+N331-BC333</f>
        <v>#N/A</v>
      </c>
      <c r="BF333" s="169" t="e">
        <f>+P331-BD333</f>
        <v>#N/A</v>
      </c>
      <c r="BG333" s="422"/>
      <c r="BH333" s="422"/>
      <c r="BI333" s="422"/>
      <c r="BJ333" s="645"/>
      <c r="BK333" s="645"/>
      <c r="BL333" s="645"/>
      <c r="BM333" s="645"/>
    </row>
    <row r="334" spans="1:65" ht="65.099999999999994" customHeight="1" thickBot="1">
      <c r="A334" s="405"/>
      <c r="B334" s="625"/>
      <c r="C334" s="440"/>
      <c r="D334" s="152"/>
      <c r="E334" s="152"/>
      <c r="F334" s="475"/>
      <c r="G334" s="443"/>
      <c r="H334" s="100"/>
      <c r="I334" s="128"/>
      <c r="J334" s="100"/>
      <c r="K334" s="147"/>
      <c r="L334" s="129"/>
      <c r="M334" s="446"/>
      <c r="N334" s="425"/>
      <c r="O334" s="428"/>
      <c r="P334" s="425"/>
      <c r="Q334" s="429"/>
      <c r="R334" s="422"/>
      <c r="S334" s="150"/>
      <c r="T334" s="97"/>
      <c r="U334" s="47" t="s">
        <v>627</v>
      </c>
      <c r="V334" s="172"/>
      <c r="W334" s="172"/>
      <c r="X334" s="172"/>
      <c r="Y334" s="95" t="str">
        <f t="shared" si="61"/>
        <v/>
      </c>
      <c r="Z334" s="172"/>
      <c r="AA334" s="95" t="str">
        <f t="shared" si="62"/>
        <v/>
      </c>
      <c r="AB334" s="150"/>
      <c r="AC334" s="95" t="str">
        <f t="shared" si="63"/>
        <v/>
      </c>
      <c r="AD334" s="150"/>
      <c r="AE334" s="95" t="str">
        <f t="shared" si="64"/>
        <v/>
      </c>
      <c r="AF334" s="150"/>
      <c r="AG334" s="95" t="str">
        <f t="shared" si="65"/>
        <v/>
      </c>
      <c r="AH334" s="150"/>
      <c r="AI334" s="95" t="str">
        <f t="shared" si="66"/>
        <v/>
      </c>
      <c r="AJ334" s="150"/>
      <c r="AK334" s="27" t="str">
        <f t="shared" si="67"/>
        <v/>
      </c>
      <c r="AL334" s="48" t="str">
        <f t="shared" si="68"/>
        <v/>
      </c>
      <c r="AM334" s="48" t="str">
        <f t="shared" si="69"/>
        <v/>
      </c>
      <c r="AN334" s="196"/>
      <c r="AO334" s="196"/>
      <c r="AP334" s="196"/>
      <c r="AQ334" s="196"/>
      <c r="AR334" s="196"/>
      <c r="AS334" s="196"/>
      <c r="AT334" s="196"/>
      <c r="AU334" s="197" t="str">
        <f>IFERROR(VLOOKUP(AT334,'Seguridad Información'!$I$61:$J$65,2,0),"")</f>
        <v/>
      </c>
      <c r="AV334" s="79"/>
      <c r="AW334" s="78" t="str">
        <f t="shared" si="60"/>
        <v/>
      </c>
      <c r="AX334" s="77" t="str">
        <f t="shared" si="70"/>
        <v/>
      </c>
      <c r="AY334" s="21" t="str">
        <f>IFERROR(VLOOKUP((CONCATENATE(AM334,AX334)),Listados!$U$3:$V$11,2,FALSE),"")</f>
        <v/>
      </c>
      <c r="AZ334" s="48">
        <f t="shared" si="71"/>
        <v>100</v>
      </c>
      <c r="BA334" s="431"/>
      <c r="BB334" s="433"/>
      <c r="BC334" s="169">
        <f>+IF(AND(W334="Preventivo",BB331="Fuerte"),2,IF(AND(W334="Preventivo",BB331="Moderado"),1,0))</f>
        <v>0</v>
      </c>
      <c r="BD334" s="64">
        <f>+IF(AND(W334="Detectivo/Correctivo",$BB331="Fuerte"),2,IF(AND(W334="Detectivo/Correctivo",$BB334="Moderado"),1,IF(AND(W334="Preventivo",$BB331="Fuerte"),1,0)))</f>
        <v>0</v>
      </c>
      <c r="BE334" s="169" t="e">
        <f>+N331-BC334</f>
        <v>#N/A</v>
      </c>
      <c r="BF334" s="169" t="e">
        <f>+P331-BD334</f>
        <v>#N/A</v>
      </c>
      <c r="BG334" s="422"/>
      <c r="BH334" s="422"/>
      <c r="BI334" s="422"/>
      <c r="BJ334" s="645"/>
      <c r="BK334" s="645"/>
      <c r="BL334" s="645"/>
      <c r="BM334" s="645"/>
    </row>
    <row r="335" spans="1:65" ht="65.099999999999994" customHeight="1" thickBot="1">
      <c r="A335" s="405"/>
      <c r="B335" s="625"/>
      <c r="C335" s="440"/>
      <c r="D335" s="109"/>
      <c r="E335" s="109"/>
      <c r="F335" s="475"/>
      <c r="G335" s="443"/>
      <c r="H335" s="100"/>
      <c r="I335" s="128"/>
      <c r="J335" s="100"/>
      <c r="K335" s="29"/>
      <c r="L335" s="129"/>
      <c r="M335" s="446"/>
      <c r="N335" s="425"/>
      <c r="O335" s="428"/>
      <c r="P335" s="425"/>
      <c r="Q335" s="429"/>
      <c r="R335" s="422"/>
      <c r="S335" s="150"/>
      <c r="T335" s="198"/>
      <c r="U335" s="47" t="s">
        <v>627</v>
      </c>
      <c r="V335" s="172"/>
      <c r="W335" s="172"/>
      <c r="X335" s="172"/>
      <c r="Y335" s="95" t="str">
        <f t="shared" si="61"/>
        <v/>
      </c>
      <c r="Z335" s="172"/>
      <c r="AA335" s="95" t="str">
        <f t="shared" si="62"/>
        <v/>
      </c>
      <c r="AB335" s="150"/>
      <c r="AC335" s="95" t="str">
        <f t="shared" si="63"/>
        <v/>
      </c>
      <c r="AD335" s="150"/>
      <c r="AE335" s="95" t="str">
        <f t="shared" si="64"/>
        <v/>
      </c>
      <c r="AF335" s="150"/>
      <c r="AG335" s="95" t="str">
        <f t="shared" si="65"/>
        <v/>
      </c>
      <c r="AH335" s="150"/>
      <c r="AI335" s="95" t="str">
        <f t="shared" si="66"/>
        <v/>
      </c>
      <c r="AJ335" s="150"/>
      <c r="AK335" s="27" t="str">
        <f t="shared" si="67"/>
        <v/>
      </c>
      <c r="AL335" s="48" t="str">
        <f t="shared" si="68"/>
        <v/>
      </c>
      <c r="AM335" s="48" t="str">
        <f t="shared" si="69"/>
        <v/>
      </c>
      <c r="AN335" s="196"/>
      <c r="AO335" s="196"/>
      <c r="AP335" s="196"/>
      <c r="AQ335" s="196"/>
      <c r="AR335" s="196"/>
      <c r="AS335" s="196"/>
      <c r="AT335" s="196"/>
      <c r="AU335" s="197" t="str">
        <f>IFERROR(VLOOKUP(AT335,'Seguridad Información'!$I$61:$J$65,2,0),"")</f>
        <v/>
      </c>
      <c r="AV335" s="79"/>
      <c r="AW335" s="78" t="str">
        <f t="shared" si="60"/>
        <v/>
      </c>
      <c r="AX335" s="77" t="str">
        <f t="shared" si="70"/>
        <v/>
      </c>
      <c r="AY335" s="21" t="str">
        <f>IFERROR(VLOOKUP((CONCATENATE(AM335,AX335)),Listados!$U$3:$V$11,2,FALSE),"")</f>
        <v/>
      </c>
      <c r="AZ335" s="48">
        <f t="shared" si="71"/>
        <v>100</v>
      </c>
      <c r="BA335" s="431"/>
      <c r="BB335" s="433"/>
      <c r="BC335" s="169">
        <f>+IF(AND(W335="Preventivo",BB331="Fuerte"),2,IF(AND(W335="Preventivo",BB331="Moderado"),1,0))</f>
        <v>0</v>
      </c>
      <c r="BD335" s="64">
        <f>+IF(AND(W335="Detectivo/Correctivo",$BB331="Fuerte"),2,IF(AND(W335="Detectivo/Correctivo",$BB335="Moderado"),1,IF(AND(W335="Preventivo",$BB331="Fuerte"),1,0)))</f>
        <v>0</v>
      </c>
      <c r="BE335" s="169" t="e">
        <f>+N331-BC335</f>
        <v>#N/A</v>
      </c>
      <c r="BF335" s="169" t="e">
        <f>+P331-BD335</f>
        <v>#N/A</v>
      </c>
      <c r="BG335" s="422"/>
      <c r="BH335" s="422"/>
      <c r="BI335" s="422"/>
      <c r="BJ335" s="645"/>
      <c r="BK335" s="645"/>
      <c r="BL335" s="645"/>
      <c r="BM335" s="645"/>
    </row>
    <row r="336" spans="1:65" ht="65.099999999999994" customHeight="1" thickBot="1">
      <c r="A336" s="406"/>
      <c r="B336" s="625"/>
      <c r="C336" s="441"/>
      <c r="D336" s="106"/>
      <c r="E336" s="106"/>
      <c r="F336" s="619"/>
      <c r="G336" s="444"/>
      <c r="H336" s="100"/>
      <c r="I336" s="128"/>
      <c r="J336" s="100"/>
      <c r="K336" s="31"/>
      <c r="L336" s="129"/>
      <c r="M336" s="446"/>
      <c r="N336" s="426"/>
      <c r="O336" s="428"/>
      <c r="P336" s="426"/>
      <c r="Q336" s="429"/>
      <c r="R336" s="423"/>
      <c r="S336" s="150"/>
      <c r="T336" s="98"/>
      <c r="U336" s="47" t="s">
        <v>627</v>
      </c>
      <c r="V336" s="172"/>
      <c r="W336" s="172"/>
      <c r="X336" s="172"/>
      <c r="Y336" s="95" t="str">
        <f t="shared" si="61"/>
        <v/>
      </c>
      <c r="Z336" s="172"/>
      <c r="AA336" s="95" t="str">
        <f t="shared" si="62"/>
        <v/>
      </c>
      <c r="AB336" s="150"/>
      <c r="AC336" s="95" t="str">
        <f t="shared" si="63"/>
        <v/>
      </c>
      <c r="AD336" s="150"/>
      <c r="AE336" s="95" t="str">
        <f t="shared" si="64"/>
        <v/>
      </c>
      <c r="AF336" s="150"/>
      <c r="AG336" s="95" t="str">
        <f t="shared" si="65"/>
        <v/>
      </c>
      <c r="AH336" s="150"/>
      <c r="AI336" s="95" t="str">
        <f t="shared" si="66"/>
        <v/>
      </c>
      <c r="AJ336" s="150"/>
      <c r="AK336" s="27" t="str">
        <f t="shared" si="67"/>
        <v/>
      </c>
      <c r="AL336" s="48" t="str">
        <f t="shared" si="68"/>
        <v/>
      </c>
      <c r="AM336" s="48" t="str">
        <f t="shared" si="69"/>
        <v/>
      </c>
      <c r="AN336" s="196"/>
      <c r="AO336" s="196"/>
      <c r="AP336" s="196"/>
      <c r="AQ336" s="196"/>
      <c r="AR336" s="196"/>
      <c r="AS336" s="196"/>
      <c r="AT336" s="196"/>
      <c r="AU336" s="197" t="str">
        <f>IFERROR(VLOOKUP(AT336,'Seguridad Información'!$I$61:$J$65,2,0),"")</f>
        <v/>
      </c>
      <c r="AV336" s="79"/>
      <c r="AW336" s="78" t="str">
        <f t="shared" si="60"/>
        <v/>
      </c>
      <c r="AX336" s="77" t="str">
        <f t="shared" si="70"/>
        <v/>
      </c>
      <c r="AY336" s="21" t="str">
        <f>IFERROR(VLOOKUP((CONCATENATE(AM336,AX336)),Listados!$U$3:$V$11,2,FALSE),"")</f>
        <v/>
      </c>
      <c r="AZ336" s="48">
        <f t="shared" si="71"/>
        <v>100</v>
      </c>
      <c r="BA336" s="432"/>
      <c r="BB336" s="433"/>
      <c r="BC336" s="169">
        <f>+IF(AND(W336="Preventivo",BB331="Fuerte"),2,IF(AND(W336="Preventivo",BB331="Moderado"),1,0))</f>
        <v>0</v>
      </c>
      <c r="BD336" s="64">
        <f>+IF(AND(W336="Detectivo/Correctivo",$BB331="Fuerte"),2,IF(AND(W336="Detectivo/Correctivo",$BB336="Moderado"),1,IF(AND(W336="Preventivo",$BB331="Fuerte"),1,0)))</f>
        <v>0</v>
      </c>
      <c r="BE336" s="169" t="e">
        <f>+N331-BC336</f>
        <v>#N/A</v>
      </c>
      <c r="BF336" s="169" t="e">
        <f>+P331-BD336</f>
        <v>#N/A</v>
      </c>
      <c r="BG336" s="423"/>
      <c r="BH336" s="423"/>
      <c r="BI336" s="423"/>
      <c r="BJ336" s="646"/>
      <c r="BK336" s="646"/>
      <c r="BL336" s="646"/>
      <c r="BM336" s="646"/>
    </row>
    <row r="337" spans="1:65" ht="65.099999999999994" customHeight="1" thickBot="1">
      <c r="A337" s="404">
        <v>56</v>
      </c>
      <c r="B337" s="628"/>
      <c r="C337" s="447" t="str">
        <f>IFERROR(VLOOKUP(B337,Listados!B$3:C$20,2,FALSE),"")</f>
        <v/>
      </c>
      <c r="D337" s="107"/>
      <c r="E337" s="107"/>
      <c r="F337" s="618"/>
      <c r="G337" s="448"/>
      <c r="H337" s="100"/>
      <c r="I337" s="128"/>
      <c r="J337" s="100"/>
      <c r="K337" s="103"/>
      <c r="L337" s="17"/>
      <c r="M337" s="445"/>
      <c r="N337" s="424" t="e">
        <f>+VLOOKUP(M337,Listados!$K$8:$L$12,2,0)</f>
        <v>#N/A</v>
      </c>
      <c r="O337" s="427"/>
      <c r="P337" s="424" t="e">
        <f>+VLOOKUP(O337,Listados!$K$13:$L$17,2,0)</f>
        <v>#N/A</v>
      </c>
      <c r="Q337" s="423" t="str">
        <f>IF(AND(M337&lt;&gt;"",O337&lt;&gt;""),VLOOKUP(M337&amp;O337,Listados!$M$3:$N$27,2,FALSE),"")</f>
        <v/>
      </c>
      <c r="R337" s="421" t="e">
        <f>+VLOOKUP(Q337,Listados!$P$3:$Q$6,2,FALSE)</f>
        <v>#N/A</v>
      </c>
      <c r="S337" s="150"/>
      <c r="T337" s="94"/>
      <c r="U337" s="47" t="s">
        <v>627</v>
      </c>
      <c r="V337" s="172"/>
      <c r="W337" s="172"/>
      <c r="X337" s="172"/>
      <c r="Y337" s="95" t="str">
        <f t="shared" si="61"/>
        <v/>
      </c>
      <c r="Z337" s="172"/>
      <c r="AA337" s="95" t="str">
        <f t="shared" si="62"/>
        <v/>
      </c>
      <c r="AB337" s="150"/>
      <c r="AC337" s="95" t="str">
        <f t="shared" si="63"/>
        <v/>
      </c>
      <c r="AD337" s="150"/>
      <c r="AE337" s="95" t="str">
        <f t="shared" si="64"/>
        <v/>
      </c>
      <c r="AF337" s="150"/>
      <c r="AG337" s="95" t="str">
        <f t="shared" si="65"/>
        <v/>
      </c>
      <c r="AH337" s="150"/>
      <c r="AI337" s="95" t="str">
        <f t="shared" si="66"/>
        <v/>
      </c>
      <c r="AJ337" s="150"/>
      <c r="AK337" s="27" t="str">
        <f t="shared" si="67"/>
        <v/>
      </c>
      <c r="AL337" s="48" t="str">
        <f t="shared" si="68"/>
        <v/>
      </c>
      <c r="AM337" s="48" t="str">
        <f t="shared" si="69"/>
        <v/>
      </c>
      <c r="AN337" s="196"/>
      <c r="AO337" s="196"/>
      <c r="AP337" s="196"/>
      <c r="AQ337" s="196"/>
      <c r="AR337" s="196"/>
      <c r="AS337" s="196"/>
      <c r="AT337" s="196"/>
      <c r="AU337" s="197" t="str">
        <f>IFERROR(VLOOKUP(AT337,'Seguridad Información'!$I$61:$J$65,2,0),"")</f>
        <v/>
      </c>
      <c r="AV337" s="79"/>
      <c r="AW337" s="78" t="str">
        <f t="shared" si="60"/>
        <v/>
      </c>
      <c r="AX337" s="77" t="str">
        <f t="shared" si="70"/>
        <v/>
      </c>
      <c r="AY337" s="21" t="str">
        <f>IFERROR(VLOOKUP((CONCATENATE(AM337,AX337)),Listados!$U$3:$V$11,2,FALSE),"")</f>
        <v/>
      </c>
      <c r="AZ337" s="48">
        <f t="shared" si="71"/>
        <v>100</v>
      </c>
      <c r="BA337" s="430">
        <f>AVERAGE(AZ337:AZ342)</f>
        <v>100</v>
      </c>
      <c r="BB337" s="432" t="str">
        <f>IF(BA337&lt;=50, "Débil", IF(BA337&lt;=99,"Moderado","Fuerte"))</f>
        <v>Fuerte</v>
      </c>
      <c r="BC337" s="169">
        <f>+IF(AND(W337="Preventivo",BB337="Fuerte"),2,IF(AND(W337="Preventivo",BB337="Moderado"),1,0))</f>
        <v>0</v>
      </c>
      <c r="BD337" s="64">
        <f>+IF(AND(W337="Detectivo/Correctivo",$BB337="Fuerte"),2,IF(AND(W337="Detectivo/Correctivo",$BB337="Moderado"),1,IF(AND(W337="Preventivo",$BB337="Fuerte"),1,0)))</f>
        <v>0</v>
      </c>
      <c r="BE337" s="169" t="e">
        <f>+N337-BC337</f>
        <v>#N/A</v>
      </c>
      <c r="BF337" s="169" t="e">
        <f>+P337-BD337</f>
        <v>#N/A</v>
      </c>
      <c r="BG337" s="421" t="e">
        <f>+VLOOKUP(MIN(BE337,BE338,BE339,BE340,BE341,BE342),Listados!$J$18:$K$24,2,TRUE)</f>
        <v>#N/A</v>
      </c>
      <c r="BH337" s="421" t="e">
        <f>+VLOOKUP(MIN(BF337,BF338,BF339,BF340,BF341,BF342),Listados!$J$27:$K$32,2,TRUE)</f>
        <v>#N/A</v>
      </c>
      <c r="BI337" s="421" t="e">
        <f>IF(AND(BG337&lt;&gt;"",BH337&lt;&gt;""),VLOOKUP(BG337&amp;BH337,Listados!$M$3:$N$27,2,FALSE),"")</f>
        <v>#N/A</v>
      </c>
      <c r="BJ337" s="644" t="e">
        <f>+IF($R337="Asumir el riesgo","NA","")</f>
        <v>#N/A</v>
      </c>
      <c r="BK337" s="644" t="e">
        <f>+IF($R337="Asumir el riesgo","NA","")</f>
        <v>#N/A</v>
      </c>
      <c r="BL337" s="644" t="e">
        <f>+IF($R337="Asumir el riesgo","NA","")</f>
        <v>#N/A</v>
      </c>
      <c r="BM337" s="644" t="e">
        <f>+IF($R337="Asumir el riesgo","NA","")</f>
        <v>#N/A</v>
      </c>
    </row>
    <row r="338" spans="1:65" ht="65.099999999999994" customHeight="1" thickBot="1">
      <c r="A338" s="405"/>
      <c r="B338" s="625"/>
      <c r="C338" s="440"/>
      <c r="D338" s="152"/>
      <c r="E338" s="152"/>
      <c r="F338" s="475"/>
      <c r="G338" s="443"/>
      <c r="H338" s="100"/>
      <c r="I338" s="128"/>
      <c r="J338" s="100"/>
      <c r="K338" s="147"/>
      <c r="L338" s="129"/>
      <c r="M338" s="446"/>
      <c r="N338" s="425"/>
      <c r="O338" s="428"/>
      <c r="P338" s="425"/>
      <c r="Q338" s="429"/>
      <c r="R338" s="422"/>
      <c r="S338" s="150"/>
      <c r="T338" s="198"/>
      <c r="U338" s="47" t="s">
        <v>627</v>
      </c>
      <c r="V338" s="172"/>
      <c r="W338" s="172"/>
      <c r="X338" s="172"/>
      <c r="Y338" s="95" t="str">
        <f t="shared" si="61"/>
        <v/>
      </c>
      <c r="Z338" s="172"/>
      <c r="AA338" s="95" t="str">
        <f t="shared" si="62"/>
        <v/>
      </c>
      <c r="AB338" s="150"/>
      <c r="AC338" s="95" t="str">
        <f t="shared" si="63"/>
        <v/>
      </c>
      <c r="AD338" s="150"/>
      <c r="AE338" s="95" t="str">
        <f t="shared" si="64"/>
        <v/>
      </c>
      <c r="AF338" s="150"/>
      <c r="AG338" s="95" t="str">
        <f t="shared" si="65"/>
        <v/>
      </c>
      <c r="AH338" s="150"/>
      <c r="AI338" s="95" t="str">
        <f t="shared" si="66"/>
        <v/>
      </c>
      <c r="AJ338" s="150"/>
      <c r="AK338" s="27" t="str">
        <f t="shared" si="67"/>
        <v/>
      </c>
      <c r="AL338" s="48" t="str">
        <f t="shared" si="68"/>
        <v/>
      </c>
      <c r="AM338" s="48" t="str">
        <f t="shared" si="69"/>
        <v/>
      </c>
      <c r="AN338" s="196"/>
      <c r="AO338" s="196"/>
      <c r="AP338" s="196"/>
      <c r="AQ338" s="196"/>
      <c r="AR338" s="196"/>
      <c r="AS338" s="196"/>
      <c r="AT338" s="196"/>
      <c r="AU338" s="197" t="str">
        <f>IFERROR(VLOOKUP(AT338,'Seguridad Información'!$I$61:$J$65,2,0),"")</f>
        <v/>
      </c>
      <c r="AV338" s="79"/>
      <c r="AW338" s="78" t="str">
        <f t="shared" si="60"/>
        <v/>
      </c>
      <c r="AX338" s="77" t="str">
        <f t="shared" si="70"/>
        <v/>
      </c>
      <c r="AY338" s="21" t="str">
        <f>IFERROR(VLOOKUP((CONCATENATE(AM338,AX338)),Listados!$U$3:$V$11,2,FALSE),"")</f>
        <v/>
      </c>
      <c r="AZ338" s="48">
        <f t="shared" si="71"/>
        <v>100</v>
      </c>
      <c r="BA338" s="431"/>
      <c r="BB338" s="433"/>
      <c r="BC338" s="169">
        <f>+IF(AND(W338="Preventivo",BB337="Fuerte"),2,IF(AND(W338="Preventivo",BB337="Moderado"),1,0))</f>
        <v>0</v>
      </c>
      <c r="BD338" s="64">
        <f>+IF(AND(W338="Detectivo/Correctivo",$BB337="Fuerte"),2,IF(AND(W338="Detectivo/Correctivo",$BB338="Moderado"),1,IF(AND(W338="Preventivo",$BB337="Fuerte"),1,0)))</f>
        <v>0</v>
      </c>
      <c r="BE338" s="169" t="e">
        <f>+N337-BC338</f>
        <v>#N/A</v>
      </c>
      <c r="BF338" s="169" t="e">
        <f>+P337-BD338</f>
        <v>#N/A</v>
      </c>
      <c r="BG338" s="422"/>
      <c r="BH338" s="422"/>
      <c r="BI338" s="422"/>
      <c r="BJ338" s="645"/>
      <c r="BK338" s="645"/>
      <c r="BL338" s="645"/>
      <c r="BM338" s="645"/>
    </row>
    <row r="339" spans="1:65" ht="65.099999999999994" customHeight="1" thickBot="1">
      <c r="A339" s="405"/>
      <c r="B339" s="625"/>
      <c r="C339" s="440"/>
      <c r="D339" s="152"/>
      <c r="E339" s="152"/>
      <c r="F339" s="475"/>
      <c r="G339" s="443"/>
      <c r="H339" s="100"/>
      <c r="I339" s="128"/>
      <c r="J339" s="100"/>
      <c r="K339" s="147"/>
      <c r="L339" s="129"/>
      <c r="M339" s="446"/>
      <c r="N339" s="425"/>
      <c r="O339" s="428"/>
      <c r="P339" s="425"/>
      <c r="Q339" s="429"/>
      <c r="R339" s="422"/>
      <c r="S339" s="150"/>
      <c r="T339" s="96"/>
      <c r="U339" s="47" t="s">
        <v>627</v>
      </c>
      <c r="V339" s="172"/>
      <c r="W339" s="172"/>
      <c r="X339" s="172"/>
      <c r="Y339" s="95" t="str">
        <f t="shared" si="61"/>
        <v/>
      </c>
      <c r="Z339" s="172"/>
      <c r="AA339" s="95" t="str">
        <f t="shared" si="62"/>
        <v/>
      </c>
      <c r="AB339" s="150"/>
      <c r="AC339" s="95" t="str">
        <f t="shared" si="63"/>
        <v/>
      </c>
      <c r="AD339" s="150"/>
      <c r="AE339" s="95" t="str">
        <f t="shared" si="64"/>
        <v/>
      </c>
      <c r="AF339" s="150"/>
      <c r="AG339" s="95" t="str">
        <f t="shared" si="65"/>
        <v/>
      </c>
      <c r="AH339" s="150"/>
      <c r="AI339" s="95" t="str">
        <f t="shared" si="66"/>
        <v/>
      </c>
      <c r="AJ339" s="150"/>
      <c r="AK339" s="27" t="str">
        <f t="shared" si="67"/>
        <v/>
      </c>
      <c r="AL339" s="48" t="str">
        <f t="shared" si="68"/>
        <v/>
      </c>
      <c r="AM339" s="48" t="str">
        <f t="shared" si="69"/>
        <v/>
      </c>
      <c r="AN339" s="196"/>
      <c r="AO339" s="196"/>
      <c r="AP339" s="196"/>
      <c r="AQ339" s="196"/>
      <c r="AR339" s="196"/>
      <c r="AS339" s="196"/>
      <c r="AT339" s="196"/>
      <c r="AU339" s="197" t="str">
        <f>IFERROR(VLOOKUP(AT339,'Seguridad Información'!$I$61:$J$65,2,0),"")</f>
        <v/>
      </c>
      <c r="AV339" s="79"/>
      <c r="AW339" s="78" t="str">
        <f t="shared" si="60"/>
        <v/>
      </c>
      <c r="AX339" s="77" t="str">
        <f t="shared" si="70"/>
        <v/>
      </c>
      <c r="AY339" s="21" t="str">
        <f>IFERROR(VLOOKUP((CONCATENATE(AM339,AX339)),Listados!$U$3:$V$11,2,FALSE),"")</f>
        <v/>
      </c>
      <c r="AZ339" s="48">
        <f t="shared" si="71"/>
        <v>100</v>
      </c>
      <c r="BA339" s="431"/>
      <c r="BB339" s="433"/>
      <c r="BC339" s="169">
        <f>+IF(AND(W339="Preventivo",BB337="Fuerte"),2,IF(AND(W339="Preventivo",BB337="Moderado"),1,0))</f>
        <v>0</v>
      </c>
      <c r="BD339" s="64">
        <f>+IF(AND(W339="Detectivo/Correctivo",$BB337="Fuerte"),2,IF(AND(W339="Detectivo/Correctivo",$BB339="Moderado"),1,IF(AND(W339="Preventivo",$BB337="Fuerte"),1,0)))</f>
        <v>0</v>
      </c>
      <c r="BE339" s="169" t="e">
        <f>+N337-BC339</f>
        <v>#N/A</v>
      </c>
      <c r="BF339" s="169" t="e">
        <f>+P337-BD339</f>
        <v>#N/A</v>
      </c>
      <c r="BG339" s="422"/>
      <c r="BH339" s="422"/>
      <c r="BI339" s="422"/>
      <c r="BJ339" s="645"/>
      <c r="BK339" s="645"/>
      <c r="BL339" s="645"/>
      <c r="BM339" s="645"/>
    </row>
    <row r="340" spans="1:65" ht="65.099999999999994" customHeight="1" thickBot="1">
      <c r="A340" s="405"/>
      <c r="B340" s="625"/>
      <c r="C340" s="440"/>
      <c r="D340" s="152"/>
      <c r="E340" s="152"/>
      <c r="F340" s="475"/>
      <c r="G340" s="443"/>
      <c r="H340" s="100"/>
      <c r="I340" s="128"/>
      <c r="J340" s="100"/>
      <c r="K340" s="147"/>
      <c r="L340" s="129"/>
      <c r="M340" s="446"/>
      <c r="N340" s="425"/>
      <c r="O340" s="428"/>
      <c r="P340" s="425"/>
      <c r="Q340" s="429"/>
      <c r="R340" s="422"/>
      <c r="S340" s="150"/>
      <c r="T340" s="97"/>
      <c r="U340" s="47" t="s">
        <v>627</v>
      </c>
      <c r="V340" s="172"/>
      <c r="W340" s="172"/>
      <c r="X340" s="172"/>
      <c r="Y340" s="95" t="str">
        <f t="shared" si="61"/>
        <v/>
      </c>
      <c r="Z340" s="172"/>
      <c r="AA340" s="95" t="str">
        <f t="shared" si="62"/>
        <v/>
      </c>
      <c r="AB340" s="150"/>
      <c r="AC340" s="95" t="str">
        <f t="shared" si="63"/>
        <v/>
      </c>
      <c r="AD340" s="150"/>
      <c r="AE340" s="95" t="str">
        <f t="shared" si="64"/>
        <v/>
      </c>
      <c r="AF340" s="150"/>
      <c r="AG340" s="95" t="str">
        <f t="shared" si="65"/>
        <v/>
      </c>
      <c r="AH340" s="150"/>
      <c r="AI340" s="95" t="str">
        <f t="shared" si="66"/>
        <v/>
      </c>
      <c r="AJ340" s="150"/>
      <c r="AK340" s="27" t="str">
        <f t="shared" si="67"/>
        <v/>
      </c>
      <c r="AL340" s="48" t="str">
        <f t="shared" si="68"/>
        <v/>
      </c>
      <c r="AM340" s="48" t="str">
        <f t="shared" si="69"/>
        <v/>
      </c>
      <c r="AN340" s="196"/>
      <c r="AO340" s="196"/>
      <c r="AP340" s="196"/>
      <c r="AQ340" s="196"/>
      <c r="AR340" s="196"/>
      <c r="AS340" s="196"/>
      <c r="AT340" s="196"/>
      <c r="AU340" s="197" t="str">
        <f>IFERROR(VLOOKUP(AT340,'Seguridad Información'!$I$61:$J$65,2,0),"")</f>
        <v/>
      </c>
      <c r="AV340" s="79"/>
      <c r="AW340" s="78" t="str">
        <f t="shared" si="60"/>
        <v/>
      </c>
      <c r="AX340" s="77" t="str">
        <f t="shared" si="70"/>
        <v/>
      </c>
      <c r="AY340" s="21" t="str">
        <f>IFERROR(VLOOKUP((CONCATENATE(AM340,AX340)),Listados!$U$3:$V$11,2,FALSE),"")</f>
        <v/>
      </c>
      <c r="AZ340" s="48">
        <f t="shared" si="71"/>
        <v>100</v>
      </c>
      <c r="BA340" s="431"/>
      <c r="BB340" s="433"/>
      <c r="BC340" s="169">
        <f>+IF(AND(W340="Preventivo",BB337="Fuerte"),2,IF(AND(W340="Preventivo",BB337="Moderado"),1,0))</f>
        <v>0</v>
      </c>
      <c r="BD340" s="64">
        <f>+IF(AND(W340="Detectivo/Correctivo",$BB337="Fuerte"),2,IF(AND(W340="Detectivo/Correctivo",$BB340="Moderado"),1,IF(AND(W340="Preventivo",$BB337="Fuerte"),1,0)))</f>
        <v>0</v>
      </c>
      <c r="BE340" s="169" t="e">
        <f>+N337-BC340</f>
        <v>#N/A</v>
      </c>
      <c r="BF340" s="169" t="e">
        <f>+P337-BD340</f>
        <v>#N/A</v>
      </c>
      <c r="BG340" s="422"/>
      <c r="BH340" s="422"/>
      <c r="BI340" s="422"/>
      <c r="BJ340" s="645"/>
      <c r="BK340" s="645"/>
      <c r="BL340" s="645"/>
      <c r="BM340" s="645"/>
    </row>
    <row r="341" spans="1:65" ht="65.099999999999994" customHeight="1" thickBot="1">
      <c r="A341" s="405"/>
      <c r="B341" s="625"/>
      <c r="C341" s="440"/>
      <c r="D341" s="109"/>
      <c r="E341" s="109"/>
      <c r="F341" s="475"/>
      <c r="G341" s="443"/>
      <c r="H341" s="100"/>
      <c r="I341" s="128"/>
      <c r="J341" s="100"/>
      <c r="K341" s="29"/>
      <c r="L341" s="129"/>
      <c r="M341" s="446"/>
      <c r="N341" s="425"/>
      <c r="O341" s="428"/>
      <c r="P341" s="425"/>
      <c r="Q341" s="429"/>
      <c r="R341" s="422"/>
      <c r="S341" s="150"/>
      <c r="T341" s="198"/>
      <c r="U341" s="47" t="s">
        <v>627</v>
      </c>
      <c r="V341" s="172"/>
      <c r="W341" s="172"/>
      <c r="X341" s="172"/>
      <c r="Y341" s="95" t="str">
        <f t="shared" si="61"/>
        <v/>
      </c>
      <c r="Z341" s="172"/>
      <c r="AA341" s="95" t="str">
        <f t="shared" si="62"/>
        <v/>
      </c>
      <c r="AB341" s="150"/>
      <c r="AC341" s="95" t="str">
        <f t="shared" si="63"/>
        <v/>
      </c>
      <c r="AD341" s="150"/>
      <c r="AE341" s="95" t="str">
        <f t="shared" si="64"/>
        <v/>
      </c>
      <c r="AF341" s="150"/>
      <c r="AG341" s="95" t="str">
        <f t="shared" si="65"/>
        <v/>
      </c>
      <c r="AH341" s="150"/>
      <c r="AI341" s="95" t="str">
        <f t="shared" si="66"/>
        <v/>
      </c>
      <c r="AJ341" s="150"/>
      <c r="AK341" s="27" t="str">
        <f t="shared" si="67"/>
        <v/>
      </c>
      <c r="AL341" s="48" t="str">
        <f t="shared" si="68"/>
        <v/>
      </c>
      <c r="AM341" s="48" t="str">
        <f t="shared" si="69"/>
        <v/>
      </c>
      <c r="AN341" s="196"/>
      <c r="AO341" s="196"/>
      <c r="AP341" s="196"/>
      <c r="AQ341" s="196"/>
      <c r="AR341" s="196"/>
      <c r="AS341" s="196"/>
      <c r="AT341" s="196"/>
      <c r="AU341" s="197" t="str">
        <f>IFERROR(VLOOKUP(AT341,'Seguridad Información'!$I$61:$J$65,2,0),"")</f>
        <v/>
      </c>
      <c r="AV341" s="79"/>
      <c r="AW341" s="78" t="str">
        <f t="shared" si="60"/>
        <v/>
      </c>
      <c r="AX341" s="77" t="str">
        <f t="shared" si="70"/>
        <v/>
      </c>
      <c r="AY341" s="21" t="str">
        <f>IFERROR(VLOOKUP((CONCATENATE(AM341,AX341)),Listados!$U$3:$V$11,2,FALSE),"")</f>
        <v/>
      </c>
      <c r="AZ341" s="48">
        <f t="shared" si="71"/>
        <v>100</v>
      </c>
      <c r="BA341" s="431"/>
      <c r="BB341" s="433"/>
      <c r="BC341" s="169">
        <f>+IF(AND(W341="Preventivo",BB337="Fuerte"),2,IF(AND(W341="Preventivo",BB337="Moderado"),1,0))</f>
        <v>0</v>
      </c>
      <c r="BD341" s="64">
        <f>+IF(AND(W341="Detectivo/Correctivo",$BB337="Fuerte"),2,IF(AND(W341="Detectivo/Correctivo",$BB341="Moderado"),1,IF(AND(W341="Preventivo",$BB337="Fuerte"),1,0)))</f>
        <v>0</v>
      </c>
      <c r="BE341" s="169" t="e">
        <f>+N337-BC341</f>
        <v>#N/A</v>
      </c>
      <c r="BF341" s="169" t="e">
        <f>+P337-BD341</f>
        <v>#N/A</v>
      </c>
      <c r="BG341" s="422"/>
      <c r="BH341" s="422"/>
      <c r="BI341" s="422"/>
      <c r="BJ341" s="645"/>
      <c r="BK341" s="645"/>
      <c r="BL341" s="645"/>
      <c r="BM341" s="645"/>
    </row>
    <row r="342" spans="1:65" ht="65.099999999999994" customHeight="1" thickBot="1">
      <c r="A342" s="406"/>
      <c r="B342" s="625"/>
      <c r="C342" s="441"/>
      <c r="D342" s="106"/>
      <c r="E342" s="106"/>
      <c r="F342" s="619"/>
      <c r="G342" s="444"/>
      <c r="H342" s="100"/>
      <c r="I342" s="128"/>
      <c r="J342" s="100"/>
      <c r="K342" s="31"/>
      <c r="L342" s="129"/>
      <c r="M342" s="446"/>
      <c r="N342" s="426"/>
      <c r="O342" s="428"/>
      <c r="P342" s="426"/>
      <c r="Q342" s="429"/>
      <c r="R342" s="423"/>
      <c r="S342" s="150"/>
      <c r="T342" s="98"/>
      <c r="U342" s="47" t="s">
        <v>627</v>
      </c>
      <c r="V342" s="172"/>
      <c r="W342" s="172"/>
      <c r="X342" s="172"/>
      <c r="Y342" s="95" t="str">
        <f t="shared" si="61"/>
        <v/>
      </c>
      <c r="Z342" s="172"/>
      <c r="AA342" s="95" t="str">
        <f t="shared" si="62"/>
        <v/>
      </c>
      <c r="AB342" s="150"/>
      <c r="AC342" s="95" t="str">
        <f t="shared" si="63"/>
        <v/>
      </c>
      <c r="AD342" s="150"/>
      <c r="AE342" s="95" t="str">
        <f t="shared" si="64"/>
        <v/>
      </c>
      <c r="AF342" s="150"/>
      <c r="AG342" s="95" t="str">
        <f t="shared" si="65"/>
        <v/>
      </c>
      <c r="AH342" s="150"/>
      <c r="AI342" s="95" t="str">
        <f t="shared" si="66"/>
        <v/>
      </c>
      <c r="AJ342" s="150"/>
      <c r="AK342" s="27" t="str">
        <f t="shared" si="67"/>
        <v/>
      </c>
      <c r="AL342" s="48" t="str">
        <f t="shared" si="68"/>
        <v/>
      </c>
      <c r="AM342" s="48" t="str">
        <f t="shared" si="69"/>
        <v/>
      </c>
      <c r="AN342" s="196"/>
      <c r="AO342" s="196"/>
      <c r="AP342" s="196"/>
      <c r="AQ342" s="196"/>
      <c r="AR342" s="196"/>
      <c r="AS342" s="196"/>
      <c r="AT342" s="196"/>
      <c r="AU342" s="197" t="str">
        <f>IFERROR(VLOOKUP(AT342,'Seguridad Información'!$I$61:$J$65,2,0),"")</f>
        <v/>
      </c>
      <c r="AV342" s="79"/>
      <c r="AW342" s="78" t="str">
        <f t="shared" si="60"/>
        <v/>
      </c>
      <c r="AX342" s="77" t="str">
        <f t="shared" si="70"/>
        <v/>
      </c>
      <c r="AY342" s="21" t="str">
        <f>IFERROR(VLOOKUP((CONCATENATE(AM342,AX342)),Listados!$U$3:$V$11,2,FALSE),"")</f>
        <v/>
      </c>
      <c r="AZ342" s="48">
        <f t="shared" si="71"/>
        <v>100</v>
      </c>
      <c r="BA342" s="432"/>
      <c r="BB342" s="433"/>
      <c r="BC342" s="169">
        <f>+IF(AND(W342="Preventivo",BB337="Fuerte"),2,IF(AND(W342="Preventivo",BB337="Moderado"),1,0))</f>
        <v>0</v>
      </c>
      <c r="BD342" s="64">
        <f>+IF(AND(W342="Detectivo/Correctivo",$BB337="Fuerte"),2,IF(AND(W342="Detectivo/Correctivo",$BB342="Moderado"),1,IF(AND(W342="Preventivo",$BB337="Fuerte"),1,0)))</f>
        <v>0</v>
      </c>
      <c r="BE342" s="169" t="e">
        <f>+N337-BC342</f>
        <v>#N/A</v>
      </c>
      <c r="BF342" s="169" t="e">
        <f>+P337-BD342</f>
        <v>#N/A</v>
      </c>
      <c r="BG342" s="423"/>
      <c r="BH342" s="423"/>
      <c r="BI342" s="423"/>
      <c r="BJ342" s="646"/>
      <c r="BK342" s="646"/>
      <c r="BL342" s="646"/>
      <c r="BM342" s="646"/>
    </row>
    <row r="343" spans="1:65" ht="65.099999999999994" customHeight="1" thickBot="1">
      <c r="A343" s="404">
        <v>57</v>
      </c>
      <c r="B343" s="628"/>
      <c r="C343" s="447" t="str">
        <f>IFERROR(VLOOKUP(B343,Listados!B$3:C$20,2,FALSE),"")</f>
        <v/>
      </c>
      <c r="D343" s="107"/>
      <c r="E343" s="107"/>
      <c r="F343" s="618"/>
      <c r="G343" s="448"/>
      <c r="H343" s="100"/>
      <c r="I343" s="128"/>
      <c r="J343" s="100"/>
      <c r="K343" s="103"/>
      <c r="L343" s="17"/>
      <c r="M343" s="445"/>
      <c r="N343" s="424" t="e">
        <f>+VLOOKUP(M343,Listados!$K$8:$L$12,2,0)</f>
        <v>#N/A</v>
      </c>
      <c r="O343" s="427"/>
      <c r="P343" s="424" t="e">
        <f>+VLOOKUP(O343,Listados!$K$13:$L$17,2,0)</f>
        <v>#N/A</v>
      </c>
      <c r="Q343" s="423" t="str">
        <f>IF(AND(M343&lt;&gt;"",O343&lt;&gt;""),VLOOKUP(M343&amp;O343,Listados!$M$3:$N$27,2,FALSE),"")</f>
        <v/>
      </c>
      <c r="R343" s="421" t="e">
        <f>+VLOOKUP(Q343,Listados!$P$3:$Q$6,2,FALSE)</f>
        <v>#N/A</v>
      </c>
      <c r="S343" s="150"/>
      <c r="T343" s="94"/>
      <c r="U343" s="47" t="s">
        <v>627</v>
      </c>
      <c r="V343" s="172"/>
      <c r="W343" s="172"/>
      <c r="X343" s="172"/>
      <c r="Y343" s="95" t="str">
        <f t="shared" si="61"/>
        <v/>
      </c>
      <c r="Z343" s="172"/>
      <c r="AA343" s="95" t="str">
        <f t="shared" si="62"/>
        <v/>
      </c>
      <c r="AB343" s="150"/>
      <c r="AC343" s="95" t="str">
        <f t="shared" si="63"/>
        <v/>
      </c>
      <c r="AD343" s="150"/>
      <c r="AE343" s="95" t="str">
        <f t="shared" si="64"/>
        <v/>
      </c>
      <c r="AF343" s="150"/>
      <c r="AG343" s="95" t="str">
        <f t="shared" si="65"/>
        <v/>
      </c>
      <c r="AH343" s="150"/>
      <c r="AI343" s="95" t="str">
        <f t="shared" si="66"/>
        <v/>
      </c>
      <c r="AJ343" s="150"/>
      <c r="AK343" s="27" t="str">
        <f t="shared" si="67"/>
        <v/>
      </c>
      <c r="AL343" s="48" t="str">
        <f t="shared" si="68"/>
        <v/>
      </c>
      <c r="AM343" s="48" t="str">
        <f t="shared" si="69"/>
        <v/>
      </c>
      <c r="AN343" s="196"/>
      <c r="AO343" s="196"/>
      <c r="AP343" s="196"/>
      <c r="AQ343" s="196"/>
      <c r="AR343" s="196"/>
      <c r="AS343" s="196"/>
      <c r="AT343" s="196"/>
      <c r="AU343" s="197" t="str">
        <f>IFERROR(VLOOKUP(AT343,'Seguridad Información'!$I$61:$J$65,2,0),"")</f>
        <v/>
      </c>
      <c r="AV343" s="79"/>
      <c r="AW343" s="78" t="str">
        <f t="shared" si="60"/>
        <v/>
      </c>
      <c r="AX343" s="77" t="str">
        <f t="shared" si="70"/>
        <v/>
      </c>
      <c r="AY343" s="21" t="str">
        <f>IFERROR(VLOOKUP((CONCATENATE(AM343,AX343)),Listados!$U$3:$V$11,2,FALSE),"")</f>
        <v/>
      </c>
      <c r="AZ343" s="48">
        <f t="shared" si="71"/>
        <v>100</v>
      </c>
      <c r="BA343" s="430">
        <f>AVERAGE(AZ343:AZ348)</f>
        <v>100</v>
      </c>
      <c r="BB343" s="432" t="str">
        <f>IF(BA343&lt;=50, "Débil", IF(BA343&lt;=99,"Moderado","Fuerte"))</f>
        <v>Fuerte</v>
      </c>
      <c r="BC343" s="169">
        <f>+IF(AND(W343="Preventivo",BB343="Fuerte"),2,IF(AND(W343="Preventivo",BB343="Moderado"),1,0))</f>
        <v>0</v>
      </c>
      <c r="BD343" s="64">
        <f>+IF(AND(W343="Detectivo/Correctivo",$BB343="Fuerte"),2,IF(AND(W343="Detectivo/Correctivo",$BB343="Moderado"),1,IF(AND(W343="Preventivo",$BB343="Fuerte"),1,0)))</f>
        <v>0</v>
      </c>
      <c r="BE343" s="169" t="e">
        <f>+N343-BC343</f>
        <v>#N/A</v>
      </c>
      <c r="BF343" s="169" t="e">
        <f>+P343-BD343</f>
        <v>#N/A</v>
      </c>
      <c r="BG343" s="421" t="e">
        <f>+VLOOKUP(MIN(BE343,BE344,BE345,BE346,BE347,BE348),Listados!$J$18:$K$24,2,TRUE)</f>
        <v>#N/A</v>
      </c>
      <c r="BH343" s="421" t="e">
        <f>+VLOOKUP(MIN(BF343,BF344,BF345,BF346,BF347,BF348),Listados!$J$27:$K$32,2,TRUE)</f>
        <v>#N/A</v>
      </c>
      <c r="BI343" s="421" t="e">
        <f>IF(AND(BG343&lt;&gt;"",BH343&lt;&gt;""),VLOOKUP(BG343&amp;BH343,Listados!$M$3:$N$27,2,FALSE),"")</f>
        <v>#N/A</v>
      </c>
      <c r="BJ343" s="644" t="e">
        <f>+IF($R343="Asumir el riesgo","NA","")</f>
        <v>#N/A</v>
      </c>
      <c r="BK343" s="644" t="e">
        <f>+IF($R343="Asumir el riesgo","NA","")</f>
        <v>#N/A</v>
      </c>
      <c r="BL343" s="644" t="e">
        <f>+IF($R343="Asumir el riesgo","NA","")</f>
        <v>#N/A</v>
      </c>
      <c r="BM343" s="644" t="e">
        <f>+IF($R343="Asumir el riesgo","NA","")</f>
        <v>#N/A</v>
      </c>
    </row>
    <row r="344" spans="1:65" ht="65.099999999999994" customHeight="1" thickBot="1">
      <c r="A344" s="405"/>
      <c r="B344" s="625"/>
      <c r="C344" s="440"/>
      <c r="D344" s="152"/>
      <c r="E344" s="152"/>
      <c r="F344" s="475"/>
      <c r="G344" s="443"/>
      <c r="H344" s="100"/>
      <c r="I344" s="128"/>
      <c r="J344" s="100"/>
      <c r="K344" s="147"/>
      <c r="L344" s="129"/>
      <c r="M344" s="446"/>
      <c r="N344" s="425"/>
      <c r="O344" s="428"/>
      <c r="P344" s="425"/>
      <c r="Q344" s="429"/>
      <c r="R344" s="422"/>
      <c r="S344" s="150"/>
      <c r="T344" s="198"/>
      <c r="U344" s="47" t="s">
        <v>627</v>
      </c>
      <c r="V344" s="172"/>
      <c r="W344" s="172"/>
      <c r="X344" s="172"/>
      <c r="Y344" s="95" t="str">
        <f t="shared" si="61"/>
        <v/>
      </c>
      <c r="Z344" s="172"/>
      <c r="AA344" s="95" t="str">
        <f t="shared" si="62"/>
        <v/>
      </c>
      <c r="AB344" s="150"/>
      <c r="AC344" s="95" t="str">
        <f t="shared" si="63"/>
        <v/>
      </c>
      <c r="AD344" s="150"/>
      <c r="AE344" s="95" t="str">
        <f t="shared" si="64"/>
        <v/>
      </c>
      <c r="AF344" s="150"/>
      <c r="AG344" s="95" t="str">
        <f t="shared" si="65"/>
        <v/>
      </c>
      <c r="AH344" s="150"/>
      <c r="AI344" s="95" t="str">
        <f t="shared" si="66"/>
        <v/>
      </c>
      <c r="AJ344" s="150"/>
      <c r="AK344" s="27" t="str">
        <f t="shared" si="67"/>
        <v/>
      </c>
      <c r="AL344" s="48" t="str">
        <f t="shared" si="68"/>
        <v/>
      </c>
      <c r="AM344" s="48" t="str">
        <f t="shared" si="69"/>
        <v/>
      </c>
      <c r="AN344" s="196"/>
      <c r="AO344" s="196"/>
      <c r="AP344" s="196"/>
      <c r="AQ344" s="196"/>
      <c r="AR344" s="196"/>
      <c r="AS344" s="196"/>
      <c r="AT344" s="196"/>
      <c r="AU344" s="197" t="str">
        <f>IFERROR(VLOOKUP(AT344,'Seguridad Información'!$I$61:$J$65,2,0),"")</f>
        <v/>
      </c>
      <c r="AV344" s="79"/>
      <c r="AW344" s="78" t="str">
        <f t="shared" si="60"/>
        <v/>
      </c>
      <c r="AX344" s="77" t="str">
        <f t="shared" si="70"/>
        <v/>
      </c>
      <c r="AY344" s="21" t="str">
        <f>IFERROR(VLOOKUP((CONCATENATE(AM344,AX344)),Listados!$U$3:$V$11,2,FALSE),"")</f>
        <v/>
      </c>
      <c r="AZ344" s="48">
        <f t="shared" si="71"/>
        <v>100</v>
      </c>
      <c r="BA344" s="431"/>
      <c r="BB344" s="433"/>
      <c r="BC344" s="169">
        <f>+IF(AND(W344="Preventivo",BB343="Fuerte"),2,IF(AND(W344="Preventivo",BB343="Moderado"),1,0))</f>
        <v>0</v>
      </c>
      <c r="BD344" s="64">
        <f>+IF(AND(W344="Detectivo/Correctivo",$BB343="Fuerte"),2,IF(AND(W344="Detectivo/Correctivo",$BB344="Moderado"),1,IF(AND(W344="Preventivo",$BB343="Fuerte"),1,0)))</f>
        <v>0</v>
      </c>
      <c r="BE344" s="169" t="e">
        <f>+N343-BC344</f>
        <v>#N/A</v>
      </c>
      <c r="BF344" s="169" t="e">
        <f>+P343-BD344</f>
        <v>#N/A</v>
      </c>
      <c r="BG344" s="422"/>
      <c r="BH344" s="422"/>
      <c r="BI344" s="422"/>
      <c r="BJ344" s="645"/>
      <c r="BK344" s="645"/>
      <c r="BL344" s="645"/>
      <c r="BM344" s="645"/>
    </row>
    <row r="345" spans="1:65" ht="65.099999999999994" customHeight="1" thickBot="1">
      <c r="A345" s="405"/>
      <c r="B345" s="625"/>
      <c r="C345" s="440"/>
      <c r="D345" s="152"/>
      <c r="E345" s="152"/>
      <c r="F345" s="475"/>
      <c r="G345" s="443"/>
      <c r="H345" s="100"/>
      <c r="I345" s="128"/>
      <c r="J345" s="100"/>
      <c r="K345" s="147"/>
      <c r="L345" s="129"/>
      <c r="M345" s="446"/>
      <c r="N345" s="425"/>
      <c r="O345" s="428"/>
      <c r="P345" s="425"/>
      <c r="Q345" s="429"/>
      <c r="R345" s="422"/>
      <c r="S345" s="150"/>
      <c r="T345" s="96"/>
      <c r="U345" s="47" t="s">
        <v>627</v>
      </c>
      <c r="V345" s="172"/>
      <c r="W345" s="172"/>
      <c r="X345" s="172"/>
      <c r="Y345" s="95" t="str">
        <f t="shared" si="61"/>
        <v/>
      </c>
      <c r="Z345" s="172"/>
      <c r="AA345" s="95" t="str">
        <f t="shared" si="62"/>
        <v/>
      </c>
      <c r="AB345" s="150"/>
      <c r="AC345" s="95" t="str">
        <f t="shared" si="63"/>
        <v/>
      </c>
      <c r="AD345" s="150"/>
      <c r="AE345" s="95" t="str">
        <f t="shared" si="64"/>
        <v/>
      </c>
      <c r="AF345" s="150"/>
      <c r="AG345" s="95" t="str">
        <f t="shared" si="65"/>
        <v/>
      </c>
      <c r="AH345" s="150"/>
      <c r="AI345" s="95" t="str">
        <f t="shared" si="66"/>
        <v/>
      </c>
      <c r="AJ345" s="150"/>
      <c r="AK345" s="27" t="str">
        <f t="shared" si="67"/>
        <v/>
      </c>
      <c r="AL345" s="48" t="str">
        <f t="shared" si="68"/>
        <v/>
      </c>
      <c r="AM345" s="48" t="str">
        <f t="shared" si="69"/>
        <v/>
      </c>
      <c r="AN345" s="196"/>
      <c r="AO345" s="196"/>
      <c r="AP345" s="196"/>
      <c r="AQ345" s="196"/>
      <c r="AR345" s="196"/>
      <c r="AS345" s="196"/>
      <c r="AT345" s="196"/>
      <c r="AU345" s="197" t="str">
        <f>IFERROR(VLOOKUP(AT345,'Seguridad Información'!$I$61:$J$65,2,0),"")</f>
        <v/>
      </c>
      <c r="AV345" s="79"/>
      <c r="AW345" s="78" t="str">
        <f t="shared" si="60"/>
        <v/>
      </c>
      <c r="AX345" s="77" t="str">
        <f t="shared" si="70"/>
        <v/>
      </c>
      <c r="AY345" s="21" t="str">
        <f>IFERROR(VLOOKUP((CONCATENATE(AM345,AX345)),Listados!$U$3:$V$11,2,FALSE),"")</f>
        <v/>
      </c>
      <c r="AZ345" s="48">
        <f t="shared" si="71"/>
        <v>100</v>
      </c>
      <c r="BA345" s="431"/>
      <c r="BB345" s="433"/>
      <c r="BC345" s="169">
        <f>+IF(AND(W345="Preventivo",BB343="Fuerte"),2,IF(AND(W345="Preventivo",BB343="Moderado"),1,0))</f>
        <v>0</v>
      </c>
      <c r="BD345" s="64">
        <f>+IF(AND(W345="Detectivo/Correctivo",$BB343="Fuerte"),2,IF(AND(W345="Detectivo/Correctivo",$BB345="Moderado"),1,IF(AND(W345="Preventivo",$BB343="Fuerte"),1,0)))</f>
        <v>0</v>
      </c>
      <c r="BE345" s="169" t="e">
        <f>+N343-BC345</f>
        <v>#N/A</v>
      </c>
      <c r="BF345" s="169" t="e">
        <f>+P343-BD345</f>
        <v>#N/A</v>
      </c>
      <c r="BG345" s="422"/>
      <c r="BH345" s="422"/>
      <c r="BI345" s="422"/>
      <c r="BJ345" s="645"/>
      <c r="BK345" s="645"/>
      <c r="BL345" s="645"/>
      <c r="BM345" s="645"/>
    </row>
    <row r="346" spans="1:65" ht="65.099999999999994" customHeight="1" thickBot="1">
      <c r="A346" s="405"/>
      <c r="B346" s="625"/>
      <c r="C346" s="440"/>
      <c r="D346" s="152"/>
      <c r="E346" s="152"/>
      <c r="F346" s="475"/>
      <c r="G346" s="443"/>
      <c r="H346" s="100"/>
      <c r="I346" s="128"/>
      <c r="J346" s="100"/>
      <c r="K346" s="147"/>
      <c r="L346" s="129"/>
      <c r="M346" s="446"/>
      <c r="N346" s="425"/>
      <c r="O346" s="428"/>
      <c r="P346" s="425"/>
      <c r="Q346" s="429"/>
      <c r="R346" s="422"/>
      <c r="S346" s="150"/>
      <c r="T346" s="97"/>
      <c r="U346" s="47" t="s">
        <v>627</v>
      </c>
      <c r="V346" s="172"/>
      <c r="W346" s="172"/>
      <c r="X346" s="172"/>
      <c r="Y346" s="95" t="str">
        <f t="shared" si="61"/>
        <v/>
      </c>
      <c r="Z346" s="172"/>
      <c r="AA346" s="95" t="str">
        <f t="shared" si="62"/>
        <v/>
      </c>
      <c r="AB346" s="150"/>
      <c r="AC346" s="95" t="str">
        <f t="shared" si="63"/>
        <v/>
      </c>
      <c r="AD346" s="150"/>
      <c r="AE346" s="95" t="str">
        <f t="shared" si="64"/>
        <v/>
      </c>
      <c r="AF346" s="150"/>
      <c r="AG346" s="95" t="str">
        <f t="shared" si="65"/>
        <v/>
      </c>
      <c r="AH346" s="150"/>
      <c r="AI346" s="95" t="str">
        <f t="shared" si="66"/>
        <v/>
      </c>
      <c r="AJ346" s="150"/>
      <c r="AK346" s="27" t="str">
        <f t="shared" si="67"/>
        <v/>
      </c>
      <c r="AL346" s="48" t="str">
        <f t="shared" si="68"/>
        <v/>
      </c>
      <c r="AM346" s="48" t="str">
        <f t="shared" si="69"/>
        <v/>
      </c>
      <c r="AN346" s="196"/>
      <c r="AO346" s="196"/>
      <c r="AP346" s="196"/>
      <c r="AQ346" s="196"/>
      <c r="AR346" s="196"/>
      <c r="AS346" s="196"/>
      <c r="AT346" s="196"/>
      <c r="AU346" s="197" t="str">
        <f>IFERROR(VLOOKUP(AT346,'Seguridad Información'!$I$61:$J$65,2,0),"")</f>
        <v/>
      </c>
      <c r="AV346" s="79"/>
      <c r="AW346" s="78" t="str">
        <f t="shared" si="60"/>
        <v/>
      </c>
      <c r="AX346" s="77" t="str">
        <f t="shared" si="70"/>
        <v/>
      </c>
      <c r="AY346" s="21" t="str">
        <f>IFERROR(VLOOKUP((CONCATENATE(AM346,AX346)),Listados!$U$3:$V$11,2,FALSE),"")</f>
        <v/>
      </c>
      <c r="AZ346" s="48">
        <f t="shared" si="71"/>
        <v>100</v>
      </c>
      <c r="BA346" s="431"/>
      <c r="BB346" s="433"/>
      <c r="BC346" s="169">
        <f>+IF(AND(W346="Preventivo",BB343="Fuerte"),2,IF(AND(W346="Preventivo",BB343="Moderado"),1,0))</f>
        <v>0</v>
      </c>
      <c r="BD346" s="64">
        <f>+IF(AND(W346="Detectivo/Correctivo",$BB343="Fuerte"),2,IF(AND(W346="Detectivo/Correctivo",$BB346="Moderado"),1,IF(AND(W346="Preventivo",$BB343="Fuerte"),1,0)))</f>
        <v>0</v>
      </c>
      <c r="BE346" s="169" t="e">
        <f>+N343-BC346</f>
        <v>#N/A</v>
      </c>
      <c r="BF346" s="169" t="e">
        <f>+P343-BD346</f>
        <v>#N/A</v>
      </c>
      <c r="BG346" s="422"/>
      <c r="BH346" s="422"/>
      <c r="BI346" s="422"/>
      <c r="BJ346" s="645"/>
      <c r="BK346" s="645"/>
      <c r="BL346" s="645"/>
      <c r="BM346" s="645"/>
    </row>
    <row r="347" spans="1:65" ht="65.099999999999994" customHeight="1" thickBot="1">
      <c r="A347" s="405"/>
      <c r="B347" s="625"/>
      <c r="C347" s="440"/>
      <c r="D347" s="109"/>
      <c r="E347" s="109"/>
      <c r="F347" s="475"/>
      <c r="G347" s="443"/>
      <c r="H347" s="100"/>
      <c r="I347" s="128"/>
      <c r="J347" s="100"/>
      <c r="K347" s="29"/>
      <c r="L347" s="129"/>
      <c r="M347" s="446"/>
      <c r="N347" s="425"/>
      <c r="O347" s="428"/>
      <c r="P347" s="425"/>
      <c r="Q347" s="429"/>
      <c r="R347" s="422"/>
      <c r="S347" s="150"/>
      <c r="T347" s="198"/>
      <c r="U347" s="47" t="s">
        <v>627</v>
      </c>
      <c r="V347" s="172"/>
      <c r="W347" s="172"/>
      <c r="X347" s="172"/>
      <c r="Y347" s="95" t="str">
        <f t="shared" si="61"/>
        <v/>
      </c>
      <c r="Z347" s="172"/>
      <c r="AA347" s="95" t="str">
        <f t="shared" si="62"/>
        <v/>
      </c>
      <c r="AB347" s="150"/>
      <c r="AC347" s="95" t="str">
        <f t="shared" si="63"/>
        <v/>
      </c>
      <c r="AD347" s="150"/>
      <c r="AE347" s="95" t="str">
        <f t="shared" si="64"/>
        <v/>
      </c>
      <c r="AF347" s="150"/>
      <c r="AG347" s="95" t="str">
        <f t="shared" si="65"/>
        <v/>
      </c>
      <c r="AH347" s="150"/>
      <c r="AI347" s="95" t="str">
        <f t="shared" si="66"/>
        <v/>
      </c>
      <c r="AJ347" s="150"/>
      <c r="AK347" s="27" t="str">
        <f t="shared" si="67"/>
        <v/>
      </c>
      <c r="AL347" s="48" t="str">
        <f t="shared" si="68"/>
        <v/>
      </c>
      <c r="AM347" s="48" t="str">
        <f t="shared" si="69"/>
        <v/>
      </c>
      <c r="AN347" s="196"/>
      <c r="AO347" s="196"/>
      <c r="AP347" s="196"/>
      <c r="AQ347" s="196"/>
      <c r="AR347" s="196"/>
      <c r="AS347" s="196"/>
      <c r="AT347" s="196"/>
      <c r="AU347" s="197" t="str">
        <f>IFERROR(VLOOKUP(AT347,'Seguridad Información'!$I$61:$J$65,2,0),"")</f>
        <v/>
      </c>
      <c r="AV347" s="79"/>
      <c r="AW347" s="78" t="str">
        <f t="shared" si="60"/>
        <v/>
      </c>
      <c r="AX347" s="77" t="str">
        <f t="shared" si="70"/>
        <v/>
      </c>
      <c r="AY347" s="21" t="str">
        <f>IFERROR(VLOOKUP((CONCATENATE(AM347,AX347)),Listados!$U$3:$V$11,2,FALSE),"")</f>
        <v/>
      </c>
      <c r="AZ347" s="48">
        <f t="shared" si="71"/>
        <v>100</v>
      </c>
      <c r="BA347" s="431"/>
      <c r="BB347" s="433"/>
      <c r="BC347" s="169">
        <f>+IF(AND(W347="Preventivo",BB343="Fuerte"),2,IF(AND(W347="Preventivo",BB343="Moderado"),1,0))</f>
        <v>0</v>
      </c>
      <c r="BD347" s="64">
        <f>+IF(AND(W347="Detectivo/Correctivo",$BB343="Fuerte"),2,IF(AND(W347="Detectivo/Correctivo",$BB347="Moderado"),1,IF(AND(W347="Preventivo",$BB343="Fuerte"),1,0)))</f>
        <v>0</v>
      </c>
      <c r="BE347" s="169" t="e">
        <f>+N343-BC347</f>
        <v>#N/A</v>
      </c>
      <c r="BF347" s="169" t="e">
        <f>+P343-BD347</f>
        <v>#N/A</v>
      </c>
      <c r="BG347" s="422"/>
      <c r="BH347" s="422"/>
      <c r="BI347" s="422"/>
      <c r="BJ347" s="645"/>
      <c r="BK347" s="645"/>
      <c r="BL347" s="645"/>
      <c r="BM347" s="645"/>
    </row>
    <row r="348" spans="1:65" ht="65.099999999999994" customHeight="1" thickBot="1">
      <c r="A348" s="406"/>
      <c r="B348" s="625"/>
      <c r="C348" s="441"/>
      <c r="D348" s="106"/>
      <c r="E348" s="106"/>
      <c r="F348" s="619"/>
      <c r="G348" s="444"/>
      <c r="H348" s="100"/>
      <c r="I348" s="128"/>
      <c r="J348" s="100"/>
      <c r="K348" s="31"/>
      <c r="L348" s="129"/>
      <c r="M348" s="446"/>
      <c r="N348" s="426"/>
      <c r="O348" s="428"/>
      <c r="P348" s="426"/>
      <c r="Q348" s="429"/>
      <c r="R348" s="423"/>
      <c r="S348" s="150"/>
      <c r="T348" s="98"/>
      <c r="U348" s="47" t="s">
        <v>627</v>
      </c>
      <c r="V348" s="172"/>
      <c r="W348" s="172"/>
      <c r="X348" s="172"/>
      <c r="Y348" s="95" t="str">
        <f t="shared" si="61"/>
        <v/>
      </c>
      <c r="Z348" s="172"/>
      <c r="AA348" s="95" t="str">
        <f t="shared" si="62"/>
        <v/>
      </c>
      <c r="AB348" s="150"/>
      <c r="AC348" s="95" t="str">
        <f t="shared" si="63"/>
        <v/>
      </c>
      <c r="AD348" s="150"/>
      <c r="AE348" s="95" t="str">
        <f t="shared" si="64"/>
        <v/>
      </c>
      <c r="AF348" s="150"/>
      <c r="AG348" s="95" t="str">
        <f t="shared" si="65"/>
        <v/>
      </c>
      <c r="AH348" s="150"/>
      <c r="AI348" s="95" t="str">
        <f t="shared" si="66"/>
        <v/>
      </c>
      <c r="AJ348" s="150"/>
      <c r="AK348" s="27" t="str">
        <f t="shared" si="67"/>
        <v/>
      </c>
      <c r="AL348" s="48" t="str">
        <f t="shared" si="68"/>
        <v/>
      </c>
      <c r="AM348" s="48" t="str">
        <f t="shared" si="69"/>
        <v/>
      </c>
      <c r="AN348" s="196"/>
      <c r="AO348" s="196"/>
      <c r="AP348" s="196"/>
      <c r="AQ348" s="196"/>
      <c r="AR348" s="196"/>
      <c r="AS348" s="196"/>
      <c r="AT348" s="196"/>
      <c r="AU348" s="197" t="str">
        <f>IFERROR(VLOOKUP(AT348,'Seguridad Información'!$I$61:$J$65,2,0),"")</f>
        <v/>
      </c>
      <c r="AV348" s="79"/>
      <c r="AW348" s="78" t="str">
        <f t="shared" si="60"/>
        <v/>
      </c>
      <c r="AX348" s="77" t="str">
        <f t="shared" si="70"/>
        <v/>
      </c>
      <c r="AY348" s="21" t="str">
        <f>IFERROR(VLOOKUP((CONCATENATE(AM348,AX348)),Listados!$U$3:$V$11,2,FALSE),"")</f>
        <v/>
      </c>
      <c r="AZ348" s="48">
        <f t="shared" si="71"/>
        <v>100</v>
      </c>
      <c r="BA348" s="432"/>
      <c r="BB348" s="433"/>
      <c r="BC348" s="169">
        <f>+IF(AND(W348="Preventivo",BB343="Fuerte"),2,IF(AND(W348="Preventivo",BB343="Moderado"),1,0))</f>
        <v>0</v>
      </c>
      <c r="BD348" s="64">
        <f>+IF(AND(W348="Detectivo/Correctivo",$BB343="Fuerte"),2,IF(AND(W348="Detectivo/Correctivo",$BB348="Moderado"),1,IF(AND(W348="Preventivo",$BB343="Fuerte"),1,0)))</f>
        <v>0</v>
      </c>
      <c r="BE348" s="169" t="e">
        <f>+N343-BC348</f>
        <v>#N/A</v>
      </c>
      <c r="BF348" s="169" t="e">
        <f>+P343-BD348</f>
        <v>#N/A</v>
      </c>
      <c r="BG348" s="423"/>
      <c r="BH348" s="423"/>
      <c r="BI348" s="423"/>
      <c r="BJ348" s="646"/>
      <c r="BK348" s="646"/>
      <c r="BL348" s="646"/>
      <c r="BM348" s="646"/>
    </row>
    <row r="349" spans="1:65" ht="65.099999999999994" customHeight="1" thickBot="1">
      <c r="A349" s="404">
        <v>58</v>
      </c>
      <c r="B349" s="628"/>
      <c r="C349" s="447" t="str">
        <f>IFERROR(VLOOKUP(B349,Listados!B$3:C$20,2,FALSE),"")</f>
        <v/>
      </c>
      <c r="D349" s="107"/>
      <c r="E349" s="107"/>
      <c r="F349" s="618"/>
      <c r="G349" s="448"/>
      <c r="H349" s="100"/>
      <c r="I349" s="128"/>
      <c r="J349" s="100"/>
      <c r="K349" s="103"/>
      <c r="L349" s="17"/>
      <c r="M349" s="445"/>
      <c r="N349" s="424" t="e">
        <f>+VLOOKUP(M349,Listados!$K$8:$L$12,2,0)</f>
        <v>#N/A</v>
      </c>
      <c r="O349" s="427"/>
      <c r="P349" s="424" t="e">
        <f>+VLOOKUP(O349,Listados!$K$13:$L$17,2,0)</f>
        <v>#N/A</v>
      </c>
      <c r="Q349" s="423" t="str">
        <f>IF(AND(M349&lt;&gt;"",O349&lt;&gt;""),VLOOKUP(M349&amp;O349,Listados!$M$3:$N$27,2,FALSE),"")</f>
        <v/>
      </c>
      <c r="R349" s="421" t="e">
        <f>+VLOOKUP(Q349,Listados!$P$3:$Q$6,2,FALSE)</f>
        <v>#N/A</v>
      </c>
      <c r="S349" s="150"/>
      <c r="T349" s="94"/>
      <c r="U349" s="47" t="s">
        <v>627</v>
      </c>
      <c r="V349" s="172"/>
      <c r="W349" s="172"/>
      <c r="X349" s="172"/>
      <c r="Y349" s="95" t="str">
        <f t="shared" si="61"/>
        <v/>
      </c>
      <c r="Z349" s="172"/>
      <c r="AA349" s="95" t="str">
        <f t="shared" si="62"/>
        <v/>
      </c>
      <c r="AB349" s="150"/>
      <c r="AC349" s="95" t="str">
        <f t="shared" si="63"/>
        <v/>
      </c>
      <c r="AD349" s="150"/>
      <c r="AE349" s="95" t="str">
        <f t="shared" si="64"/>
        <v/>
      </c>
      <c r="AF349" s="150"/>
      <c r="AG349" s="95" t="str">
        <f t="shared" si="65"/>
        <v/>
      </c>
      <c r="AH349" s="150"/>
      <c r="AI349" s="95" t="str">
        <f t="shared" si="66"/>
        <v/>
      </c>
      <c r="AJ349" s="150"/>
      <c r="AK349" s="27" t="str">
        <f t="shared" si="67"/>
        <v/>
      </c>
      <c r="AL349" s="48" t="str">
        <f t="shared" si="68"/>
        <v/>
      </c>
      <c r="AM349" s="48" t="str">
        <f t="shared" si="69"/>
        <v/>
      </c>
      <c r="AN349" s="196"/>
      <c r="AO349" s="196"/>
      <c r="AP349" s="196"/>
      <c r="AQ349" s="196"/>
      <c r="AR349" s="196"/>
      <c r="AS349" s="196"/>
      <c r="AT349" s="196"/>
      <c r="AU349" s="197" t="str">
        <f>IFERROR(VLOOKUP(AT349,'Seguridad Información'!$I$61:$J$65,2,0),"")</f>
        <v/>
      </c>
      <c r="AV349" s="79"/>
      <c r="AW349" s="78" t="str">
        <f t="shared" si="60"/>
        <v/>
      </c>
      <c r="AX349" s="77" t="str">
        <f t="shared" si="70"/>
        <v/>
      </c>
      <c r="AY349" s="21" t="str">
        <f>IFERROR(VLOOKUP((CONCATENATE(AM349,AX349)),Listados!$U$3:$V$11,2,FALSE),"")</f>
        <v/>
      </c>
      <c r="AZ349" s="48">
        <f t="shared" si="71"/>
        <v>100</v>
      </c>
      <c r="BA349" s="430">
        <f>AVERAGE(AZ349:AZ354)</f>
        <v>100</v>
      </c>
      <c r="BB349" s="432" t="str">
        <f>IF(BA349&lt;=50, "Débil", IF(BA349&lt;=99,"Moderado","Fuerte"))</f>
        <v>Fuerte</v>
      </c>
      <c r="BC349" s="169">
        <f>+IF(AND(W349="Preventivo",BB349="Fuerte"),2,IF(AND(W349="Preventivo",BB349="Moderado"),1,0))</f>
        <v>0</v>
      </c>
      <c r="BD349" s="64">
        <f>+IF(AND(W349="Detectivo/Correctivo",$BB349="Fuerte"),2,IF(AND(W349="Detectivo/Correctivo",$BB349="Moderado"),1,IF(AND(W349="Preventivo",$BB349="Fuerte"),1,0)))</f>
        <v>0</v>
      </c>
      <c r="BE349" s="169" t="e">
        <f>+N349-BC349</f>
        <v>#N/A</v>
      </c>
      <c r="BF349" s="169" t="e">
        <f>+P349-BD349</f>
        <v>#N/A</v>
      </c>
      <c r="BG349" s="421" t="e">
        <f>+VLOOKUP(MIN(BE349,BE350,BE351,BE352,BE353,BE354),Listados!$J$18:$K$24,2,TRUE)</f>
        <v>#N/A</v>
      </c>
      <c r="BH349" s="421" t="e">
        <f>+VLOOKUP(MIN(BF349,BF350,BF351,BF352,BF353,BF354),Listados!$J$27:$K$32,2,TRUE)</f>
        <v>#N/A</v>
      </c>
      <c r="BI349" s="421" t="e">
        <f>IF(AND(BG349&lt;&gt;"",BH349&lt;&gt;""),VLOOKUP(BG349&amp;BH349,Listados!$M$3:$N$27,2,FALSE),"")</f>
        <v>#N/A</v>
      </c>
      <c r="BJ349" s="644" t="e">
        <f>+IF($R349="Asumir el riesgo","NA","")</f>
        <v>#N/A</v>
      </c>
      <c r="BK349" s="644" t="e">
        <f>+IF($R349="Asumir el riesgo","NA","")</f>
        <v>#N/A</v>
      </c>
      <c r="BL349" s="644" t="e">
        <f>+IF($R349="Asumir el riesgo","NA","")</f>
        <v>#N/A</v>
      </c>
      <c r="BM349" s="644" t="e">
        <f>+IF($R349="Asumir el riesgo","NA","")</f>
        <v>#N/A</v>
      </c>
    </row>
    <row r="350" spans="1:65" ht="65.099999999999994" customHeight="1" thickBot="1">
      <c r="A350" s="405"/>
      <c r="B350" s="625"/>
      <c r="C350" s="440"/>
      <c r="D350" s="152"/>
      <c r="E350" s="152"/>
      <c r="F350" s="475"/>
      <c r="G350" s="443"/>
      <c r="H350" s="100"/>
      <c r="I350" s="128"/>
      <c r="J350" s="100"/>
      <c r="K350" s="147"/>
      <c r="L350" s="129"/>
      <c r="M350" s="446"/>
      <c r="N350" s="425"/>
      <c r="O350" s="428"/>
      <c r="P350" s="425"/>
      <c r="Q350" s="429"/>
      <c r="R350" s="422"/>
      <c r="S350" s="150"/>
      <c r="T350" s="198"/>
      <c r="U350" s="47" t="s">
        <v>627</v>
      </c>
      <c r="V350" s="172"/>
      <c r="W350" s="172"/>
      <c r="X350" s="172"/>
      <c r="Y350" s="95" t="str">
        <f t="shared" si="61"/>
        <v/>
      </c>
      <c r="Z350" s="172"/>
      <c r="AA350" s="95" t="str">
        <f t="shared" si="62"/>
        <v/>
      </c>
      <c r="AB350" s="150"/>
      <c r="AC350" s="95" t="str">
        <f t="shared" si="63"/>
        <v/>
      </c>
      <c r="AD350" s="150"/>
      <c r="AE350" s="95" t="str">
        <f t="shared" si="64"/>
        <v/>
      </c>
      <c r="AF350" s="150"/>
      <c r="AG350" s="95" t="str">
        <f t="shared" si="65"/>
        <v/>
      </c>
      <c r="AH350" s="150"/>
      <c r="AI350" s="95" t="str">
        <f t="shared" si="66"/>
        <v/>
      </c>
      <c r="AJ350" s="150"/>
      <c r="AK350" s="27" t="str">
        <f t="shared" si="67"/>
        <v/>
      </c>
      <c r="AL350" s="48" t="str">
        <f t="shared" si="68"/>
        <v/>
      </c>
      <c r="AM350" s="48" t="str">
        <f t="shared" si="69"/>
        <v/>
      </c>
      <c r="AN350" s="196"/>
      <c r="AO350" s="196"/>
      <c r="AP350" s="196"/>
      <c r="AQ350" s="196"/>
      <c r="AR350" s="196"/>
      <c r="AS350" s="196"/>
      <c r="AT350" s="196"/>
      <c r="AU350" s="197" t="str">
        <f>IFERROR(VLOOKUP(AT350,'Seguridad Información'!$I$61:$J$65,2,0),"")</f>
        <v/>
      </c>
      <c r="AV350" s="79"/>
      <c r="AW350" s="78" t="str">
        <f t="shared" si="60"/>
        <v/>
      </c>
      <c r="AX350" s="77" t="str">
        <f t="shared" si="70"/>
        <v/>
      </c>
      <c r="AY350" s="21" t="str">
        <f>IFERROR(VLOOKUP((CONCATENATE(AM350,AX350)),Listados!$U$3:$V$11,2,FALSE),"")</f>
        <v/>
      </c>
      <c r="AZ350" s="48">
        <f t="shared" si="71"/>
        <v>100</v>
      </c>
      <c r="BA350" s="431"/>
      <c r="BB350" s="433"/>
      <c r="BC350" s="169">
        <f>+IF(AND(W350="Preventivo",BB349="Fuerte"),2,IF(AND(W350="Preventivo",BB349="Moderado"),1,0))</f>
        <v>0</v>
      </c>
      <c r="BD350" s="64">
        <f>+IF(AND(W350="Detectivo/Correctivo",$BB349="Fuerte"),2,IF(AND(W350="Detectivo/Correctivo",$BB350="Moderado"),1,IF(AND(W350="Preventivo",$BB349="Fuerte"),1,0)))</f>
        <v>0</v>
      </c>
      <c r="BE350" s="169" t="e">
        <f>+N349-BC350</f>
        <v>#N/A</v>
      </c>
      <c r="BF350" s="169" t="e">
        <f>+P349-BD350</f>
        <v>#N/A</v>
      </c>
      <c r="BG350" s="422"/>
      <c r="BH350" s="422"/>
      <c r="BI350" s="422"/>
      <c r="BJ350" s="645"/>
      <c r="BK350" s="645"/>
      <c r="BL350" s="645"/>
      <c r="BM350" s="645"/>
    </row>
    <row r="351" spans="1:65" ht="65.099999999999994" customHeight="1" thickBot="1">
      <c r="A351" s="405"/>
      <c r="B351" s="625"/>
      <c r="C351" s="440"/>
      <c r="D351" s="152"/>
      <c r="E351" s="152"/>
      <c r="F351" s="475"/>
      <c r="G351" s="443"/>
      <c r="H351" s="100"/>
      <c r="I351" s="128"/>
      <c r="J351" s="100"/>
      <c r="K351" s="147"/>
      <c r="L351" s="129"/>
      <c r="M351" s="446"/>
      <c r="N351" s="425"/>
      <c r="O351" s="428"/>
      <c r="P351" s="425"/>
      <c r="Q351" s="429"/>
      <c r="R351" s="422"/>
      <c r="S351" s="150"/>
      <c r="T351" s="96"/>
      <c r="U351" s="47" t="s">
        <v>627</v>
      </c>
      <c r="V351" s="172"/>
      <c r="W351" s="172"/>
      <c r="X351" s="172"/>
      <c r="Y351" s="95" t="str">
        <f t="shared" si="61"/>
        <v/>
      </c>
      <c r="Z351" s="172"/>
      <c r="AA351" s="95" t="str">
        <f t="shared" si="62"/>
        <v/>
      </c>
      <c r="AB351" s="150"/>
      <c r="AC351" s="95" t="str">
        <f t="shared" si="63"/>
        <v/>
      </c>
      <c r="AD351" s="150"/>
      <c r="AE351" s="95" t="str">
        <f t="shared" si="64"/>
        <v/>
      </c>
      <c r="AF351" s="150"/>
      <c r="AG351" s="95" t="str">
        <f t="shared" si="65"/>
        <v/>
      </c>
      <c r="AH351" s="150"/>
      <c r="AI351" s="95" t="str">
        <f t="shared" si="66"/>
        <v/>
      </c>
      <c r="AJ351" s="150"/>
      <c r="AK351" s="27" t="str">
        <f t="shared" si="67"/>
        <v/>
      </c>
      <c r="AL351" s="48" t="str">
        <f t="shared" si="68"/>
        <v/>
      </c>
      <c r="AM351" s="48" t="str">
        <f t="shared" si="69"/>
        <v/>
      </c>
      <c r="AN351" s="196"/>
      <c r="AO351" s="196"/>
      <c r="AP351" s="196"/>
      <c r="AQ351" s="196"/>
      <c r="AR351" s="196"/>
      <c r="AS351" s="196"/>
      <c r="AT351" s="196"/>
      <c r="AU351" s="197" t="str">
        <f>IFERROR(VLOOKUP(AT351,'Seguridad Información'!$I$61:$J$65,2,0),"")</f>
        <v/>
      </c>
      <c r="AV351" s="79"/>
      <c r="AW351" s="78" t="str">
        <f t="shared" si="60"/>
        <v/>
      </c>
      <c r="AX351" s="77" t="str">
        <f t="shared" si="70"/>
        <v/>
      </c>
      <c r="AY351" s="21" t="str">
        <f>IFERROR(VLOOKUP((CONCATENATE(AM351,AX351)),Listados!$U$3:$V$11,2,FALSE),"")</f>
        <v/>
      </c>
      <c r="AZ351" s="48">
        <f t="shared" si="71"/>
        <v>100</v>
      </c>
      <c r="BA351" s="431"/>
      <c r="BB351" s="433"/>
      <c r="BC351" s="169">
        <f>+IF(AND(W351="Preventivo",BB349="Fuerte"),2,IF(AND(W351="Preventivo",BB349="Moderado"),1,0))</f>
        <v>0</v>
      </c>
      <c r="BD351" s="64">
        <f>+IF(AND(W351="Detectivo/Correctivo",$BB349="Fuerte"),2,IF(AND(W351="Detectivo/Correctivo",$BB351="Moderado"),1,IF(AND(W351="Preventivo",$BB349="Fuerte"),1,0)))</f>
        <v>0</v>
      </c>
      <c r="BE351" s="169" t="e">
        <f>+N349-BC351</f>
        <v>#N/A</v>
      </c>
      <c r="BF351" s="169" t="e">
        <f>+P349-BD351</f>
        <v>#N/A</v>
      </c>
      <c r="BG351" s="422"/>
      <c r="BH351" s="422"/>
      <c r="BI351" s="422"/>
      <c r="BJ351" s="645"/>
      <c r="BK351" s="645"/>
      <c r="BL351" s="645"/>
      <c r="BM351" s="645"/>
    </row>
    <row r="352" spans="1:65" ht="65.099999999999994" customHeight="1" thickBot="1">
      <c r="A352" s="405"/>
      <c r="B352" s="625"/>
      <c r="C352" s="440"/>
      <c r="D352" s="152"/>
      <c r="E352" s="152"/>
      <c r="F352" s="475"/>
      <c r="G352" s="443"/>
      <c r="H352" s="100"/>
      <c r="I352" s="128"/>
      <c r="J352" s="100"/>
      <c r="K352" s="147"/>
      <c r="L352" s="129"/>
      <c r="M352" s="446"/>
      <c r="N352" s="425"/>
      <c r="O352" s="428"/>
      <c r="P352" s="425"/>
      <c r="Q352" s="429"/>
      <c r="R352" s="422"/>
      <c r="S352" s="150"/>
      <c r="T352" s="97"/>
      <c r="U352" s="47" t="s">
        <v>627</v>
      </c>
      <c r="V352" s="172"/>
      <c r="W352" s="172"/>
      <c r="X352" s="172"/>
      <c r="Y352" s="95" t="str">
        <f t="shared" si="61"/>
        <v/>
      </c>
      <c r="Z352" s="172"/>
      <c r="AA352" s="95" t="str">
        <f t="shared" si="62"/>
        <v/>
      </c>
      <c r="AB352" s="150"/>
      <c r="AC352" s="95" t="str">
        <f t="shared" si="63"/>
        <v/>
      </c>
      <c r="AD352" s="150"/>
      <c r="AE352" s="95" t="str">
        <f t="shared" si="64"/>
        <v/>
      </c>
      <c r="AF352" s="150"/>
      <c r="AG352" s="95" t="str">
        <f t="shared" si="65"/>
        <v/>
      </c>
      <c r="AH352" s="150"/>
      <c r="AI352" s="95" t="str">
        <f t="shared" si="66"/>
        <v/>
      </c>
      <c r="AJ352" s="150"/>
      <c r="AK352" s="27" t="str">
        <f t="shared" si="67"/>
        <v/>
      </c>
      <c r="AL352" s="48" t="str">
        <f t="shared" si="68"/>
        <v/>
      </c>
      <c r="AM352" s="48" t="str">
        <f t="shared" si="69"/>
        <v/>
      </c>
      <c r="AN352" s="196"/>
      <c r="AO352" s="196"/>
      <c r="AP352" s="196"/>
      <c r="AQ352" s="196"/>
      <c r="AR352" s="196"/>
      <c r="AS352" s="196"/>
      <c r="AT352" s="196"/>
      <c r="AU352" s="197" t="str">
        <f>IFERROR(VLOOKUP(AT352,'Seguridad Información'!$I$61:$J$65,2,0),"")</f>
        <v/>
      </c>
      <c r="AV352" s="79"/>
      <c r="AW352" s="78" t="str">
        <f t="shared" si="60"/>
        <v/>
      </c>
      <c r="AX352" s="77" t="str">
        <f t="shared" si="70"/>
        <v/>
      </c>
      <c r="AY352" s="21" t="str">
        <f>IFERROR(VLOOKUP((CONCATENATE(AM352,AX352)),Listados!$U$3:$V$11,2,FALSE),"")</f>
        <v/>
      </c>
      <c r="AZ352" s="48">
        <f t="shared" si="71"/>
        <v>100</v>
      </c>
      <c r="BA352" s="431"/>
      <c r="BB352" s="433"/>
      <c r="BC352" s="169">
        <f>+IF(AND(W352="Preventivo",BB349="Fuerte"),2,IF(AND(W352="Preventivo",BB349="Moderado"),1,0))</f>
        <v>0</v>
      </c>
      <c r="BD352" s="64">
        <f>+IF(AND(W352="Detectivo/Correctivo",$BB349="Fuerte"),2,IF(AND(W352="Detectivo/Correctivo",$BB352="Moderado"),1,IF(AND(W352="Preventivo",$BB349="Fuerte"),1,0)))</f>
        <v>0</v>
      </c>
      <c r="BE352" s="169" t="e">
        <f>+N349-BC352</f>
        <v>#N/A</v>
      </c>
      <c r="BF352" s="169" t="e">
        <f>+P349-BD352</f>
        <v>#N/A</v>
      </c>
      <c r="BG352" s="422"/>
      <c r="BH352" s="422"/>
      <c r="BI352" s="422"/>
      <c r="BJ352" s="645"/>
      <c r="BK352" s="645"/>
      <c r="BL352" s="645"/>
      <c r="BM352" s="645"/>
    </row>
    <row r="353" spans="1:65" ht="65.099999999999994" customHeight="1" thickBot="1">
      <c r="A353" s="405"/>
      <c r="B353" s="625"/>
      <c r="C353" s="440"/>
      <c r="D353" s="109"/>
      <c r="E353" s="109"/>
      <c r="F353" s="475"/>
      <c r="G353" s="443"/>
      <c r="H353" s="100"/>
      <c r="I353" s="128"/>
      <c r="J353" s="100"/>
      <c r="K353" s="29"/>
      <c r="L353" s="129"/>
      <c r="M353" s="446"/>
      <c r="N353" s="425"/>
      <c r="O353" s="428"/>
      <c r="P353" s="425"/>
      <c r="Q353" s="429"/>
      <c r="R353" s="422"/>
      <c r="S353" s="150"/>
      <c r="T353" s="198"/>
      <c r="U353" s="47" t="s">
        <v>627</v>
      </c>
      <c r="V353" s="172"/>
      <c r="W353" s="172"/>
      <c r="X353" s="172"/>
      <c r="Y353" s="95" t="str">
        <f t="shared" si="61"/>
        <v/>
      </c>
      <c r="Z353" s="172"/>
      <c r="AA353" s="95" t="str">
        <f t="shared" si="62"/>
        <v/>
      </c>
      <c r="AB353" s="150"/>
      <c r="AC353" s="95" t="str">
        <f t="shared" si="63"/>
        <v/>
      </c>
      <c r="AD353" s="150"/>
      <c r="AE353" s="95" t="str">
        <f t="shared" si="64"/>
        <v/>
      </c>
      <c r="AF353" s="150"/>
      <c r="AG353" s="95" t="str">
        <f t="shared" si="65"/>
        <v/>
      </c>
      <c r="AH353" s="150"/>
      <c r="AI353" s="95" t="str">
        <f t="shared" si="66"/>
        <v/>
      </c>
      <c r="AJ353" s="150"/>
      <c r="AK353" s="27" t="str">
        <f t="shared" si="67"/>
        <v/>
      </c>
      <c r="AL353" s="48" t="str">
        <f t="shared" si="68"/>
        <v/>
      </c>
      <c r="AM353" s="48" t="str">
        <f t="shared" si="69"/>
        <v/>
      </c>
      <c r="AN353" s="196"/>
      <c r="AO353" s="196"/>
      <c r="AP353" s="196"/>
      <c r="AQ353" s="196"/>
      <c r="AR353" s="196"/>
      <c r="AS353" s="196"/>
      <c r="AT353" s="196"/>
      <c r="AU353" s="197" t="str">
        <f>IFERROR(VLOOKUP(AT353,'Seguridad Información'!$I$61:$J$65,2,0),"")</f>
        <v/>
      </c>
      <c r="AV353" s="79"/>
      <c r="AW353" s="78" t="str">
        <f t="shared" si="60"/>
        <v/>
      </c>
      <c r="AX353" s="77" t="str">
        <f t="shared" si="70"/>
        <v/>
      </c>
      <c r="AY353" s="21" t="str">
        <f>IFERROR(VLOOKUP((CONCATENATE(AM353,AX353)),Listados!$U$3:$V$11,2,FALSE),"")</f>
        <v/>
      </c>
      <c r="AZ353" s="48">
        <f t="shared" si="71"/>
        <v>100</v>
      </c>
      <c r="BA353" s="431"/>
      <c r="BB353" s="433"/>
      <c r="BC353" s="169">
        <f>+IF(AND(W353="Preventivo",BB349="Fuerte"),2,IF(AND(W353="Preventivo",BB349="Moderado"),1,0))</f>
        <v>0</v>
      </c>
      <c r="BD353" s="64">
        <f>+IF(AND(W353="Detectivo/Correctivo",$BB349="Fuerte"),2,IF(AND(W353="Detectivo/Correctivo",$BB353="Moderado"),1,IF(AND(W353="Preventivo",$BB349="Fuerte"),1,0)))</f>
        <v>0</v>
      </c>
      <c r="BE353" s="169" t="e">
        <f>+N349-BC353</f>
        <v>#N/A</v>
      </c>
      <c r="BF353" s="169" t="e">
        <f>+P349-BD353</f>
        <v>#N/A</v>
      </c>
      <c r="BG353" s="422"/>
      <c r="BH353" s="422"/>
      <c r="BI353" s="422"/>
      <c r="BJ353" s="645"/>
      <c r="BK353" s="645"/>
      <c r="BL353" s="645"/>
      <c r="BM353" s="645"/>
    </row>
    <row r="354" spans="1:65" ht="65.099999999999994" customHeight="1" thickBot="1">
      <c r="A354" s="406"/>
      <c r="B354" s="625"/>
      <c r="C354" s="441"/>
      <c r="D354" s="106"/>
      <c r="E354" s="106"/>
      <c r="F354" s="619"/>
      <c r="G354" s="444"/>
      <c r="H354" s="100"/>
      <c r="I354" s="128"/>
      <c r="J354" s="100"/>
      <c r="K354" s="31"/>
      <c r="L354" s="129"/>
      <c r="M354" s="446"/>
      <c r="N354" s="426"/>
      <c r="O354" s="428"/>
      <c r="P354" s="426"/>
      <c r="Q354" s="429"/>
      <c r="R354" s="423"/>
      <c r="S354" s="150"/>
      <c r="T354" s="98"/>
      <c r="U354" s="47" t="s">
        <v>627</v>
      </c>
      <c r="V354" s="172"/>
      <c r="W354" s="172"/>
      <c r="X354" s="172"/>
      <c r="Y354" s="95" t="str">
        <f t="shared" si="61"/>
        <v/>
      </c>
      <c r="Z354" s="172"/>
      <c r="AA354" s="95" t="str">
        <f t="shared" si="62"/>
        <v/>
      </c>
      <c r="AB354" s="150"/>
      <c r="AC354" s="95" t="str">
        <f t="shared" si="63"/>
        <v/>
      </c>
      <c r="AD354" s="150"/>
      <c r="AE354" s="95" t="str">
        <f t="shared" si="64"/>
        <v/>
      </c>
      <c r="AF354" s="150"/>
      <c r="AG354" s="95" t="str">
        <f t="shared" si="65"/>
        <v/>
      </c>
      <c r="AH354" s="150"/>
      <c r="AI354" s="95" t="str">
        <f t="shared" si="66"/>
        <v/>
      </c>
      <c r="AJ354" s="150"/>
      <c r="AK354" s="27" t="str">
        <f t="shared" si="67"/>
        <v/>
      </c>
      <c r="AL354" s="48" t="str">
        <f t="shared" si="68"/>
        <v/>
      </c>
      <c r="AM354" s="48" t="str">
        <f t="shared" si="69"/>
        <v/>
      </c>
      <c r="AN354" s="196"/>
      <c r="AO354" s="196"/>
      <c r="AP354" s="196"/>
      <c r="AQ354" s="196"/>
      <c r="AR354" s="196"/>
      <c r="AS354" s="196"/>
      <c r="AT354" s="196"/>
      <c r="AU354" s="197" t="str">
        <f>IFERROR(VLOOKUP(AT354,'Seguridad Información'!$I$61:$J$65,2,0),"")</f>
        <v/>
      </c>
      <c r="AV354" s="79"/>
      <c r="AW354" s="78" t="str">
        <f t="shared" si="60"/>
        <v/>
      </c>
      <c r="AX354" s="77" t="str">
        <f t="shared" si="70"/>
        <v/>
      </c>
      <c r="AY354" s="21" t="str">
        <f>IFERROR(VLOOKUP((CONCATENATE(AM354,AX354)),Listados!$U$3:$V$11,2,FALSE),"")</f>
        <v/>
      </c>
      <c r="AZ354" s="48">
        <f t="shared" si="71"/>
        <v>100</v>
      </c>
      <c r="BA354" s="432"/>
      <c r="BB354" s="433"/>
      <c r="BC354" s="169">
        <f>+IF(AND(W354="Preventivo",BB349="Fuerte"),2,IF(AND(W354="Preventivo",BB349="Moderado"),1,0))</f>
        <v>0</v>
      </c>
      <c r="BD354" s="64">
        <f>+IF(AND(W354="Detectivo/Correctivo",$BB349="Fuerte"),2,IF(AND(W354="Detectivo/Correctivo",$BB354="Moderado"),1,IF(AND(W354="Preventivo",$BB349="Fuerte"),1,0)))</f>
        <v>0</v>
      </c>
      <c r="BE354" s="169" t="e">
        <f>+N349-BC354</f>
        <v>#N/A</v>
      </c>
      <c r="BF354" s="169" t="e">
        <f>+P349-BD354</f>
        <v>#N/A</v>
      </c>
      <c r="BG354" s="423"/>
      <c r="BH354" s="423"/>
      <c r="BI354" s="423"/>
      <c r="BJ354" s="646"/>
      <c r="BK354" s="646"/>
      <c r="BL354" s="646"/>
      <c r="BM354" s="646"/>
    </row>
    <row r="355" spans="1:65" ht="65.099999999999994" customHeight="1" thickBot="1">
      <c r="A355" s="404">
        <v>59</v>
      </c>
      <c r="B355" s="628"/>
      <c r="C355" s="447" t="str">
        <f>IFERROR(VLOOKUP(B355,Listados!B$3:C$20,2,FALSE),"")</f>
        <v/>
      </c>
      <c r="D355" s="107"/>
      <c r="E355" s="107"/>
      <c r="F355" s="618"/>
      <c r="G355" s="448"/>
      <c r="H355" s="100"/>
      <c r="I355" s="128"/>
      <c r="J355" s="100"/>
      <c r="K355" s="103"/>
      <c r="L355" s="17"/>
      <c r="M355" s="445"/>
      <c r="N355" s="424" t="e">
        <f>+VLOOKUP(M355,Listados!$K$8:$L$12,2,0)</f>
        <v>#N/A</v>
      </c>
      <c r="O355" s="427"/>
      <c r="P355" s="424" t="e">
        <f>+VLOOKUP(O355,Listados!$K$13:$L$17,2,0)</f>
        <v>#N/A</v>
      </c>
      <c r="Q355" s="423" t="str">
        <f>IF(AND(M355&lt;&gt;"",O355&lt;&gt;""),VLOOKUP(M355&amp;O355,Listados!$M$3:$N$27,2,FALSE),"")</f>
        <v/>
      </c>
      <c r="R355" s="421" t="e">
        <f>+VLOOKUP(Q355,Listados!$P$3:$Q$6,2,FALSE)</f>
        <v>#N/A</v>
      </c>
      <c r="S355" s="150"/>
      <c r="T355" s="94"/>
      <c r="U355" s="47" t="s">
        <v>627</v>
      </c>
      <c r="V355" s="172"/>
      <c r="W355" s="172"/>
      <c r="X355" s="172"/>
      <c r="Y355" s="95" t="str">
        <f t="shared" si="61"/>
        <v/>
      </c>
      <c r="Z355" s="172"/>
      <c r="AA355" s="95" t="str">
        <f t="shared" si="62"/>
        <v/>
      </c>
      <c r="AB355" s="150"/>
      <c r="AC355" s="95" t="str">
        <f t="shared" si="63"/>
        <v/>
      </c>
      <c r="AD355" s="150"/>
      <c r="AE355" s="95" t="str">
        <f t="shared" si="64"/>
        <v/>
      </c>
      <c r="AF355" s="150"/>
      <c r="AG355" s="95" t="str">
        <f t="shared" si="65"/>
        <v/>
      </c>
      <c r="AH355" s="150"/>
      <c r="AI355" s="95" t="str">
        <f t="shared" si="66"/>
        <v/>
      </c>
      <c r="AJ355" s="150"/>
      <c r="AK355" s="27" t="str">
        <f t="shared" si="67"/>
        <v/>
      </c>
      <c r="AL355" s="48" t="str">
        <f t="shared" si="68"/>
        <v/>
      </c>
      <c r="AM355" s="48" t="str">
        <f t="shared" si="69"/>
        <v/>
      </c>
      <c r="AN355" s="196"/>
      <c r="AO355" s="196"/>
      <c r="AP355" s="196"/>
      <c r="AQ355" s="196"/>
      <c r="AR355" s="196"/>
      <c r="AS355" s="196"/>
      <c r="AT355" s="196"/>
      <c r="AU355" s="197" t="str">
        <f>IFERROR(VLOOKUP(AT355,'Seguridad Información'!$I$61:$J$65,2,0),"")</f>
        <v/>
      </c>
      <c r="AV355" s="79"/>
      <c r="AW355" s="78" t="str">
        <f t="shared" si="60"/>
        <v/>
      </c>
      <c r="AX355" s="77" t="str">
        <f t="shared" si="70"/>
        <v/>
      </c>
      <c r="AY355" s="21" t="str">
        <f>IFERROR(VLOOKUP((CONCATENATE(AM355,AX355)),Listados!$U$3:$V$11,2,FALSE),"")</f>
        <v/>
      </c>
      <c r="AZ355" s="48">
        <f t="shared" si="71"/>
        <v>100</v>
      </c>
      <c r="BA355" s="430">
        <f>AVERAGE(AZ355:AZ360)</f>
        <v>100</v>
      </c>
      <c r="BB355" s="432" t="str">
        <f>IF(BA355&lt;=50, "Débil", IF(BA355&lt;=99,"Moderado","Fuerte"))</f>
        <v>Fuerte</v>
      </c>
      <c r="BC355" s="169">
        <f>+IF(AND(W355="Preventivo",BB355="Fuerte"),2,IF(AND(W355="Preventivo",BB355="Moderado"),1,0))</f>
        <v>0</v>
      </c>
      <c r="BD355" s="64">
        <f>+IF(AND(W355="Detectivo/Correctivo",$BB355="Fuerte"),2,IF(AND(W355="Detectivo/Correctivo",$BB355="Moderado"),1,IF(AND(W355="Preventivo",$BB355="Fuerte"),1,0)))</f>
        <v>0</v>
      </c>
      <c r="BE355" s="169" t="e">
        <f>+N355-BC355</f>
        <v>#N/A</v>
      </c>
      <c r="BF355" s="169" t="e">
        <f>+P355-BD355</f>
        <v>#N/A</v>
      </c>
      <c r="BG355" s="421" t="e">
        <f>+VLOOKUP(MIN(BE355,BE356,BE357,BE358,BE359,BE360),Listados!$J$18:$K$24,2,TRUE)</f>
        <v>#N/A</v>
      </c>
      <c r="BH355" s="421" t="e">
        <f>+VLOOKUP(MIN(BF355,BF356,BF357,BF358,BF359,BF360),Listados!$J$27:$K$32,2,TRUE)</f>
        <v>#N/A</v>
      </c>
      <c r="BI355" s="421" t="e">
        <f>IF(AND(BG355&lt;&gt;"",BH355&lt;&gt;""),VLOOKUP(BG355&amp;BH355,Listados!$M$3:$N$27,2,FALSE),"")</f>
        <v>#N/A</v>
      </c>
      <c r="BJ355" s="644" t="e">
        <f>+IF($R355="Asumir el riesgo","NA","")</f>
        <v>#N/A</v>
      </c>
      <c r="BK355" s="644" t="e">
        <f>+IF($R355="Asumir el riesgo","NA","")</f>
        <v>#N/A</v>
      </c>
      <c r="BL355" s="644" t="e">
        <f>+IF($R355="Asumir el riesgo","NA","")</f>
        <v>#N/A</v>
      </c>
      <c r="BM355" s="644" t="e">
        <f>+IF($R355="Asumir el riesgo","NA","")</f>
        <v>#N/A</v>
      </c>
    </row>
    <row r="356" spans="1:65" ht="65.099999999999994" customHeight="1" thickBot="1">
      <c r="A356" s="405"/>
      <c r="B356" s="625"/>
      <c r="C356" s="440"/>
      <c r="D356" s="152"/>
      <c r="E356" s="152"/>
      <c r="F356" s="475"/>
      <c r="G356" s="443"/>
      <c r="H356" s="100"/>
      <c r="I356" s="128"/>
      <c r="J356" s="100"/>
      <c r="K356" s="147"/>
      <c r="L356" s="129"/>
      <c r="M356" s="446"/>
      <c r="N356" s="425"/>
      <c r="O356" s="428"/>
      <c r="P356" s="425"/>
      <c r="Q356" s="429"/>
      <c r="R356" s="422"/>
      <c r="S356" s="150"/>
      <c r="T356" s="198"/>
      <c r="U356" s="47" t="s">
        <v>627</v>
      </c>
      <c r="V356" s="172"/>
      <c r="W356" s="172"/>
      <c r="X356" s="172"/>
      <c r="Y356" s="95" t="str">
        <f t="shared" si="61"/>
        <v/>
      </c>
      <c r="Z356" s="172"/>
      <c r="AA356" s="95" t="str">
        <f t="shared" si="62"/>
        <v/>
      </c>
      <c r="AB356" s="150"/>
      <c r="AC356" s="95" t="str">
        <f t="shared" si="63"/>
        <v/>
      </c>
      <c r="AD356" s="150"/>
      <c r="AE356" s="95" t="str">
        <f t="shared" si="64"/>
        <v/>
      </c>
      <c r="AF356" s="150"/>
      <c r="AG356" s="95" t="str">
        <f t="shared" si="65"/>
        <v/>
      </c>
      <c r="AH356" s="150"/>
      <c r="AI356" s="95" t="str">
        <f t="shared" si="66"/>
        <v/>
      </c>
      <c r="AJ356" s="150"/>
      <c r="AK356" s="27" t="str">
        <f t="shared" si="67"/>
        <v/>
      </c>
      <c r="AL356" s="48" t="str">
        <f t="shared" si="68"/>
        <v/>
      </c>
      <c r="AM356" s="48" t="str">
        <f t="shared" si="69"/>
        <v/>
      </c>
      <c r="AN356" s="196"/>
      <c r="AO356" s="196"/>
      <c r="AP356" s="196"/>
      <c r="AQ356" s="196"/>
      <c r="AR356" s="196"/>
      <c r="AS356" s="196"/>
      <c r="AT356" s="196"/>
      <c r="AU356" s="197" t="str">
        <f>IFERROR(VLOOKUP(AT356,'Seguridad Información'!$I$61:$J$65,2,0),"")</f>
        <v/>
      </c>
      <c r="AV356" s="79"/>
      <c r="AW356" s="78" t="str">
        <f t="shared" si="60"/>
        <v/>
      </c>
      <c r="AX356" s="77" t="str">
        <f t="shared" si="70"/>
        <v/>
      </c>
      <c r="AY356" s="21" t="str">
        <f>IFERROR(VLOOKUP((CONCATENATE(AM356,AX356)),Listados!$U$3:$V$11,2,FALSE),"")</f>
        <v/>
      </c>
      <c r="AZ356" s="48">
        <f t="shared" si="71"/>
        <v>100</v>
      </c>
      <c r="BA356" s="431"/>
      <c r="BB356" s="433"/>
      <c r="BC356" s="169">
        <f>+IF(AND(W356="Preventivo",BB355="Fuerte"),2,IF(AND(W356="Preventivo",BB355="Moderado"),1,0))</f>
        <v>0</v>
      </c>
      <c r="BD356" s="64">
        <f>+IF(AND(W356="Detectivo/Correctivo",$BB355="Fuerte"),2,IF(AND(W356="Detectivo/Correctivo",$BB356="Moderado"),1,IF(AND(W356="Preventivo",$BB355="Fuerte"),1,0)))</f>
        <v>0</v>
      </c>
      <c r="BE356" s="169" t="e">
        <f>+N355-BC356</f>
        <v>#N/A</v>
      </c>
      <c r="BF356" s="169" t="e">
        <f>+P355-BD356</f>
        <v>#N/A</v>
      </c>
      <c r="BG356" s="422"/>
      <c r="BH356" s="422"/>
      <c r="BI356" s="422"/>
      <c r="BJ356" s="645"/>
      <c r="BK356" s="645"/>
      <c r="BL356" s="645"/>
      <c r="BM356" s="645"/>
    </row>
    <row r="357" spans="1:65" ht="65.099999999999994" customHeight="1" thickBot="1">
      <c r="A357" s="405"/>
      <c r="B357" s="625"/>
      <c r="C357" s="440"/>
      <c r="D357" s="152"/>
      <c r="E357" s="152"/>
      <c r="F357" s="475"/>
      <c r="G357" s="443"/>
      <c r="H357" s="100"/>
      <c r="I357" s="128"/>
      <c r="J357" s="100"/>
      <c r="K357" s="147"/>
      <c r="L357" s="129"/>
      <c r="M357" s="446"/>
      <c r="N357" s="425"/>
      <c r="O357" s="428"/>
      <c r="P357" s="425"/>
      <c r="Q357" s="429"/>
      <c r="R357" s="422"/>
      <c r="S357" s="150"/>
      <c r="T357" s="96"/>
      <c r="U357" s="47" t="s">
        <v>627</v>
      </c>
      <c r="V357" s="172"/>
      <c r="W357" s="172"/>
      <c r="X357" s="172"/>
      <c r="Y357" s="95" t="str">
        <f t="shared" si="61"/>
        <v/>
      </c>
      <c r="Z357" s="172"/>
      <c r="AA357" s="95" t="str">
        <f t="shared" si="62"/>
        <v/>
      </c>
      <c r="AB357" s="150"/>
      <c r="AC357" s="95" t="str">
        <f t="shared" si="63"/>
        <v/>
      </c>
      <c r="AD357" s="150"/>
      <c r="AE357" s="95" t="str">
        <f t="shared" si="64"/>
        <v/>
      </c>
      <c r="AF357" s="150"/>
      <c r="AG357" s="95" t="str">
        <f t="shared" si="65"/>
        <v/>
      </c>
      <c r="AH357" s="150"/>
      <c r="AI357" s="95" t="str">
        <f t="shared" si="66"/>
        <v/>
      </c>
      <c r="AJ357" s="150"/>
      <c r="AK357" s="27" t="str">
        <f t="shared" si="67"/>
        <v/>
      </c>
      <c r="AL357" s="48" t="str">
        <f t="shared" si="68"/>
        <v/>
      </c>
      <c r="AM357" s="48" t="str">
        <f t="shared" si="69"/>
        <v/>
      </c>
      <c r="AN357" s="196"/>
      <c r="AO357" s="196"/>
      <c r="AP357" s="196"/>
      <c r="AQ357" s="196"/>
      <c r="AR357" s="196"/>
      <c r="AS357" s="196"/>
      <c r="AT357" s="196"/>
      <c r="AU357" s="197" t="str">
        <f>IFERROR(VLOOKUP(AT357,'Seguridad Información'!$I$61:$J$65,2,0),"")</f>
        <v/>
      </c>
      <c r="AV357" s="79"/>
      <c r="AW357" s="78" t="str">
        <f t="shared" si="60"/>
        <v/>
      </c>
      <c r="AX357" s="77" t="str">
        <f t="shared" si="70"/>
        <v/>
      </c>
      <c r="AY357" s="21" t="str">
        <f>IFERROR(VLOOKUP((CONCATENATE(AM357,AX357)),Listados!$U$3:$V$11,2,FALSE),"")</f>
        <v/>
      </c>
      <c r="AZ357" s="48">
        <f t="shared" si="71"/>
        <v>100</v>
      </c>
      <c r="BA357" s="431"/>
      <c r="BB357" s="433"/>
      <c r="BC357" s="169">
        <f>+IF(AND(W357="Preventivo",BB355="Fuerte"),2,IF(AND(W357="Preventivo",BB355="Moderado"),1,0))</f>
        <v>0</v>
      </c>
      <c r="BD357" s="64">
        <f>+IF(AND(W357="Detectivo/Correctivo",$BB355="Fuerte"),2,IF(AND(W357="Detectivo/Correctivo",$BB357="Moderado"),1,IF(AND(W357="Preventivo",$BB355="Fuerte"),1,0)))</f>
        <v>0</v>
      </c>
      <c r="BE357" s="169" t="e">
        <f>+N355-BC357</f>
        <v>#N/A</v>
      </c>
      <c r="BF357" s="169" t="e">
        <f>+P355-BD357</f>
        <v>#N/A</v>
      </c>
      <c r="BG357" s="422"/>
      <c r="BH357" s="422"/>
      <c r="BI357" s="422"/>
      <c r="BJ357" s="645"/>
      <c r="BK357" s="645"/>
      <c r="BL357" s="645"/>
      <c r="BM357" s="645"/>
    </row>
    <row r="358" spans="1:65" ht="65.099999999999994" customHeight="1" thickBot="1">
      <c r="A358" s="405"/>
      <c r="B358" s="625"/>
      <c r="C358" s="440"/>
      <c r="D358" s="152"/>
      <c r="E358" s="152"/>
      <c r="F358" s="475"/>
      <c r="G358" s="443"/>
      <c r="H358" s="100"/>
      <c r="I358" s="128"/>
      <c r="J358" s="100"/>
      <c r="K358" s="147"/>
      <c r="L358" s="129"/>
      <c r="M358" s="446"/>
      <c r="N358" s="425"/>
      <c r="O358" s="428"/>
      <c r="P358" s="425"/>
      <c r="Q358" s="429"/>
      <c r="R358" s="422"/>
      <c r="S358" s="150"/>
      <c r="T358" s="97"/>
      <c r="U358" s="47" t="s">
        <v>627</v>
      </c>
      <c r="V358" s="172"/>
      <c r="W358" s="172"/>
      <c r="X358" s="172"/>
      <c r="Y358" s="95" t="str">
        <f t="shared" si="61"/>
        <v/>
      </c>
      <c r="Z358" s="172"/>
      <c r="AA358" s="95" t="str">
        <f t="shared" si="62"/>
        <v/>
      </c>
      <c r="AB358" s="150"/>
      <c r="AC358" s="95" t="str">
        <f t="shared" si="63"/>
        <v/>
      </c>
      <c r="AD358" s="150"/>
      <c r="AE358" s="95" t="str">
        <f t="shared" si="64"/>
        <v/>
      </c>
      <c r="AF358" s="150"/>
      <c r="AG358" s="95" t="str">
        <f t="shared" si="65"/>
        <v/>
      </c>
      <c r="AH358" s="150"/>
      <c r="AI358" s="95" t="str">
        <f t="shared" si="66"/>
        <v/>
      </c>
      <c r="AJ358" s="150"/>
      <c r="AK358" s="27" t="str">
        <f t="shared" si="67"/>
        <v/>
      </c>
      <c r="AL358" s="48" t="str">
        <f t="shared" si="68"/>
        <v/>
      </c>
      <c r="AM358" s="48" t="str">
        <f t="shared" si="69"/>
        <v/>
      </c>
      <c r="AN358" s="196"/>
      <c r="AO358" s="196"/>
      <c r="AP358" s="196"/>
      <c r="AQ358" s="196"/>
      <c r="AR358" s="196"/>
      <c r="AS358" s="196"/>
      <c r="AT358" s="196"/>
      <c r="AU358" s="197" t="str">
        <f>IFERROR(VLOOKUP(AT358,'Seguridad Información'!$I$61:$J$65,2,0),"")</f>
        <v/>
      </c>
      <c r="AV358" s="79"/>
      <c r="AW358" s="78" t="str">
        <f t="shared" si="60"/>
        <v/>
      </c>
      <c r="AX358" s="77" t="str">
        <f t="shared" si="70"/>
        <v/>
      </c>
      <c r="AY358" s="21" t="str">
        <f>IFERROR(VLOOKUP((CONCATENATE(AM358,AX358)),Listados!$U$3:$V$11,2,FALSE),"")</f>
        <v/>
      </c>
      <c r="AZ358" s="48">
        <f t="shared" si="71"/>
        <v>100</v>
      </c>
      <c r="BA358" s="431"/>
      <c r="BB358" s="433"/>
      <c r="BC358" s="169">
        <f>+IF(AND(W358="Preventivo",BB355="Fuerte"),2,IF(AND(W358="Preventivo",BB355="Moderado"),1,0))</f>
        <v>0</v>
      </c>
      <c r="BD358" s="64">
        <f>+IF(AND(W358="Detectivo/Correctivo",$BB355="Fuerte"),2,IF(AND(W358="Detectivo/Correctivo",$BB358="Moderado"),1,IF(AND(W358="Preventivo",$BB355="Fuerte"),1,0)))</f>
        <v>0</v>
      </c>
      <c r="BE358" s="169" t="e">
        <f>+N355-BC358</f>
        <v>#N/A</v>
      </c>
      <c r="BF358" s="169" t="e">
        <f>+P355-BD358</f>
        <v>#N/A</v>
      </c>
      <c r="BG358" s="422"/>
      <c r="BH358" s="422"/>
      <c r="BI358" s="422"/>
      <c r="BJ358" s="645"/>
      <c r="BK358" s="645"/>
      <c r="BL358" s="645"/>
      <c r="BM358" s="645"/>
    </row>
    <row r="359" spans="1:65" ht="65.099999999999994" customHeight="1" thickBot="1">
      <c r="A359" s="405"/>
      <c r="B359" s="625"/>
      <c r="C359" s="440"/>
      <c r="D359" s="109"/>
      <c r="E359" s="109"/>
      <c r="F359" s="475"/>
      <c r="G359" s="443"/>
      <c r="H359" s="100"/>
      <c r="I359" s="128"/>
      <c r="J359" s="100"/>
      <c r="K359" s="29"/>
      <c r="L359" s="129"/>
      <c r="M359" s="446"/>
      <c r="N359" s="425"/>
      <c r="O359" s="428"/>
      <c r="P359" s="425"/>
      <c r="Q359" s="429"/>
      <c r="R359" s="422"/>
      <c r="S359" s="150"/>
      <c r="T359" s="198"/>
      <c r="U359" s="47" t="s">
        <v>627</v>
      </c>
      <c r="V359" s="172"/>
      <c r="W359" s="172"/>
      <c r="X359" s="172"/>
      <c r="Y359" s="95" t="str">
        <f t="shared" si="61"/>
        <v/>
      </c>
      <c r="Z359" s="172"/>
      <c r="AA359" s="95" t="str">
        <f t="shared" si="62"/>
        <v/>
      </c>
      <c r="AB359" s="150"/>
      <c r="AC359" s="95" t="str">
        <f t="shared" si="63"/>
        <v/>
      </c>
      <c r="AD359" s="150"/>
      <c r="AE359" s="95" t="str">
        <f t="shared" si="64"/>
        <v/>
      </c>
      <c r="AF359" s="150"/>
      <c r="AG359" s="95" t="str">
        <f t="shared" si="65"/>
        <v/>
      </c>
      <c r="AH359" s="150"/>
      <c r="AI359" s="95" t="str">
        <f t="shared" si="66"/>
        <v/>
      </c>
      <c r="AJ359" s="150"/>
      <c r="AK359" s="27" t="str">
        <f t="shared" si="67"/>
        <v/>
      </c>
      <c r="AL359" s="48" t="str">
        <f t="shared" si="68"/>
        <v/>
      </c>
      <c r="AM359" s="48" t="str">
        <f t="shared" si="69"/>
        <v/>
      </c>
      <c r="AN359" s="196"/>
      <c r="AO359" s="196"/>
      <c r="AP359" s="196"/>
      <c r="AQ359" s="196"/>
      <c r="AR359" s="196"/>
      <c r="AS359" s="196"/>
      <c r="AT359" s="196"/>
      <c r="AU359" s="197" t="str">
        <f>IFERROR(VLOOKUP(AT359,'Seguridad Información'!$I$61:$J$65,2,0),"")</f>
        <v/>
      </c>
      <c r="AV359" s="79"/>
      <c r="AW359" s="78" t="str">
        <f t="shared" si="60"/>
        <v/>
      </c>
      <c r="AX359" s="77" t="str">
        <f t="shared" si="70"/>
        <v/>
      </c>
      <c r="AY359" s="21" t="str">
        <f>IFERROR(VLOOKUP((CONCATENATE(AM359,AX359)),Listados!$U$3:$V$11,2,FALSE),"")</f>
        <v/>
      </c>
      <c r="AZ359" s="48">
        <f t="shared" si="71"/>
        <v>100</v>
      </c>
      <c r="BA359" s="431"/>
      <c r="BB359" s="433"/>
      <c r="BC359" s="169">
        <f>+IF(AND(W359="Preventivo",BB355="Fuerte"),2,IF(AND(W359="Preventivo",BB355="Moderado"),1,0))</f>
        <v>0</v>
      </c>
      <c r="BD359" s="64">
        <f>+IF(AND(W359="Detectivo/Correctivo",$BB355="Fuerte"),2,IF(AND(W359="Detectivo/Correctivo",$BB359="Moderado"),1,IF(AND(W359="Preventivo",$BB355="Fuerte"),1,0)))</f>
        <v>0</v>
      </c>
      <c r="BE359" s="169" t="e">
        <f>+N355-BC359</f>
        <v>#N/A</v>
      </c>
      <c r="BF359" s="169" t="e">
        <f>+P355-BD359</f>
        <v>#N/A</v>
      </c>
      <c r="BG359" s="422"/>
      <c r="BH359" s="422"/>
      <c r="BI359" s="422"/>
      <c r="BJ359" s="645"/>
      <c r="BK359" s="645"/>
      <c r="BL359" s="645"/>
      <c r="BM359" s="645"/>
    </row>
    <row r="360" spans="1:65" ht="65.099999999999994" customHeight="1" thickBot="1">
      <c r="A360" s="406"/>
      <c r="B360" s="625"/>
      <c r="C360" s="441"/>
      <c r="D360" s="106"/>
      <c r="E360" s="106"/>
      <c r="F360" s="619"/>
      <c r="G360" s="444"/>
      <c r="H360" s="100"/>
      <c r="I360" s="128"/>
      <c r="J360" s="100"/>
      <c r="K360" s="31"/>
      <c r="L360" s="129"/>
      <c r="M360" s="446"/>
      <c r="N360" s="426"/>
      <c r="O360" s="428"/>
      <c r="P360" s="426"/>
      <c r="Q360" s="429"/>
      <c r="R360" s="423"/>
      <c r="S360" s="150"/>
      <c r="T360" s="98"/>
      <c r="U360" s="47" t="s">
        <v>627</v>
      </c>
      <c r="V360" s="172"/>
      <c r="W360" s="172"/>
      <c r="X360" s="172"/>
      <c r="Y360" s="95" t="str">
        <f t="shared" si="61"/>
        <v/>
      </c>
      <c r="Z360" s="172"/>
      <c r="AA360" s="95" t="str">
        <f t="shared" si="62"/>
        <v/>
      </c>
      <c r="AB360" s="150"/>
      <c r="AC360" s="95" t="str">
        <f t="shared" si="63"/>
        <v/>
      </c>
      <c r="AD360" s="150"/>
      <c r="AE360" s="95" t="str">
        <f t="shared" si="64"/>
        <v/>
      </c>
      <c r="AF360" s="150"/>
      <c r="AG360" s="95" t="str">
        <f t="shared" si="65"/>
        <v/>
      </c>
      <c r="AH360" s="150"/>
      <c r="AI360" s="95" t="str">
        <f t="shared" si="66"/>
        <v/>
      </c>
      <c r="AJ360" s="150"/>
      <c r="AK360" s="27" t="str">
        <f t="shared" si="67"/>
        <v/>
      </c>
      <c r="AL360" s="48" t="str">
        <f t="shared" si="68"/>
        <v/>
      </c>
      <c r="AM360" s="48" t="str">
        <f t="shared" si="69"/>
        <v/>
      </c>
      <c r="AN360" s="196"/>
      <c r="AO360" s="196"/>
      <c r="AP360" s="196"/>
      <c r="AQ360" s="196"/>
      <c r="AR360" s="196"/>
      <c r="AS360" s="196"/>
      <c r="AT360" s="196"/>
      <c r="AU360" s="197" t="str">
        <f>IFERROR(VLOOKUP(AT360,'Seguridad Información'!$I$61:$J$65,2,0),"")</f>
        <v/>
      </c>
      <c r="AV360" s="79"/>
      <c r="AW360" s="78" t="str">
        <f t="shared" si="60"/>
        <v/>
      </c>
      <c r="AX360" s="77" t="str">
        <f t="shared" si="70"/>
        <v/>
      </c>
      <c r="AY360" s="21" t="str">
        <f>IFERROR(VLOOKUP((CONCATENATE(AM360,AX360)),Listados!$U$3:$V$11,2,FALSE),"")</f>
        <v/>
      </c>
      <c r="AZ360" s="48">
        <f t="shared" si="71"/>
        <v>100</v>
      </c>
      <c r="BA360" s="432"/>
      <c r="BB360" s="433"/>
      <c r="BC360" s="169">
        <f>+IF(AND(W360="Preventivo",BB355="Fuerte"),2,IF(AND(W360="Preventivo",BB355="Moderado"),1,0))</f>
        <v>0</v>
      </c>
      <c r="BD360" s="64">
        <f>+IF(AND(W360="Detectivo/Correctivo",$BB355="Fuerte"),2,IF(AND(W360="Detectivo/Correctivo",$BB360="Moderado"),1,IF(AND(W360="Preventivo",$BB355="Fuerte"),1,0)))</f>
        <v>0</v>
      </c>
      <c r="BE360" s="169" t="e">
        <f>+N355-BC360</f>
        <v>#N/A</v>
      </c>
      <c r="BF360" s="169" t="e">
        <f>+P355-BD360</f>
        <v>#N/A</v>
      </c>
      <c r="BG360" s="423"/>
      <c r="BH360" s="423"/>
      <c r="BI360" s="423"/>
      <c r="BJ360" s="646"/>
      <c r="BK360" s="646"/>
      <c r="BL360" s="646"/>
      <c r="BM360" s="646"/>
    </row>
    <row r="361" spans="1:65" ht="65.099999999999994" customHeight="1" thickBot="1">
      <c r="A361" s="404">
        <v>60</v>
      </c>
      <c r="B361" s="640"/>
      <c r="C361" s="447" t="str">
        <f>IFERROR(VLOOKUP(B361,Listados!B$3:C$20,2,FALSE),"")</f>
        <v/>
      </c>
      <c r="D361" s="107"/>
      <c r="E361" s="107"/>
      <c r="F361" s="618"/>
      <c r="G361" s="448"/>
      <c r="H361" s="100"/>
      <c r="I361" s="128"/>
      <c r="J361" s="100"/>
      <c r="K361" s="103"/>
      <c r="L361" s="17"/>
      <c r="M361" s="445"/>
      <c r="N361" s="424" t="e">
        <f>+VLOOKUP(M361,Listados!$K$8:$L$12,2,0)</f>
        <v>#N/A</v>
      </c>
      <c r="O361" s="427"/>
      <c r="P361" s="424" t="e">
        <f>+VLOOKUP(O361,Listados!$K$13:$L$17,2,0)</f>
        <v>#N/A</v>
      </c>
      <c r="Q361" s="423" t="str">
        <f>IF(AND(M361&lt;&gt;"",O361&lt;&gt;""),VLOOKUP(M361&amp;O361,Listados!$M$3:$N$27,2,FALSE),"")</f>
        <v/>
      </c>
      <c r="R361" s="421" t="e">
        <f>+VLOOKUP(Q361,Listados!$P$3:$Q$6,2,FALSE)</f>
        <v>#N/A</v>
      </c>
      <c r="S361" s="150"/>
      <c r="T361" s="94"/>
      <c r="U361" s="47" t="s">
        <v>627</v>
      </c>
      <c r="V361" s="172"/>
      <c r="W361" s="172"/>
      <c r="X361" s="172"/>
      <c r="Y361" s="95" t="str">
        <f t="shared" si="61"/>
        <v/>
      </c>
      <c r="Z361" s="172"/>
      <c r="AA361" s="95" t="str">
        <f t="shared" si="62"/>
        <v/>
      </c>
      <c r="AB361" s="150"/>
      <c r="AC361" s="95" t="str">
        <f t="shared" si="63"/>
        <v/>
      </c>
      <c r="AD361" s="150"/>
      <c r="AE361" s="95" t="str">
        <f t="shared" si="64"/>
        <v/>
      </c>
      <c r="AF361" s="150"/>
      <c r="AG361" s="95" t="str">
        <f t="shared" si="65"/>
        <v/>
      </c>
      <c r="AH361" s="150"/>
      <c r="AI361" s="95" t="str">
        <f t="shared" si="66"/>
        <v/>
      </c>
      <c r="AJ361" s="150"/>
      <c r="AK361" s="27" t="str">
        <f t="shared" si="67"/>
        <v/>
      </c>
      <c r="AL361" s="48" t="str">
        <f t="shared" si="68"/>
        <v/>
      </c>
      <c r="AM361" s="48" t="str">
        <f t="shared" si="69"/>
        <v/>
      </c>
      <c r="AN361" s="196"/>
      <c r="AO361" s="196"/>
      <c r="AP361" s="196"/>
      <c r="AQ361" s="196"/>
      <c r="AR361" s="196"/>
      <c r="AS361" s="196"/>
      <c r="AT361" s="196"/>
      <c r="AU361" s="197" t="str">
        <f>IFERROR(VLOOKUP(AT361,'Seguridad Información'!$I$61:$J$65,2,0),"")</f>
        <v/>
      </c>
      <c r="AV361" s="79"/>
      <c r="AW361" s="78" t="str">
        <f t="shared" si="60"/>
        <v/>
      </c>
      <c r="AX361" s="77" t="str">
        <f t="shared" si="70"/>
        <v/>
      </c>
      <c r="AY361" s="21" t="str">
        <f>IFERROR(VLOOKUP((CONCATENATE(AM361,AX361)),Listados!$U$3:$V$11,2,FALSE),"")</f>
        <v/>
      </c>
      <c r="AZ361" s="48">
        <f t="shared" si="71"/>
        <v>100</v>
      </c>
      <c r="BA361" s="430">
        <f>AVERAGE(AZ361:AZ366)</f>
        <v>100</v>
      </c>
      <c r="BB361" s="432" t="str">
        <f>IF(BA361&lt;=50, "Débil", IF(BA361&lt;=99,"Moderado","Fuerte"))</f>
        <v>Fuerte</v>
      </c>
      <c r="BC361" s="169">
        <f>+IF(AND(W361="Preventivo",BB361="Fuerte"),2,IF(AND(W361="Preventivo",BB361="Moderado"),1,0))</f>
        <v>0</v>
      </c>
      <c r="BD361" s="64">
        <f>+IF(AND(W361="Detectivo/Correctivo",$BB361="Fuerte"),2,IF(AND(W361="Detectivo/Correctivo",$BB361="Moderado"),1,IF(AND(W361="Preventivo",$BB361="Fuerte"),1,0)))</f>
        <v>0</v>
      </c>
      <c r="BE361" s="169" t="e">
        <f>+N361-BC361</f>
        <v>#N/A</v>
      </c>
      <c r="BF361" s="169" t="e">
        <f>+P361-BD361</f>
        <v>#N/A</v>
      </c>
      <c r="BG361" s="421" t="e">
        <f>+VLOOKUP(MIN(BE361,BE362,BE363,BE364,BE365,BE366),Listados!$J$18:$K$24,2,TRUE)</f>
        <v>#N/A</v>
      </c>
      <c r="BH361" s="421" t="e">
        <f>+VLOOKUP(MIN(BF361,BF362,BF363,BF364,BF365,BF366),Listados!$J$27:$K$32,2,TRUE)</f>
        <v>#N/A</v>
      </c>
      <c r="BI361" s="421" t="e">
        <f>IF(AND(BG361&lt;&gt;"",BH361&lt;&gt;""),VLOOKUP(BG361&amp;BH361,Listados!$M$3:$N$27,2,FALSE),"")</f>
        <v>#N/A</v>
      </c>
      <c r="BJ361" s="644" t="e">
        <f>+IF($R361="Asumir el riesgo","NA","")</f>
        <v>#N/A</v>
      </c>
      <c r="BK361" s="644" t="e">
        <f>+IF($R361="Asumir el riesgo","NA","")</f>
        <v>#N/A</v>
      </c>
      <c r="BL361" s="644" t="e">
        <f>+IF($R361="Asumir el riesgo","NA","")</f>
        <v>#N/A</v>
      </c>
      <c r="BM361" s="644" t="e">
        <f>+IF($R361="Asumir el riesgo","NA","")</f>
        <v>#N/A</v>
      </c>
    </row>
    <row r="362" spans="1:65" ht="65.099999999999994" customHeight="1" thickBot="1">
      <c r="A362" s="405"/>
      <c r="B362" s="640"/>
      <c r="C362" s="440"/>
      <c r="D362" s="152"/>
      <c r="E362" s="152"/>
      <c r="F362" s="475"/>
      <c r="G362" s="443"/>
      <c r="H362" s="100"/>
      <c r="I362" s="128"/>
      <c r="J362" s="100"/>
      <c r="K362" s="147"/>
      <c r="L362" s="129"/>
      <c r="M362" s="446"/>
      <c r="N362" s="425"/>
      <c r="O362" s="428"/>
      <c r="P362" s="425"/>
      <c r="Q362" s="429"/>
      <c r="R362" s="422"/>
      <c r="S362" s="150"/>
      <c r="T362" s="198"/>
      <c r="U362" s="47" t="s">
        <v>627</v>
      </c>
      <c r="V362" s="172"/>
      <c r="W362" s="172"/>
      <c r="X362" s="172"/>
      <c r="Y362" s="95" t="str">
        <f t="shared" si="61"/>
        <v/>
      </c>
      <c r="Z362" s="172"/>
      <c r="AA362" s="95" t="str">
        <f t="shared" si="62"/>
        <v/>
      </c>
      <c r="AB362" s="150"/>
      <c r="AC362" s="95" t="str">
        <f t="shared" si="63"/>
        <v/>
      </c>
      <c r="AD362" s="150"/>
      <c r="AE362" s="95" t="str">
        <f t="shared" si="64"/>
        <v/>
      </c>
      <c r="AF362" s="150"/>
      <c r="AG362" s="95" t="str">
        <f t="shared" si="65"/>
        <v/>
      </c>
      <c r="AH362" s="150"/>
      <c r="AI362" s="95" t="str">
        <f t="shared" si="66"/>
        <v/>
      </c>
      <c r="AJ362" s="150"/>
      <c r="AK362" s="27" t="str">
        <f t="shared" si="67"/>
        <v/>
      </c>
      <c r="AL362" s="48" t="str">
        <f t="shared" si="68"/>
        <v/>
      </c>
      <c r="AM362" s="48" t="str">
        <f t="shared" si="69"/>
        <v/>
      </c>
      <c r="AN362" s="196"/>
      <c r="AO362" s="196"/>
      <c r="AP362" s="196"/>
      <c r="AQ362" s="196"/>
      <c r="AR362" s="196"/>
      <c r="AS362" s="196"/>
      <c r="AT362" s="196"/>
      <c r="AU362" s="197" t="str">
        <f>IFERROR(VLOOKUP(AT362,'Seguridad Información'!$I$61:$J$65,2,0),"")</f>
        <v/>
      </c>
      <c r="AV362" s="79"/>
      <c r="AW362" s="78" t="str">
        <f t="shared" si="60"/>
        <v/>
      </c>
      <c r="AX362" s="77" t="str">
        <f t="shared" si="70"/>
        <v/>
      </c>
      <c r="AY362" s="21" t="str">
        <f>IFERROR(VLOOKUP((CONCATENATE(AM362,AX362)),Listados!$U$3:$V$11,2,FALSE),"")</f>
        <v/>
      </c>
      <c r="AZ362" s="48">
        <f t="shared" si="71"/>
        <v>100</v>
      </c>
      <c r="BA362" s="431"/>
      <c r="BB362" s="433"/>
      <c r="BC362" s="169">
        <f>+IF(AND(W362="Preventivo",BB361="Fuerte"),2,IF(AND(W362="Preventivo",BB361="Moderado"),1,0))</f>
        <v>0</v>
      </c>
      <c r="BD362" s="64">
        <f>+IF(AND(W362="Detectivo/Correctivo",$BB361="Fuerte"),2,IF(AND(W362="Detectivo/Correctivo",$BB362="Moderado"),1,IF(AND(W362="Preventivo",$BB361="Fuerte"),1,0)))</f>
        <v>0</v>
      </c>
      <c r="BE362" s="169" t="e">
        <f>+N361-BC362</f>
        <v>#N/A</v>
      </c>
      <c r="BF362" s="169" t="e">
        <f>+P361-BD362</f>
        <v>#N/A</v>
      </c>
      <c r="BG362" s="422"/>
      <c r="BH362" s="422"/>
      <c r="BI362" s="422"/>
      <c r="BJ362" s="645"/>
      <c r="BK362" s="645"/>
      <c r="BL362" s="645"/>
      <c r="BM362" s="645"/>
    </row>
    <row r="363" spans="1:65" ht="65.099999999999994" customHeight="1" thickBot="1">
      <c r="A363" s="405"/>
      <c r="B363" s="640"/>
      <c r="C363" s="440"/>
      <c r="D363" s="152"/>
      <c r="E363" s="152"/>
      <c r="F363" s="475"/>
      <c r="G363" s="443"/>
      <c r="H363" s="100"/>
      <c r="I363" s="128"/>
      <c r="J363" s="100"/>
      <c r="K363" s="147"/>
      <c r="L363" s="129"/>
      <c r="M363" s="446"/>
      <c r="N363" s="425"/>
      <c r="O363" s="428"/>
      <c r="P363" s="425"/>
      <c r="Q363" s="429"/>
      <c r="R363" s="422"/>
      <c r="S363" s="150"/>
      <c r="T363" s="96"/>
      <c r="U363" s="47" t="s">
        <v>627</v>
      </c>
      <c r="V363" s="172"/>
      <c r="W363" s="172"/>
      <c r="X363" s="172"/>
      <c r="Y363" s="95" t="str">
        <f t="shared" si="61"/>
        <v/>
      </c>
      <c r="Z363" s="172"/>
      <c r="AA363" s="95" t="str">
        <f t="shared" si="62"/>
        <v/>
      </c>
      <c r="AB363" s="150"/>
      <c r="AC363" s="95" t="str">
        <f t="shared" si="63"/>
        <v/>
      </c>
      <c r="AD363" s="150"/>
      <c r="AE363" s="95" t="str">
        <f t="shared" si="64"/>
        <v/>
      </c>
      <c r="AF363" s="150"/>
      <c r="AG363" s="95" t="str">
        <f t="shared" si="65"/>
        <v/>
      </c>
      <c r="AH363" s="150"/>
      <c r="AI363" s="95" t="str">
        <f t="shared" si="66"/>
        <v/>
      </c>
      <c r="AJ363" s="150"/>
      <c r="AK363" s="27" t="str">
        <f t="shared" si="67"/>
        <v/>
      </c>
      <c r="AL363" s="48" t="str">
        <f t="shared" si="68"/>
        <v/>
      </c>
      <c r="AM363" s="48" t="str">
        <f t="shared" si="69"/>
        <v/>
      </c>
      <c r="AN363" s="196"/>
      <c r="AO363" s="196"/>
      <c r="AP363" s="196"/>
      <c r="AQ363" s="196"/>
      <c r="AR363" s="196"/>
      <c r="AS363" s="196"/>
      <c r="AT363" s="196"/>
      <c r="AU363" s="197" t="str">
        <f>IFERROR(VLOOKUP(AT363,'Seguridad Información'!$I$61:$J$65,2,0),"")</f>
        <v/>
      </c>
      <c r="AV363" s="79"/>
      <c r="AW363" s="78" t="str">
        <f t="shared" si="60"/>
        <v/>
      </c>
      <c r="AX363" s="77" t="str">
        <f t="shared" si="70"/>
        <v/>
      </c>
      <c r="AY363" s="21" t="str">
        <f>IFERROR(VLOOKUP((CONCATENATE(AM363,AX363)),Listados!$U$3:$V$11,2,FALSE),"")</f>
        <v/>
      </c>
      <c r="AZ363" s="48">
        <f t="shared" si="71"/>
        <v>100</v>
      </c>
      <c r="BA363" s="431"/>
      <c r="BB363" s="433"/>
      <c r="BC363" s="169">
        <f>+IF(AND(W363="Preventivo",BB361="Fuerte"),2,IF(AND(W363="Preventivo",BB361="Moderado"),1,0))</f>
        <v>0</v>
      </c>
      <c r="BD363" s="64">
        <f>+IF(AND(W363="Detectivo/Correctivo",$BB361="Fuerte"),2,IF(AND(W363="Detectivo/Correctivo",$BB363="Moderado"),1,IF(AND(W363="Preventivo",$BB361="Fuerte"),1,0)))</f>
        <v>0</v>
      </c>
      <c r="BE363" s="169" t="e">
        <f>+N361-BC363</f>
        <v>#N/A</v>
      </c>
      <c r="BF363" s="169" t="e">
        <f>+P361-BD363</f>
        <v>#N/A</v>
      </c>
      <c r="BG363" s="422"/>
      <c r="BH363" s="422"/>
      <c r="BI363" s="422"/>
      <c r="BJ363" s="645"/>
      <c r="BK363" s="645"/>
      <c r="BL363" s="645"/>
      <c r="BM363" s="645"/>
    </row>
    <row r="364" spans="1:65" ht="65.099999999999994" customHeight="1" thickBot="1">
      <c r="A364" s="405"/>
      <c r="B364" s="640"/>
      <c r="C364" s="440"/>
      <c r="D364" s="152"/>
      <c r="E364" s="152"/>
      <c r="F364" s="475"/>
      <c r="G364" s="443"/>
      <c r="H364" s="100"/>
      <c r="I364" s="128"/>
      <c r="J364" s="100"/>
      <c r="K364" s="147"/>
      <c r="L364" s="129"/>
      <c r="M364" s="446"/>
      <c r="N364" s="425"/>
      <c r="O364" s="428"/>
      <c r="P364" s="425"/>
      <c r="Q364" s="429"/>
      <c r="R364" s="422"/>
      <c r="S364" s="150"/>
      <c r="T364" s="97"/>
      <c r="U364" s="47" t="s">
        <v>627</v>
      </c>
      <c r="V364" s="172"/>
      <c r="W364" s="172"/>
      <c r="X364" s="172"/>
      <c r="Y364" s="95" t="str">
        <f t="shared" si="61"/>
        <v/>
      </c>
      <c r="Z364" s="172"/>
      <c r="AA364" s="95" t="str">
        <f t="shared" si="62"/>
        <v/>
      </c>
      <c r="AB364" s="150"/>
      <c r="AC364" s="95" t="str">
        <f t="shared" si="63"/>
        <v/>
      </c>
      <c r="AD364" s="150"/>
      <c r="AE364" s="95" t="str">
        <f t="shared" si="64"/>
        <v/>
      </c>
      <c r="AF364" s="150"/>
      <c r="AG364" s="95" t="str">
        <f t="shared" si="65"/>
        <v/>
      </c>
      <c r="AH364" s="150"/>
      <c r="AI364" s="95" t="str">
        <f t="shared" si="66"/>
        <v/>
      </c>
      <c r="AJ364" s="150"/>
      <c r="AK364" s="27" t="str">
        <f t="shared" si="67"/>
        <v/>
      </c>
      <c r="AL364" s="48" t="str">
        <f t="shared" si="68"/>
        <v/>
      </c>
      <c r="AM364" s="48" t="str">
        <f t="shared" si="69"/>
        <v/>
      </c>
      <c r="AN364" s="196"/>
      <c r="AO364" s="196"/>
      <c r="AP364" s="196"/>
      <c r="AQ364" s="196"/>
      <c r="AR364" s="196"/>
      <c r="AS364" s="196"/>
      <c r="AT364" s="196"/>
      <c r="AU364" s="197" t="str">
        <f>IFERROR(VLOOKUP(AT364,'Seguridad Información'!$I$61:$J$65,2,0),"")</f>
        <v/>
      </c>
      <c r="AV364" s="79"/>
      <c r="AW364" s="78" t="str">
        <f t="shared" si="60"/>
        <v/>
      </c>
      <c r="AX364" s="77" t="str">
        <f t="shared" si="70"/>
        <v/>
      </c>
      <c r="AY364" s="21" t="str">
        <f>IFERROR(VLOOKUP((CONCATENATE(AM364,AX364)),Listados!$U$3:$V$11,2,FALSE),"")</f>
        <v/>
      </c>
      <c r="AZ364" s="48">
        <f t="shared" si="71"/>
        <v>100</v>
      </c>
      <c r="BA364" s="431"/>
      <c r="BB364" s="433"/>
      <c r="BC364" s="169">
        <f>+IF(AND(W364="Preventivo",BB361="Fuerte"),2,IF(AND(W364="Preventivo",BB361="Moderado"),1,0))</f>
        <v>0</v>
      </c>
      <c r="BD364" s="64">
        <f>+IF(AND(W364="Detectivo/Correctivo",$BB361="Fuerte"),2,IF(AND(W364="Detectivo/Correctivo",$BB364="Moderado"),1,IF(AND(W364="Preventivo",$BB361="Fuerte"),1,0)))</f>
        <v>0</v>
      </c>
      <c r="BE364" s="169" t="e">
        <f>+N361-BC364</f>
        <v>#N/A</v>
      </c>
      <c r="BF364" s="169" t="e">
        <f>+P361-BD364</f>
        <v>#N/A</v>
      </c>
      <c r="BG364" s="422"/>
      <c r="BH364" s="422"/>
      <c r="BI364" s="422"/>
      <c r="BJ364" s="645"/>
      <c r="BK364" s="645"/>
      <c r="BL364" s="645"/>
      <c r="BM364" s="645"/>
    </row>
    <row r="365" spans="1:65" ht="65.099999999999994" customHeight="1" thickBot="1">
      <c r="A365" s="405"/>
      <c r="B365" s="640"/>
      <c r="C365" s="440"/>
      <c r="D365" s="109"/>
      <c r="E365" s="109"/>
      <c r="F365" s="475"/>
      <c r="G365" s="443"/>
      <c r="H365" s="100"/>
      <c r="I365" s="128"/>
      <c r="J365" s="100"/>
      <c r="K365" s="29"/>
      <c r="L365" s="129"/>
      <c r="M365" s="446"/>
      <c r="N365" s="425"/>
      <c r="O365" s="428"/>
      <c r="P365" s="425"/>
      <c r="Q365" s="429"/>
      <c r="R365" s="422"/>
      <c r="S365" s="150"/>
      <c r="T365" s="198"/>
      <c r="U365" s="47" t="s">
        <v>627</v>
      </c>
      <c r="V365" s="172"/>
      <c r="W365" s="172"/>
      <c r="X365" s="172"/>
      <c r="Y365" s="95" t="str">
        <f t="shared" si="61"/>
        <v/>
      </c>
      <c r="Z365" s="172"/>
      <c r="AA365" s="95" t="str">
        <f t="shared" si="62"/>
        <v/>
      </c>
      <c r="AB365" s="150"/>
      <c r="AC365" s="95" t="str">
        <f t="shared" si="63"/>
        <v/>
      </c>
      <c r="AD365" s="150"/>
      <c r="AE365" s="95" t="str">
        <f t="shared" si="64"/>
        <v/>
      </c>
      <c r="AF365" s="150"/>
      <c r="AG365" s="95" t="str">
        <f t="shared" si="65"/>
        <v/>
      </c>
      <c r="AH365" s="150"/>
      <c r="AI365" s="95" t="str">
        <f t="shared" si="66"/>
        <v/>
      </c>
      <c r="AJ365" s="150"/>
      <c r="AK365" s="27" t="str">
        <f t="shared" si="67"/>
        <v/>
      </c>
      <c r="AL365" s="48" t="str">
        <f t="shared" si="68"/>
        <v/>
      </c>
      <c r="AM365" s="48" t="str">
        <f t="shared" si="69"/>
        <v/>
      </c>
      <c r="AN365" s="196"/>
      <c r="AO365" s="196"/>
      <c r="AP365" s="196"/>
      <c r="AQ365" s="196"/>
      <c r="AR365" s="196"/>
      <c r="AS365" s="196"/>
      <c r="AT365" s="196"/>
      <c r="AU365" s="197" t="str">
        <f>IFERROR(VLOOKUP(AT365,'Seguridad Información'!$I$61:$J$65,2,0),"")</f>
        <v/>
      </c>
      <c r="AV365" s="79"/>
      <c r="AW365" s="78" t="str">
        <f t="shared" si="60"/>
        <v/>
      </c>
      <c r="AX365" s="77" t="str">
        <f t="shared" si="70"/>
        <v/>
      </c>
      <c r="AY365" s="21" t="str">
        <f>IFERROR(VLOOKUP((CONCATENATE(AM365,AX365)),Listados!$U$3:$V$11,2,FALSE),"")</f>
        <v/>
      </c>
      <c r="AZ365" s="48">
        <f t="shared" si="71"/>
        <v>100</v>
      </c>
      <c r="BA365" s="431"/>
      <c r="BB365" s="433"/>
      <c r="BC365" s="169">
        <f>+IF(AND(W365="Preventivo",BB361="Fuerte"),2,IF(AND(W365="Preventivo",BB361="Moderado"),1,0))</f>
        <v>0</v>
      </c>
      <c r="BD365" s="64">
        <f>+IF(AND(W365="Detectivo/Correctivo",$BB361="Fuerte"),2,IF(AND(W365="Detectivo/Correctivo",$BB365="Moderado"),1,IF(AND(W365="Preventivo",$BB361="Fuerte"),1,0)))</f>
        <v>0</v>
      </c>
      <c r="BE365" s="169" t="e">
        <f>+N361-BC365</f>
        <v>#N/A</v>
      </c>
      <c r="BF365" s="169" t="e">
        <f>+P361-BD365</f>
        <v>#N/A</v>
      </c>
      <c r="BG365" s="422"/>
      <c r="BH365" s="422"/>
      <c r="BI365" s="422"/>
      <c r="BJ365" s="645"/>
      <c r="BK365" s="645"/>
      <c r="BL365" s="645"/>
      <c r="BM365" s="645"/>
    </row>
    <row r="366" spans="1:65" ht="65.099999999999994" customHeight="1" thickBot="1">
      <c r="A366" s="406"/>
      <c r="B366" s="640"/>
      <c r="C366" s="441"/>
      <c r="D366" s="106"/>
      <c r="E366" s="106"/>
      <c r="F366" s="619"/>
      <c r="G366" s="444"/>
      <c r="H366" s="100"/>
      <c r="I366" s="53"/>
      <c r="J366" s="100"/>
      <c r="K366" s="31"/>
      <c r="L366" s="129"/>
      <c r="M366" s="446"/>
      <c r="N366" s="426"/>
      <c r="O366" s="428"/>
      <c r="P366" s="426"/>
      <c r="Q366" s="429"/>
      <c r="R366" s="423"/>
      <c r="S366" s="150"/>
      <c r="T366" s="98"/>
      <c r="U366" s="47" t="s">
        <v>627</v>
      </c>
      <c r="V366" s="172"/>
      <c r="W366" s="172"/>
      <c r="X366" s="172"/>
      <c r="Y366" s="95" t="str">
        <f t="shared" si="61"/>
        <v/>
      </c>
      <c r="Z366" s="172"/>
      <c r="AA366" s="95" t="str">
        <f t="shared" si="62"/>
        <v/>
      </c>
      <c r="AB366" s="150"/>
      <c r="AC366" s="95" t="str">
        <f t="shared" si="63"/>
        <v/>
      </c>
      <c r="AD366" s="150"/>
      <c r="AE366" s="95" t="str">
        <f t="shared" si="64"/>
        <v/>
      </c>
      <c r="AF366" s="150"/>
      <c r="AG366" s="95" t="str">
        <f t="shared" si="65"/>
        <v/>
      </c>
      <c r="AH366" s="150"/>
      <c r="AI366" s="95" t="str">
        <f t="shared" si="66"/>
        <v/>
      </c>
      <c r="AJ366" s="150"/>
      <c r="AK366" s="27" t="str">
        <f t="shared" si="67"/>
        <v/>
      </c>
      <c r="AL366" s="48" t="str">
        <f t="shared" si="68"/>
        <v/>
      </c>
      <c r="AM366" s="48" t="str">
        <f t="shared" si="69"/>
        <v/>
      </c>
      <c r="AN366" s="196"/>
      <c r="AO366" s="196"/>
      <c r="AP366" s="196"/>
      <c r="AQ366" s="196"/>
      <c r="AR366" s="196"/>
      <c r="AS366" s="196"/>
      <c r="AT366" s="196"/>
      <c r="AU366" s="197" t="str">
        <f>IFERROR(VLOOKUP(AT366,'Seguridad Información'!$I$61:$J$65,2,0),"")</f>
        <v/>
      </c>
      <c r="AV366" s="79"/>
      <c r="AW366" s="78" t="str">
        <f t="shared" si="60"/>
        <v/>
      </c>
      <c r="AX366" s="77" t="str">
        <f t="shared" si="70"/>
        <v/>
      </c>
      <c r="AY366" s="21" t="str">
        <f>IFERROR(VLOOKUP((CONCATENATE(AM366,AX366)),Listados!$U$3:$V$11,2,FALSE),"")</f>
        <v/>
      </c>
      <c r="AZ366" s="48">
        <f t="shared" si="71"/>
        <v>100</v>
      </c>
      <c r="BA366" s="432"/>
      <c r="BB366" s="433"/>
      <c r="BC366" s="169">
        <f>+IF(AND(W366="Preventivo",BB361="Fuerte"),2,IF(AND(W366="Preventivo",BB361="Moderado"),1,0))</f>
        <v>0</v>
      </c>
      <c r="BD366" s="64">
        <f>+IF(AND(W366="Detectivo/Correctivo",$BB361="Fuerte"),2,IF(AND(W366="Detectivo/Correctivo",$BB366="Moderado"),1,IF(AND(W366="Preventivo",$BB361="Fuerte"),1,0)))</f>
        <v>0</v>
      </c>
      <c r="BE366" s="169" t="e">
        <f>+N361-BC366</f>
        <v>#N/A</v>
      </c>
      <c r="BF366" s="169" t="e">
        <f>+P361-BD366</f>
        <v>#N/A</v>
      </c>
      <c r="BG366" s="423"/>
      <c r="BH366" s="423"/>
      <c r="BI366" s="423"/>
      <c r="BJ366" s="646"/>
      <c r="BK366" s="646"/>
      <c r="BL366" s="646"/>
      <c r="BM366" s="646"/>
    </row>
  </sheetData>
  <sheetProtection algorithmName="SHA-512" hashValue="kcTjlN6yynYeBx7AfGboYhB2a5eouk2jrrUXwJdD/fu5j+Jn7EI77V/FkKHJjfK3KPQSQ+aApyosbFJIxx/DJw==" saltValue="ptBm3drJ33/6Z2i7GYcIqQ==" spinCount="100000" sheet="1" selectLockedCells="1"/>
  <mergeCells count="1216">
    <mergeCell ref="BJ349:BJ354"/>
    <mergeCell ref="BK349:BK354"/>
    <mergeCell ref="BL349:BL354"/>
    <mergeCell ref="BM349:BM354"/>
    <mergeCell ref="BJ355:BJ360"/>
    <mergeCell ref="BK355:BK360"/>
    <mergeCell ref="BL355:BL360"/>
    <mergeCell ref="BM355:BM360"/>
    <mergeCell ref="BJ361:BJ366"/>
    <mergeCell ref="BK361:BK366"/>
    <mergeCell ref="BL361:BL366"/>
    <mergeCell ref="BM361:BM366"/>
    <mergeCell ref="BJ331:BJ336"/>
    <mergeCell ref="BK331:BK336"/>
    <mergeCell ref="BL331:BL336"/>
    <mergeCell ref="BM331:BM336"/>
    <mergeCell ref="BJ337:BJ342"/>
    <mergeCell ref="BK337:BK342"/>
    <mergeCell ref="BL337:BL342"/>
    <mergeCell ref="BM337:BM342"/>
    <mergeCell ref="BJ343:BJ348"/>
    <mergeCell ref="BK343:BK348"/>
    <mergeCell ref="BL343:BL348"/>
    <mergeCell ref="BM343:BM348"/>
    <mergeCell ref="BJ313:BJ318"/>
    <mergeCell ref="BK313:BK318"/>
    <mergeCell ref="BL313:BL318"/>
    <mergeCell ref="BM313:BM318"/>
    <mergeCell ref="BJ319:BJ324"/>
    <mergeCell ref="BK319:BK324"/>
    <mergeCell ref="BL319:BL324"/>
    <mergeCell ref="BM319:BM324"/>
    <mergeCell ref="BJ325:BJ330"/>
    <mergeCell ref="BK325:BK330"/>
    <mergeCell ref="BL325:BL330"/>
    <mergeCell ref="BM325:BM330"/>
    <mergeCell ref="BJ295:BJ300"/>
    <mergeCell ref="BK295:BK300"/>
    <mergeCell ref="BL295:BL300"/>
    <mergeCell ref="BM295:BM300"/>
    <mergeCell ref="BJ301:BJ306"/>
    <mergeCell ref="BK301:BK306"/>
    <mergeCell ref="BL301:BL306"/>
    <mergeCell ref="BM301:BM306"/>
    <mergeCell ref="BJ307:BJ312"/>
    <mergeCell ref="BK307:BK312"/>
    <mergeCell ref="BL307:BL312"/>
    <mergeCell ref="BM307:BM312"/>
    <mergeCell ref="BJ277:BJ282"/>
    <mergeCell ref="BK277:BK282"/>
    <mergeCell ref="BL277:BL282"/>
    <mergeCell ref="BM277:BM282"/>
    <mergeCell ref="BJ283:BJ288"/>
    <mergeCell ref="BK283:BK288"/>
    <mergeCell ref="BL283:BL288"/>
    <mergeCell ref="BM283:BM288"/>
    <mergeCell ref="BJ289:BJ294"/>
    <mergeCell ref="BK289:BK294"/>
    <mergeCell ref="BL289:BL294"/>
    <mergeCell ref="BM289:BM294"/>
    <mergeCell ref="BJ259:BJ264"/>
    <mergeCell ref="BK259:BK264"/>
    <mergeCell ref="BL259:BL264"/>
    <mergeCell ref="BM259:BM264"/>
    <mergeCell ref="BJ265:BJ270"/>
    <mergeCell ref="BK265:BK270"/>
    <mergeCell ref="BL265:BL270"/>
    <mergeCell ref="BM265:BM270"/>
    <mergeCell ref="BJ271:BJ276"/>
    <mergeCell ref="BK271:BK276"/>
    <mergeCell ref="BL271:BL276"/>
    <mergeCell ref="BM271:BM276"/>
    <mergeCell ref="BJ241:BJ246"/>
    <mergeCell ref="BK241:BK246"/>
    <mergeCell ref="BL241:BL246"/>
    <mergeCell ref="BM241:BM246"/>
    <mergeCell ref="BJ247:BJ252"/>
    <mergeCell ref="BK247:BK252"/>
    <mergeCell ref="BL247:BL252"/>
    <mergeCell ref="BM247:BM252"/>
    <mergeCell ref="BJ253:BJ258"/>
    <mergeCell ref="BK253:BK258"/>
    <mergeCell ref="BL253:BL258"/>
    <mergeCell ref="BM253:BM258"/>
    <mergeCell ref="BJ223:BJ228"/>
    <mergeCell ref="BK223:BK228"/>
    <mergeCell ref="BL223:BL228"/>
    <mergeCell ref="BM223:BM228"/>
    <mergeCell ref="BJ229:BJ234"/>
    <mergeCell ref="BK229:BK234"/>
    <mergeCell ref="BL229:BL234"/>
    <mergeCell ref="BM229:BM234"/>
    <mergeCell ref="BJ235:BJ240"/>
    <mergeCell ref="BK235:BK240"/>
    <mergeCell ref="BL235:BL240"/>
    <mergeCell ref="BM235:BM240"/>
    <mergeCell ref="BJ205:BJ210"/>
    <mergeCell ref="BK205:BK210"/>
    <mergeCell ref="BL205:BL210"/>
    <mergeCell ref="BM205:BM210"/>
    <mergeCell ref="BJ211:BJ216"/>
    <mergeCell ref="BK211:BK216"/>
    <mergeCell ref="BL211:BL216"/>
    <mergeCell ref="BM211:BM216"/>
    <mergeCell ref="BJ217:BJ222"/>
    <mergeCell ref="BK217:BK222"/>
    <mergeCell ref="BL217:BL222"/>
    <mergeCell ref="BM217:BM222"/>
    <mergeCell ref="BJ187:BJ192"/>
    <mergeCell ref="BK187:BK192"/>
    <mergeCell ref="BL187:BL192"/>
    <mergeCell ref="BM187:BM192"/>
    <mergeCell ref="BJ193:BJ198"/>
    <mergeCell ref="BK193:BK198"/>
    <mergeCell ref="BL193:BL198"/>
    <mergeCell ref="BM193:BM198"/>
    <mergeCell ref="BJ199:BJ204"/>
    <mergeCell ref="BK199:BK204"/>
    <mergeCell ref="BL199:BL204"/>
    <mergeCell ref="BM199:BM204"/>
    <mergeCell ref="BJ169:BJ174"/>
    <mergeCell ref="BK169:BK174"/>
    <mergeCell ref="BL169:BL174"/>
    <mergeCell ref="BM169:BM174"/>
    <mergeCell ref="BJ175:BJ180"/>
    <mergeCell ref="BK175:BK180"/>
    <mergeCell ref="BL175:BL180"/>
    <mergeCell ref="BM175:BM180"/>
    <mergeCell ref="BJ181:BJ186"/>
    <mergeCell ref="BK181:BK186"/>
    <mergeCell ref="BL181:BL186"/>
    <mergeCell ref="BM181:BM186"/>
    <mergeCell ref="BJ151:BJ156"/>
    <mergeCell ref="BK151:BK156"/>
    <mergeCell ref="BL151:BL156"/>
    <mergeCell ref="BM151:BM156"/>
    <mergeCell ref="BJ157:BJ162"/>
    <mergeCell ref="BK157:BK162"/>
    <mergeCell ref="BL157:BL162"/>
    <mergeCell ref="BM157:BM162"/>
    <mergeCell ref="BJ163:BJ168"/>
    <mergeCell ref="BK163:BK168"/>
    <mergeCell ref="BL163:BL168"/>
    <mergeCell ref="BM163:BM168"/>
    <mergeCell ref="BJ133:BJ138"/>
    <mergeCell ref="BK133:BK138"/>
    <mergeCell ref="BL133:BL138"/>
    <mergeCell ref="BM133:BM138"/>
    <mergeCell ref="BJ139:BJ144"/>
    <mergeCell ref="BK139:BK144"/>
    <mergeCell ref="BL139:BL144"/>
    <mergeCell ref="BM139:BM144"/>
    <mergeCell ref="BJ145:BJ150"/>
    <mergeCell ref="BK145:BK150"/>
    <mergeCell ref="BL145:BL150"/>
    <mergeCell ref="BM145:BM150"/>
    <mergeCell ref="BJ115:BJ120"/>
    <mergeCell ref="BK115:BK120"/>
    <mergeCell ref="BL115:BL120"/>
    <mergeCell ref="BM115:BM120"/>
    <mergeCell ref="BJ121:BJ126"/>
    <mergeCell ref="BK121:BK126"/>
    <mergeCell ref="BL121:BL126"/>
    <mergeCell ref="BM121:BM126"/>
    <mergeCell ref="BJ127:BJ132"/>
    <mergeCell ref="BK127:BK132"/>
    <mergeCell ref="BL127:BL132"/>
    <mergeCell ref="BM127:BM132"/>
    <mergeCell ref="BJ97:BJ102"/>
    <mergeCell ref="BK97:BK102"/>
    <mergeCell ref="BL97:BL102"/>
    <mergeCell ref="BM97:BM102"/>
    <mergeCell ref="BJ103:BJ108"/>
    <mergeCell ref="BK103:BK108"/>
    <mergeCell ref="BL103:BL108"/>
    <mergeCell ref="BM103:BM108"/>
    <mergeCell ref="BJ109:BJ114"/>
    <mergeCell ref="BK109:BK114"/>
    <mergeCell ref="BL109:BL114"/>
    <mergeCell ref="BM109:BM114"/>
    <mergeCell ref="BJ79:BJ84"/>
    <mergeCell ref="BK79:BK84"/>
    <mergeCell ref="BL79:BL84"/>
    <mergeCell ref="BM79:BM84"/>
    <mergeCell ref="BJ85:BJ90"/>
    <mergeCell ref="BK85:BK90"/>
    <mergeCell ref="BL85:BL90"/>
    <mergeCell ref="BM85:BM90"/>
    <mergeCell ref="BJ91:BJ96"/>
    <mergeCell ref="BK91:BK96"/>
    <mergeCell ref="BL91:BL96"/>
    <mergeCell ref="BM91:BM96"/>
    <mergeCell ref="BJ61:BJ66"/>
    <mergeCell ref="BK61:BK66"/>
    <mergeCell ref="BL61:BL66"/>
    <mergeCell ref="BM61:BM66"/>
    <mergeCell ref="BJ67:BJ72"/>
    <mergeCell ref="BK67:BK72"/>
    <mergeCell ref="BL67:BL72"/>
    <mergeCell ref="BM67:BM72"/>
    <mergeCell ref="BJ73:BJ78"/>
    <mergeCell ref="BK73:BK78"/>
    <mergeCell ref="BL73:BL78"/>
    <mergeCell ref="BM73:BM78"/>
    <mergeCell ref="BJ43:BJ48"/>
    <mergeCell ref="BK43:BK48"/>
    <mergeCell ref="BL43:BL48"/>
    <mergeCell ref="BM43:BM48"/>
    <mergeCell ref="BJ49:BJ54"/>
    <mergeCell ref="BK49:BK54"/>
    <mergeCell ref="BL49:BL54"/>
    <mergeCell ref="BM49:BM54"/>
    <mergeCell ref="BJ55:BJ60"/>
    <mergeCell ref="BK55:BK60"/>
    <mergeCell ref="BL55:BL60"/>
    <mergeCell ref="BM55:BM60"/>
    <mergeCell ref="BJ25:BJ30"/>
    <mergeCell ref="BK25:BK30"/>
    <mergeCell ref="BL25:BL30"/>
    <mergeCell ref="BM25:BM30"/>
    <mergeCell ref="BJ31:BJ36"/>
    <mergeCell ref="BK31:BK36"/>
    <mergeCell ref="BL31:BL36"/>
    <mergeCell ref="BM31:BM36"/>
    <mergeCell ref="BJ37:BJ42"/>
    <mergeCell ref="BK37:BK42"/>
    <mergeCell ref="BL37:BL42"/>
    <mergeCell ref="BM37:BM42"/>
    <mergeCell ref="BJ7:BJ12"/>
    <mergeCell ref="BK7:BK12"/>
    <mergeCell ref="BL7:BL12"/>
    <mergeCell ref="BM7:BM12"/>
    <mergeCell ref="BJ13:BJ18"/>
    <mergeCell ref="BK13:BK18"/>
    <mergeCell ref="BL13:BL18"/>
    <mergeCell ref="BM13:BM18"/>
    <mergeCell ref="BJ19:BJ24"/>
    <mergeCell ref="BK19:BK24"/>
    <mergeCell ref="BL19:BL24"/>
    <mergeCell ref="BM19:BM24"/>
    <mergeCell ref="R199:R204"/>
    <mergeCell ref="R205:R210"/>
    <mergeCell ref="R211:R216"/>
    <mergeCell ref="R217:R222"/>
    <mergeCell ref="R223:R228"/>
    <mergeCell ref="R229:R234"/>
    <mergeCell ref="R109:R114"/>
    <mergeCell ref="R115:R120"/>
    <mergeCell ref="R121:R126"/>
    <mergeCell ref="R127:R132"/>
    <mergeCell ref="R133:R138"/>
    <mergeCell ref="R139:R144"/>
    <mergeCell ref="R145:R150"/>
    <mergeCell ref="R151:R156"/>
    <mergeCell ref="R157:R162"/>
    <mergeCell ref="R295:R300"/>
    <mergeCell ref="R301:R306"/>
    <mergeCell ref="R241:R246"/>
    <mergeCell ref="R247:R252"/>
    <mergeCell ref="R253:R258"/>
    <mergeCell ref="R259:R264"/>
    <mergeCell ref="R265:R270"/>
    <mergeCell ref="R271:R276"/>
    <mergeCell ref="R277:R282"/>
    <mergeCell ref="R283:R288"/>
    <mergeCell ref="R289:R294"/>
    <mergeCell ref="R79:R84"/>
    <mergeCell ref="R85:R90"/>
    <mergeCell ref="R91:R96"/>
    <mergeCell ref="R97:R102"/>
    <mergeCell ref="R103:R108"/>
    <mergeCell ref="R4:R5"/>
    <mergeCell ref="R7:R12"/>
    <mergeCell ref="R13:R18"/>
    <mergeCell ref="R19:R24"/>
    <mergeCell ref="R25:R30"/>
    <mergeCell ref="R31:R36"/>
    <mergeCell ref="R37:R42"/>
    <mergeCell ref="R43:R48"/>
    <mergeCell ref="R49:R54"/>
    <mergeCell ref="R181:R186"/>
    <mergeCell ref="R187:R192"/>
    <mergeCell ref="R193:R198"/>
    <mergeCell ref="BH361:BH366"/>
    <mergeCell ref="BI361:BI366"/>
    <mergeCell ref="BI355:BI360"/>
    <mergeCell ref="Q355:Q360"/>
    <mergeCell ref="BA355:BA360"/>
    <mergeCell ref="BB355:BB360"/>
    <mergeCell ref="BG355:BG360"/>
    <mergeCell ref="BH355:BH360"/>
    <mergeCell ref="R355:R360"/>
    <mergeCell ref="R361:R366"/>
    <mergeCell ref="A361:A366"/>
    <mergeCell ref="B361:B366"/>
    <mergeCell ref="C361:C366"/>
    <mergeCell ref="G361:G366"/>
    <mergeCell ref="M361:M366"/>
    <mergeCell ref="N361:N366"/>
    <mergeCell ref="O361:O366"/>
    <mergeCell ref="P361:P366"/>
    <mergeCell ref="P355:P360"/>
    <mergeCell ref="A355:A360"/>
    <mergeCell ref="B355:B360"/>
    <mergeCell ref="C355:C360"/>
    <mergeCell ref="G355:G360"/>
    <mergeCell ref="M355:M360"/>
    <mergeCell ref="N355:N360"/>
    <mergeCell ref="O355:O360"/>
    <mergeCell ref="F355:F360"/>
    <mergeCell ref="F361:F366"/>
    <mergeCell ref="P349:P354"/>
    <mergeCell ref="Q349:Q354"/>
    <mergeCell ref="BA349:BA354"/>
    <mergeCell ref="BB349:BB354"/>
    <mergeCell ref="BG349:BG354"/>
    <mergeCell ref="A349:A354"/>
    <mergeCell ref="B349:B354"/>
    <mergeCell ref="C349:C354"/>
    <mergeCell ref="G349:G354"/>
    <mergeCell ref="M349:M354"/>
    <mergeCell ref="N349:N354"/>
    <mergeCell ref="R349:R354"/>
    <mergeCell ref="N343:N348"/>
    <mergeCell ref="O343:O348"/>
    <mergeCell ref="P343:P348"/>
    <mergeCell ref="Q343:Q348"/>
    <mergeCell ref="Q361:Q366"/>
    <mergeCell ref="BA361:BA366"/>
    <mergeCell ref="BB361:BB366"/>
    <mergeCell ref="BG361:BG366"/>
    <mergeCell ref="Q337:Q342"/>
    <mergeCell ref="BA337:BA342"/>
    <mergeCell ref="BB337:BB342"/>
    <mergeCell ref="BG337:BG342"/>
    <mergeCell ref="BH337:BH342"/>
    <mergeCell ref="BI337:BI342"/>
    <mergeCell ref="A337:A342"/>
    <mergeCell ref="B337:B342"/>
    <mergeCell ref="C337:C342"/>
    <mergeCell ref="G337:G342"/>
    <mergeCell ref="M337:M342"/>
    <mergeCell ref="N337:N342"/>
    <mergeCell ref="BI349:BI354"/>
    <mergeCell ref="BH349:BH354"/>
    <mergeCell ref="R337:R342"/>
    <mergeCell ref="R343:R348"/>
    <mergeCell ref="BA343:BA348"/>
    <mergeCell ref="BB343:BB348"/>
    <mergeCell ref="BG343:BG348"/>
    <mergeCell ref="BH343:BH348"/>
    <mergeCell ref="BI343:BI348"/>
    <mergeCell ref="O337:O342"/>
    <mergeCell ref="P337:P342"/>
    <mergeCell ref="A343:A348"/>
    <mergeCell ref="B343:B348"/>
    <mergeCell ref="C343:C348"/>
    <mergeCell ref="G343:G348"/>
    <mergeCell ref="M343:M348"/>
    <mergeCell ref="F337:F342"/>
    <mergeCell ref="F343:F348"/>
    <mergeCell ref="F349:F354"/>
    <mergeCell ref="O349:O354"/>
    <mergeCell ref="A331:A336"/>
    <mergeCell ref="B331:B336"/>
    <mergeCell ref="C331:C336"/>
    <mergeCell ref="G331:G336"/>
    <mergeCell ref="M331:M336"/>
    <mergeCell ref="N331:N336"/>
    <mergeCell ref="O331:O336"/>
    <mergeCell ref="O325:O330"/>
    <mergeCell ref="P325:P330"/>
    <mergeCell ref="Q325:Q330"/>
    <mergeCell ref="BA325:BA330"/>
    <mergeCell ref="BB325:BB330"/>
    <mergeCell ref="BG325:BG330"/>
    <mergeCell ref="A325:A330"/>
    <mergeCell ref="B325:B330"/>
    <mergeCell ref="C325:C330"/>
    <mergeCell ref="G325:G330"/>
    <mergeCell ref="A319:A324"/>
    <mergeCell ref="B319:B324"/>
    <mergeCell ref="C319:C324"/>
    <mergeCell ref="G319:G324"/>
    <mergeCell ref="M319:M324"/>
    <mergeCell ref="N319:N324"/>
    <mergeCell ref="O319:O324"/>
    <mergeCell ref="P319:P324"/>
    <mergeCell ref="Q319:Q324"/>
    <mergeCell ref="Q313:Q318"/>
    <mergeCell ref="BA313:BA318"/>
    <mergeCell ref="BB313:BB318"/>
    <mergeCell ref="BG313:BG318"/>
    <mergeCell ref="BH313:BH318"/>
    <mergeCell ref="BI313:BI318"/>
    <mergeCell ref="A313:A318"/>
    <mergeCell ref="B313:B318"/>
    <mergeCell ref="R313:R318"/>
    <mergeCell ref="R319:R324"/>
    <mergeCell ref="BA319:BA324"/>
    <mergeCell ref="BB319:BB324"/>
    <mergeCell ref="BG319:BG324"/>
    <mergeCell ref="BH319:BH324"/>
    <mergeCell ref="BI307:BI312"/>
    <mergeCell ref="C313:C318"/>
    <mergeCell ref="G313:G318"/>
    <mergeCell ref="M313:M318"/>
    <mergeCell ref="N313:N318"/>
    <mergeCell ref="O313:O318"/>
    <mergeCell ref="P313:P318"/>
    <mergeCell ref="P307:P312"/>
    <mergeCell ref="F307:F312"/>
    <mergeCell ref="M325:M330"/>
    <mergeCell ref="N325:N330"/>
    <mergeCell ref="BI331:BI336"/>
    <mergeCell ref="BI319:BI324"/>
    <mergeCell ref="Q331:Q336"/>
    <mergeCell ref="BA331:BA336"/>
    <mergeCell ref="BB331:BB336"/>
    <mergeCell ref="BG331:BG336"/>
    <mergeCell ref="BH331:BH336"/>
    <mergeCell ref="R307:R312"/>
    <mergeCell ref="R325:R330"/>
    <mergeCell ref="R331:R336"/>
    <mergeCell ref="F319:F324"/>
    <mergeCell ref="F325:F330"/>
    <mergeCell ref="F331:F336"/>
    <mergeCell ref="P331:P336"/>
    <mergeCell ref="BH325:BH330"/>
    <mergeCell ref="BI325:BI330"/>
    <mergeCell ref="Q301:Q306"/>
    <mergeCell ref="BA301:BA306"/>
    <mergeCell ref="BB301:BB306"/>
    <mergeCell ref="BG301:BG306"/>
    <mergeCell ref="BA295:BA300"/>
    <mergeCell ref="BB295:BB300"/>
    <mergeCell ref="BG295:BG300"/>
    <mergeCell ref="BH295:BH300"/>
    <mergeCell ref="BI295:BI300"/>
    <mergeCell ref="A307:A312"/>
    <mergeCell ref="B307:B312"/>
    <mergeCell ref="C307:C312"/>
    <mergeCell ref="G307:G312"/>
    <mergeCell ref="M307:M312"/>
    <mergeCell ref="N307:N312"/>
    <mergeCell ref="O307:O312"/>
    <mergeCell ref="O301:O306"/>
    <mergeCell ref="P301:P306"/>
    <mergeCell ref="A301:A306"/>
    <mergeCell ref="B301:B306"/>
    <mergeCell ref="C301:C306"/>
    <mergeCell ref="G301:G306"/>
    <mergeCell ref="M301:M306"/>
    <mergeCell ref="N301:N306"/>
    <mergeCell ref="F301:F306"/>
    <mergeCell ref="BH301:BH306"/>
    <mergeCell ref="BI301:BI306"/>
    <mergeCell ref="Q307:Q312"/>
    <mergeCell ref="BA307:BA312"/>
    <mergeCell ref="BB307:BB312"/>
    <mergeCell ref="BG307:BG312"/>
    <mergeCell ref="BH307:BH312"/>
    <mergeCell ref="A295:A300"/>
    <mergeCell ref="B295:B300"/>
    <mergeCell ref="C295:C300"/>
    <mergeCell ref="G295:G300"/>
    <mergeCell ref="M295:M300"/>
    <mergeCell ref="N295:N300"/>
    <mergeCell ref="O295:O300"/>
    <mergeCell ref="P295:P300"/>
    <mergeCell ref="Q295:Q300"/>
    <mergeCell ref="F295:F300"/>
    <mergeCell ref="Q289:Q294"/>
    <mergeCell ref="BA289:BA294"/>
    <mergeCell ref="BB289:BB294"/>
    <mergeCell ref="BG289:BG294"/>
    <mergeCell ref="BH289:BH294"/>
    <mergeCell ref="BI289:BI294"/>
    <mergeCell ref="A289:A294"/>
    <mergeCell ref="B289:B294"/>
    <mergeCell ref="C289:C294"/>
    <mergeCell ref="G289:G294"/>
    <mergeCell ref="M289:M294"/>
    <mergeCell ref="N289:N294"/>
    <mergeCell ref="F289:F294"/>
    <mergeCell ref="O289:O294"/>
    <mergeCell ref="P289:P294"/>
    <mergeCell ref="A283:A288"/>
    <mergeCell ref="B283:B288"/>
    <mergeCell ref="C283:C288"/>
    <mergeCell ref="G283:G288"/>
    <mergeCell ref="M283:M288"/>
    <mergeCell ref="N283:N288"/>
    <mergeCell ref="O283:O288"/>
    <mergeCell ref="O277:O282"/>
    <mergeCell ref="P277:P282"/>
    <mergeCell ref="A271:A276"/>
    <mergeCell ref="B271:B276"/>
    <mergeCell ref="C271:C276"/>
    <mergeCell ref="G271:G276"/>
    <mergeCell ref="M271:M276"/>
    <mergeCell ref="N271:N276"/>
    <mergeCell ref="O271:O276"/>
    <mergeCell ref="P271:P276"/>
    <mergeCell ref="N277:N282"/>
    <mergeCell ref="A277:A282"/>
    <mergeCell ref="B277:B282"/>
    <mergeCell ref="C277:C282"/>
    <mergeCell ref="G277:G282"/>
    <mergeCell ref="M277:M282"/>
    <mergeCell ref="BI271:BI276"/>
    <mergeCell ref="BH283:BH288"/>
    <mergeCell ref="G265:G270"/>
    <mergeCell ref="M265:M270"/>
    <mergeCell ref="N265:N270"/>
    <mergeCell ref="O265:O270"/>
    <mergeCell ref="P265:P270"/>
    <mergeCell ref="Q277:Q282"/>
    <mergeCell ref="BA277:BA282"/>
    <mergeCell ref="BB277:BB282"/>
    <mergeCell ref="BG277:BG282"/>
    <mergeCell ref="Q283:Q288"/>
    <mergeCell ref="BA283:BA288"/>
    <mergeCell ref="BB283:BB288"/>
    <mergeCell ref="BG283:BG288"/>
    <mergeCell ref="F277:F282"/>
    <mergeCell ref="F283:F288"/>
    <mergeCell ref="BG265:BG270"/>
    <mergeCell ref="BH265:BH270"/>
    <mergeCell ref="BI265:BI270"/>
    <mergeCell ref="P283:P288"/>
    <mergeCell ref="BH277:BH282"/>
    <mergeCell ref="BI277:BI282"/>
    <mergeCell ref="Q271:Q276"/>
    <mergeCell ref="BA271:BA276"/>
    <mergeCell ref="BB271:BB276"/>
    <mergeCell ref="BG271:BG276"/>
    <mergeCell ref="BH271:BH276"/>
    <mergeCell ref="BI283:BI288"/>
    <mergeCell ref="A265:A270"/>
    <mergeCell ref="B265:B270"/>
    <mergeCell ref="C265:C270"/>
    <mergeCell ref="BH253:BH258"/>
    <mergeCell ref="BI253:BI258"/>
    <mergeCell ref="Q253:Q258"/>
    <mergeCell ref="BA253:BA258"/>
    <mergeCell ref="BB253:BB258"/>
    <mergeCell ref="BG253:BG258"/>
    <mergeCell ref="BI259:BI264"/>
    <mergeCell ref="Q259:Q264"/>
    <mergeCell ref="BA259:BA264"/>
    <mergeCell ref="BB259:BB264"/>
    <mergeCell ref="BG259:BG264"/>
    <mergeCell ref="BH259:BH264"/>
    <mergeCell ref="Q265:Q270"/>
    <mergeCell ref="BA265:BA270"/>
    <mergeCell ref="BB265:BB270"/>
    <mergeCell ref="O259:O264"/>
    <mergeCell ref="O253:O258"/>
    <mergeCell ref="P253:P258"/>
    <mergeCell ref="A253:A258"/>
    <mergeCell ref="B253:B258"/>
    <mergeCell ref="C253:C258"/>
    <mergeCell ref="G253:G258"/>
    <mergeCell ref="M253:M258"/>
    <mergeCell ref="N253:N258"/>
    <mergeCell ref="A259:A264"/>
    <mergeCell ref="B259:B264"/>
    <mergeCell ref="C259:C264"/>
    <mergeCell ref="G259:G264"/>
    <mergeCell ref="M259:M264"/>
    <mergeCell ref="N259:N264"/>
    <mergeCell ref="BA247:BA252"/>
    <mergeCell ref="BA235:BA240"/>
    <mergeCell ref="P259:P264"/>
    <mergeCell ref="BB235:BB240"/>
    <mergeCell ref="BG235:BG240"/>
    <mergeCell ref="BH235:BH240"/>
    <mergeCell ref="R235:R240"/>
    <mergeCell ref="BB247:BB252"/>
    <mergeCell ref="BG247:BG252"/>
    <mergeCell ref="BH247:BH252"/>
    <mergeCell ref="F253:F258"/>
    <mergeCell ref="BI247:BI252"/>
    <mergeCell ref="A247:A252"/>
    <mergeCell ref="B247:B252"/>
    <mergeCell ref="C247:C252"/>
    <mergeCell ref="G247:G252"/>
    <mergeCell ref="M247:M252"/>
    <mergeCell ref="N247:N252"/>
    <mergeCell ref="O247:O252"/>
    <mergeCell ref="P247:P252"/>
    <mergeCell ref="Q247:Q252"/>
    <mergeCell ref="Q241:Q246"/>
    <mergeCell ref="BA241:BA246"/>
    <mergeCell ref="BB241:BB246"/>
    <mergeCell ref="BG241:BG246"/>
    <mergeCell ref="BH241:BH246"/>
    <mergeCell ref="BI241:BI246"/>
    <mergeCell ref="A241:A246"/>
    <mergeCell ref="B241:B246"/>
    <mergeCell ref="N241:N246"/>
    <mergeCell ref="O241:O246"/>
    <mergeCell ref="P241:P246"/>
    <mergeCell ref="C241:C246"/>
    <mergeCell ref="G241:G246"/>
    <mergeCell ref="M241:M246"/>
    <mergeCell ref="BH223:BH228"/>
    <mergeCell ref="C217:C222"/>
    <mergeCell ref="G217:G222"/>
    <mergeCell ref="BI223:BI228"/>
    <mergeCell ref="M217:M222"/>
    <mergeCell ref="N217:N222"/>
    <mergeCell ref="O217:O222"/>
    <mergeCell ref="P217:P222"/>
    <mergeCell ref="P235:P240"/>
    <mergeCell ref="BH229:BH234"/>
    <mergeCell ref="BI229:BI234"/>
    <mergeCell ref="A235:A240"/>
    <mergeCell ref="B235:B240"/>
    <mergeCell ref="C235:C240"/>
    <mergeCell ref="G235:G240"/>
    <mergeCell ref="M235:M240"/>
    <mergeCell ref="N235:N240"/>
    <mergeCell ref="O235:O240"/>
    <mergeCell ref="O229:O234"/>
    <mergeCell ref="P229:P234"/>
    <mergeCell ref="Q229:Q234"/>
    <mergeCell ref="BA229:BA234"/>
    <mergeCell ref="BB229:BB234"/>
    <mergeCell ref="BG229:BG234"/>
    <mergeCell ref="A229:A234"/>
    <mergeCell ref="B229:B234"/>
    <mergeCell ref="C229:C234"/>
    <mergeCell ref="G229:G234"/>
    <mergeCell ref="M229:M234"/>
    <mergeCell ref="N229:N234"/>
    <mergeCell ref="BI235:BI240"/>
    <mergeCell ref="Q235:Q240"/>
    <mergeCell ref="P205:P210"/>
    <mergeCell ref="Q205:Q210"/>
    <mergeCell ref="BA205:BA210"/>
    <mergeCell ref="BB205:BB210"/>
    <mergeCell ref="BG205:BG210"/>
    <mergeCell ref="A205:A210"/>
    <mergeCell ref="B205:B210"/>
    <mergeCell ref="C205:C210"/>
    <mergeCell ref="G205:G210"/>
    <mergeCell ref="M205:M210"/>
    <mergeCell ref="N205:N210"/>
    <mergeCell ref="BI211:BI216"/>
    <mergeCell ref="A223:A228"/>
    <mergeCell ref="B223:B228"/>
    <mergeCell ref="C223:C228"/>
    <mergeCell ref="G223:G228"/>
    <mergeCell ref="M223:M228"/>
    <mergeCell ref="N223:N228"/>
    <mergeCell ref="O223:O228"/>
    <mergeCell ref="P223:P228"/>
    <mergeCell ref="Q223:Q228"/>
    <mergeCell ref="Q217:Q222"/>
    <mergeCell ref="BA217:BA222"/>
    <mergeCell ref="BB217:BB222"/>
    <mergeCell ref="BG217:BG222"/>
    <mergeCell ref="BH217:BH222"/>
    <mergeCell ref="BI217:BI222"/>
    <mergeCell ref="A217:A222"/>
    <mergeCell ref="B217:B222"/>
    <mergeCell ref="BA223:BA228"/>
    <mergeCell ref="BB223:BB228"/>
    <mergeCell ref="BG223:BG228"/>
    <mergeCell ref="N199:N204"/>
    <mergeCell ref="O199:O204"/>
    <mergeCell ref="P199:P204"/>
    <mergeCell ref="Q199:Q204"/>
    <mergeCell ref="Q193:Q198"/>
    <mergeCell ref="BA193:BA198"/>
    <mergeCell ref="BB193:BB198"/>
    <mergeCell ref="BG193:BG198"/>
    <mergeCell ref="BH193:BH198"/>
    <mergeCell ref="BI193:BI198"/>
    <mergeCell ref="A193:A198"/>
    <mergeCell ref="B193:B198"/>
    <mergeCell ref="C193:C198"/>
    <mergeCell ref="G193:G198"/>
    <mergeCell ref="M193:M198"/>
    <mergeCell ref="N193:N198"/>
    <mergeCell ref="P211:P216"/>
    <mergeCell ref="BH205:BH210"/>
    <mergeCell ref="BI205:BI210"/>
    <mergeCell ref="Q211:Q216"/>
    <mergeCell ref="BA211:BA216"/>
    <mergeCell ref="BB211:BB216"/>
    <mergeCell ref="BG211:BG216"/>
    <mergeCell ref="BH211:BH216"/>
    <mergeCell ref="A211:A216"/>
    <mergeCell ref="B211:B216"/>
    <mergeCell ref="C211:C216"/>
    <mergeCell ref="G211:G216"/>
    <mergeCell ref="M211:M216"/>
    <mergeCell ref="N211:N216"/>
    <mergeCell ref="O211:O216"/>
    <mergeCell ref="O205:O210"/>
    <mergeCell ref="BA199:BA204"/>
    <mergeCell ref="BB199:BB204"/>
    <mergeCell ref="BG199:BG204"/>
    <mergeCell ref="BH199:BH204"/>
    <mergeCell ref="BI199:BI204"/>
    <mergeCell ref="O193:O198"/>
    <mergeCell ref="P193:P198"/>
    <mergeCell ref="P187:P192"/>
    <mergeCell ref="BH181:BH186"/>
    <mergeCell ref="BI181:BI186"/>
    <mergeCell ref="A187:A192"/>
    <mergeCell ref="B187:B192"/>
    <mergeCell ref="C187:C192"/>
    <mergeCell ref="G187:G192"/>
    <mergeCell ref="M187:M192"/>
    <mergeCell ref="N187:N192"/>
    <mergeCell ref="O187:O192"/>
    <mergeCell ref="O181:O186"/>
    <mergeCell ref="P181:P186"/>
    <mergeCell ref="Q181:Q186"/>
    <mergeCell ref="BA181:BA186"/>
    <mergeCell ref="BB181:BB186"/>
    <mergeCell ref="BG181:BG186"/>
    <mergeCell ref="A181:A186"/>
    <mergeCell ref="B181:B186"/>
    <mergeCell ref="C181:C186"/>
    <mergeCell ref="G181:G186"/>
    <mergeCell ref="A199:A204"/>
    <mergeCell ref="B199:B204"/>
    <mergeCell ref="C199:C204"/>
    <mergeCell ref="G199:G204"/>
    <mergeCell ref="M199:M204"/>
    <mergeCell ref="M181:M186"/>
    <mergeCell ref="N181:N186"/>
    <mergeCell ref="Q157:Q162"/>
    <mergeCell ref="BA157:BA162"/>
    <mergeCell ref="BB157:BB162"/>
    <mergeCell ref="BG157:BG162"/>
    <mergeCell ref="BI187:BI192"/>
    <mergeCell ref="BI175:BI180"/>
    <mergeCell ref="A175:A180"/>
    <mergeCell ref="B175:B180"/>
    <mergeCell ref="C175:C180"/>
    <mergeCell ref="G175:G180"/>
    <mergeCell ref="M175:M180"/>
    <mergeCell ref="N175:N180"/>
    <mergeCell ref="O175:O180"/>
    <mergeCell ref="P175:P180"/>
    <mergeCell ref="Q175:Q180"/>
    <mergeCell ref="Q169:Q174"/>
    <mergeCell ref="BA169:BA174"/>
    <mergeCell ref="BB169:BB174"/>
    <mergeCell ref="BG169:BG174"/>
    <mergeCell ref="BH169:BH174"/>
    <mergeCell ref="BI169:BI174"/>
    <mergeCell ref="A169:A174"/>
    <mergeCell ref="B169:B174"/>
    <mergeCell ref="Q187:Q192"/>
    <mergeCell ref="BA187:BA192"/>
    <mergeCell ref="BB187:BB192"/>
    <mergeCell ref="BG187:BG192"/>
    <mergeCell ref="BH187:BH192"/>
    <mergeCell ref="BA175:BA180"/>
    <mergeCell ref="BB175:BB180"/>
    <mergeCell ref="BI157:BI162"/>
    <mergeCell ref="Q163:Q168"/>
    <mergeCell ref="BA163:BA168"/>
    <mergeCell ref="BB163:BB168"/>
    <mergeCell ref="BG163:BG168"/>
    <mergeCell ref="BH163:BH168"/>
    <mergeCell ref="A151:A156"/>
    <mergeCell ref="B151:B156"/>
    <mergeCell ref="C151:C156"/>
    <mergeCell ref="G151:G156"/>
    <mergeCell ref="BI163:BI168"/>
    <mergeCell ref="R163:R168"/>
    <mergeCell ref="R169:R174"/>
    <mergeCell ref="R175:R180"/>
    <mergeCell ref="C169:C174"/>
    <mergeCell ref="G169:G174"/>
    <mergeCell ref="M169:M174"/>
    <mergeCell ref="N169:N174"/>
    <mergeCell ref="O169:O174"/>
    <mergeCell ref="P169:P174"/>
    <mergeCell ref="P163:P168"/>
    <mergeCell ref="F163:F168"/>
    <mergeCell ref="BG175:BG180"/>
    <mergeCell ref="BH175:BH180"/>
    <mergeCell ref="A163:A168"/>
    <mergeCell ref="B163:B168"/>
    <mergeCell ref="C163:C168"/>
    <mergeCell ref="G163:G168"/>
    <mergeCell ref="A145:A150"/>
    <mergeCell ref="B145:B150"/>
    <mergeCell ref="C145:C150"/>
    <mergeCell ref="G145:G150"/>
    <mergeCell ref="M145:M150"/>
    <mergeCell ref="N145:N150"/>
    <mergeCell ref="BA151:BA156"/>
    <mergeCell ref="BB151:BB156"/>
    <mergeCell ref="BG151:BG156"/>
    <mergeCell ref="BH151:BH156"/>
    <mergeCell ref="BI151:BI156"/>
    <mergeCell ref="F145:F150"/>
    <mergeCell ref="M163:M168"/>
    <mergeCell ref="N163:N168"/>
    <mergeCell ref="O163:O168"/>
    <mergeCell ref="O157:O162"/>
    <mergeCell ref="P157:P162"/>
    <mergeCell ref="A157:A162"/>
    <mergeCell ref="B157:B162"/>
    <mergeCell ref="C157:C162"/>
    <mergeCell ref="G157:G162"/>
    <mergeCell ref="M157:M162"/>
    <mergeCell ref="N157:N162"/>
    <mergeCell ref="F157:F162"/>
    <mergeCell ref="BH157:BH162"/>
    <mergeCell ref="M151:M156"/>
    <mergeCell ref="N151:N156"/>
    <mergeCell ref="O151:O156"/>
    <mergeCell ref="P151:P156"/>
    <mergeCell ref="Q151:Q156"/>
    <mergeCell ref="F151:F156"/>
    <mergeCell ref="O145:O150"/>
    <mergeCell ref="P145:P150"/>
    <mergeCell ref="P139:P144"/>
    <mergeCell ref="BH133:BH138"/>
    <mergeCell ref="BI133:BI138"/>
    <mergeCell ref="A139:A144"/>
    <mergeCell ref="B139:B144"/>
    <mergeCell ref="C139:C144"/>
    <mergeCell ref="G139:G144"/>
    <mergeCell ref="M139:M144"/>
    <mergeCell ref="N139:N144"/>
    <mergeCell ref="O139:O144"/>
    <mergeCell ref="O133:O138"/>
    <mergeCell ref="P133:P138"/>
    <mergeCell ref="A127:A132"/>
    <mergeCell ref="B127:B132"/>
    <mergeCell ref="C127:C132"/>
    <mergeCell ref="G127:G132"/>
    <mergeCell ref="M127:M132"/>
    <mergeCell ref="N127:N132"/>
    <mergeCell ref="O127:O132"/>
    <mergeCell ref="P127:P132"/>
    <mergeCell ref="Q127:Q132"/>
    <mergeCell ref="F127:F132"/>
    <mergeCell ref="BA127:BA132"/>
    <mergeCell ref="BB127:BB132"/>
    <mergeCell ref="Q145:Q150"/>
    <mergeCell ref="BA145:BA150"/>
    <mergeCell ref="BB145:BB150"/>
    <mergeCell ref="BG145:BG150"/>
    <mergeCell ref="BH145:BH150"/>
    <mergeCell ref="BI145:BI150"/>
    <mergeCell ref="A133:A138"/>
    <mergeCell ref="BI139:BI144"/>
    <mergeCell ref="BI127:BI132"/>
    <mergeCell ref="BH139:BH144"/>
    <mergeCell ref="G121:G126"/>
    <mergeCell ref="M121:M126"/>
    <mergeCell ref="N121:N126"/>
    <mergeCell ref="O121:O126"/>
    <mergeCell ref="P121:P126"/>
    <mergeCell ref="Q139:Q144"/>
    <mergeCell ref="BA139:BA144"/>
    <mergeCell ref="BB139:BB144"/>
    <mergeCell ref="BG139:BG144"/>
    <mergeCell ref="F133:F138"/>
    <mergeCell ref="F139:F144"/>
    <mergeCell ref="BG121:BG126"/>
    <mergeCell ref="BH121:BH126"/>
    <mergeCell ref="BI121:BI126"/>
    <mergeCell ref="Q133:Q138"/>
    <mergeCell ref="BH109:BH114"/>
    <mergeCell ref="BI109:BI114"/>
    <mergeCell ref="Q109:Q114"/>
    <mergeCell ref="BA109:BA114"/>
    <mergeCell ref="BB109:BB114"/>
    <mergeCell ref="BG109:BG114"/>
    <mergeCell ref="BI115:BI120"/>
    <mergeCell ref="Q115:Q120"/>
    <mergeCell ref="BA115:BA120"/>
    <mergeCell ref="BB115:BB120"/>
    <mergeCell ref="BG115:BG120"/>
    <mergeCell ref="BH115:BH120"/>
    <mergeCell ref="Q121:Q126"/>
    <mergeCell ref="BA121:BA126"/>
    <mergeCell ref="BB121:BB126"/>
    <mergeCell ref="B133:B138"/>
    <mergeCell ref="C133:C138"/>
    <mergeCell ref="G133:G138"/>
    <mergeCell ref="M133:M138"/>
    <mergeCell ref="BA133:BA138"/>
    <mergeCell ref="BB133:BB138"/>
    <mergeCell ref="BG133:BG138"/>
    <mergeCell ref="BH127:BH132"/>
    <mergeCell ref="N133:N138"/>
    <mergeCell ref="P97:P102"/>
    <mergeCell ref="BG127:BG132"/>
    <mergeCell ref="O115:O120"/>
    <mergeCell ref="O109:O114"/>
    <mergeCell ref="P109:P114"/>
    <mergeCell ref="A109:A114"/>
    <mergeCell ref="B109:B114"/>
    <mergeCell ref="C109:C114"/>
    <mergeCell ref="G109:G114"/>
    <mergeCell ref="M109:M114"/>
    <mergeCell ref="N109:N114"/>
    <mergeCell ref="C97:C102"/>
    <mergeCell ref="G97:G102"/>
    <mergeCell ref="M97:M102"/>
    <mergeCell ref="A115:A120"/>
    <mergeCell ref="B115:B120"/>
    <mergeCell ref="C115:C120"/>
    <mergeCell ref="G115:G120"/>
    <mergeCell ref="M115:M120"/>
    <mergeCell ref="N115:N120"/>
    <mergeCell ref="F115:F120"/>
    <mergeCell ref="P115:P120"/>
    <mergeCell ref="A121:A126"/>
    <mergeCell ref="B121:B126"/>
    <mergeCell ref="C121:C126"/>
    <mergeCell ref="P85:P90"/>
    <mergeCell ref="Q85:Q90"/>
    <mergeCell ref="BA85:BA90"/>
    <mergeCell ref="BB85:BB90"/>
    <mergeCell ref="BG85:BG90"/>
    <mergeCell ref="A85:A90"/>
    <mergeCell ref="B85:B90"/>
    <mergeCell ref="C85:C90"/>
    <mergeCell ref="G85:G90"/>
    <mergeCell ref="BA103:BA108"/>
    <mergeCell ref="BB103:BB108"/>
    <mergeCell ref="BG103:BG108"/>
    <mergeCell ref="BH103:BH108"/>
    <mergeCell ref="BI103:BI108"/>
    <mergeCell ref="A103:A108"/>
    <mergeCell ref="B103:B108"/>
    <mergeCell ref="C103:C108"/>
    <mergeCell ref="G103:G108"/>
    <mergeCell ref="M103:M108"/>
    <mergeCell ref="N103:N108"/>
    <mergeCell ref="O103:O108"/>
    <mergeCell ref="P103:P108"/>
    <mergeCell ref="Q103:Q108"/>
    <mergeCell ref="Q97:Q102"/>
    <mergeCell ref="BA97:BA102"/>
    <mergeCell ref="BB97:BB102"/>
    <mergeCell ref="BG97:BG102"/>
    <mergeCell ref="BH97:BH102"/>
    <mergeCell ref="BI97:BI102"/>
    <mergeCell ref="A97:A102"/>
    <mergeCell ref="B97:B102"/>
    <mergeCell ref="N97:N102"/>
    <mergeCell ref="BI73:BI78"/>
    <mergeCell ref="M85:M90"/>
    <mergeCell ref="N85:N90"/>
    <mergeCell ref="BI91:BI96"/>
    <mergeCell ref="BA79:BA84"/>
    <mergeCell ref="BB79:BB84"/>
    <mergeCell ref="BG79:BG84"/>
    <mergeCell ref="BH79:BH84"/>
    <mergeCell ref="BI79:BI84"/>
    <mergeCell ref="Q91:Q96"/>
    <mergeCell ref="BA91:BA96"/>
    <mergeCell ref="BB91:BB96"/>
    <mergeCell ref="BG91:BG96"/>
    <mergeCell ref="BH91:BH96"/>
    <mergeCell ref="A79:A84"/>
    <mergeCell ref="B79:B84"/>
    <mergeCell ref="C79:C84"/>
    <mergeCell ref="G79:G84"/>
    <mergeCell ref="M79:M84"/>
    <mergeCell ref="N79:N84"/>
    <mergeCell ref="O79:O84"/>
    <mergeCell ref="P79:P84"/>
    <mergeCell ref="Q79:Q84"/>
    <mergeCell ref="P91:P96"/>
    <mergeCell ref="BH85:BH90"/>
    <mergeCell ref="BI85:BI90"/>
    <mergeCell ref="A91:A96"/>
    <mergeCell ref="B91:B96"/>
    <mergeCell ref="C91:C96"/>
    <mergeCell ref="G91:G96"/>
    <mergeCell ref="M91:M96"/>
    <mergeCell ref="N91:N96"/>
    <mergeCell ref="A73:A78"/>
    <mergeCell ref="B73:B78"/>
    <mergeCell ref="C73:C78"/>
    <mergeCell ref="G73:G78"/>
    <mergeCell ref="M73:M78"/>
    <mergeCell ref="N73:N78"/>
    <mergeCell ref="O73:O78"/>
    <mergeCell ref="P73:P78"/>
    <mergeCell ref="P67:P72"/>
    <mergeCell ref="Q67:Q72"/>
    <mergeCell ref="BA67:BA72"/>
    <mergeCell ref="BB67:BB72"/>
    <mergeCell ref="BG67:BG72"/>
    <mergeCell ref="BH67:BH72"/>
    <mergeCell ref="Q73:Q78"/>
    <mergeCell ref="BA73:BA78"/>
    <mergeCell ref="BB73:BB78"/>
    <mergeCell ref="BG73:BG78"/>
    <mergeCell ref="BH73:BH78"/>
    <mergeCell ref="R67:R72"/>
    <mergeCell ref="R73:R78"/>
    <mergeCell ref="F73:F78"/>
    <mergeCell ref="BH61:BH66"/>
    <mergeCell ref="BI61:BI66"/>
    <mergeCell ref="A67:A72"/>
    <mergeCell ref="B67:B72"/>
    <mergeCell ref="C67:C72"/>
    <mergeCell ref="G67:G72"/>
    <mergeCell ref="M67:M72"/>
    <mergeCell ref="N67:N72"/>
    <mergeCell ref="O67:O72"/>
    <mergeCell ref="O61:O66"/>
    <mergeCell ref="P61:P66"/>
    <mergeCell ref="Q61:Q66"/>
    <mergeCell ref="BA61:BA66"/>
    <mergeCell ref="BB61:BB66"/>
    <mergeCell ref="BG61:BG66"/>
    <mergeCell ref="A61:A66"/>
    <mergeCell ref="B61:B66"/>
    <mergeCell ref="C61:C66"/>
    <mergeCell ref="G61:G66"/>
    <mergeCell ref="M61:M66"/>
    <mergeCell ref="N61:N66"/>
    <mergeCell ref="BI67:BI72"/>
    <mergeCell ref="R61:R66"/>
    <mergeCell ref="F61:F66"/>
    <mergeCell ref="F67:F72"/>
    <mergeCell ref="BG37:BG42"/>
    <mergeCell ref="BI31:BI36"/>
    <mergeCell ref="Q43:Q48"/>
    <mergeCell ref="BA43:BA48"/>
    <mergeCell ref="BB43:BB48"/>
    <mergeCell ref="BG43:BG48"/>
    <mergeCell ref="BH43:BH48"/>
    <mergeCell ref="A49:A54"/>
    <mergeCell ref="B49:B54"/>
    <mergeCell ref="O49:O54"/>
    <mergeCell ref="P49:P54"/>
    <mergeCell ref="C49:C54"/>
    <mergeCell ref="G49:G54"/>
    <mergeCell ref="M49:M54"/>
    <mergeCell ref="N49:N54"/>
    <mergeCell ref="BA55:BA60"/>
    <mergeCell ref="BB55:BB60"/>
    <mergeCell ref="BG55:BG60"/>
    <mergeCell ref="BH55:BH60"/>
    <mergeCell ref="BI55:BI60"/>
    <mergeCell ref="A55:A60"/>
    <mergeCell ref="R55:R60"/>
    <mergeCell ref="F49:F54"/>
    <mergeCell ref="F55:F60"/>
    <mergeCell ref="P55:P60"/>
    <mergeCell ref="Q55:Q60"/>
    <mergeCell ref="Q49:Q54"/>
    <mergeCell ref="BA49:BA54"/>
    <mergeCell ref="BB49:BB54"/>
    <mergeCell ref="BG49:BG54"/>
    <mergeCell ref="BH49:BH54"/>
    <mergeCell ref="BI49:BI54"/>
    <mergeCell ref="A31:A36"/>
    <mergeCell ref="B31:B36"/>
    <mergeCell ref="C31:C36"/>
    <mergeCell ref="G31:G36"/>
    <mergeCell ref="M31:M36"/>
    <mergeCell ref="N31:N36"/>
    <mergeCell ref="O31:O36"/>
    <mergeCell ref="P31:P36"/>
    <mergeCell ref="Q31:Q36"/>
    <mergeCell ref="F31:F36"/>
    <mergeCell ref="F37:F42"/>
    <mergeCell ref="F43:F48"/>
    <mergeCell ref="BI43:BI48"/>
    <mergeCell ref="BA31:BA36"/>
    <mergeCell ref="BB31:BB36"/>
    <mergeCell ref="BI37:BI42"/>
    <mergeCell ref="A43:A48"/>
    <mergeCell ref="A37:A42"/>
    <mergeCell ref="B37:B42"/>
    <mergeCell ref="C37:C42"/>
    <mergeCell ref="G37:G42"/>
    <mergeCell ref="B43:B48"/>
    <mergeCell ref="C43:C48"/>
    <mergeCell ref="G43:G48"/>
    <mergeCell ref="M43:M48"/>
    <mergeCell ref="N43:N48"/>
    <mergeCell ref="O43:O48"/>
    <mergeCell ref="O37:O42"/>
    <mergeCell ref="P37:P42"/>
    <mergeCell ref="Q37:Q42"/>
    <mergeCell ref="BA37:BA42"/>
    <mergeCell ref="BB37:BB42"/>
    <mergeCell ref="A1:G3"/>
    <mergeCell ref="H1:BI2"/>
    <mergeCell ref="H3:K3"/>
    <mergeCell ref="M3:BI3"/>
    <mergeCell ref="A4:L5"/>
    <mergeCell ref="M4:Q4"/>
    <mergeCell ref="U4:BI4"/>
    <mergeCell ref="M5:Q5"/>
    <mergeCell ref="U5:W5"/>
    <mergeCell ref="X5:AM5"/>
    <mergeCell ref="AN5:AW5"/>
    <mergeCell ref="AY5:AZ5"/>
    <mergeCell ref="BA5:BB5"/>
    <mergeCell ref="BG5:BI5"/>
    <mergeCell ref="G7:G12"/>
    <mergeCell ref="P25:P30"/>
    <mergeCell ref="P19:P24"/>
    <mergeCell ref="BH13:BH18"/>
    <mergeCell ref="BI13:BI18"/>
    <mergeCell ref="A19:A24"/>
    <mergeCell ref="B19:B24"/>
    <mergeCell ref="C19:C24"/>
    <mergeCell ref="G19:G24"/>
    <mergeCell ref="M19:M24"/>
    <mergeCell ref="N19:N24"/>
    <mergeCell ref="O19:O24"/>
    <mergeCell ref="BH7:BH12"/>
    <mergeCell ref="BI7:BI12"/>
    <mergeCell ref="Q7:Q12"/>
    <mergeCell ref="BA7:BA12"/>
    <mergeCell ref="BB7:BB12"/>
    <mergeCell ref="BI19:BI24"/>
    <mergeCell ref="O85:O90"/>
    <mergeCell ref="O97:O102"/>
    <mergeCell ref="F265:F270"/>
    <mergeCell ref="F271:F276"/>
    <mergeCell ref="F313:F318"/>
    <mergeCell ref="F259:F264"/>
    <mergeCell ref="P7:P12"/>
    <mergeCell ref="A7:A12"/>
    <mergeCell ref="B7:B12"/>
    <mergeCell ref="C7:C12"/>
    <mergeCell ref="M7:M12"/>
    <mergeCell ref="F13:F18"/>
    <mergeCell ref="BG7:BG12"/>
    <mergeCell ref="G25:G30"/>
    <mergeCell ref="M25:M30"/>
    <mergeCell ref="P43:P48"/>
    <mergeCell ref="BH37:BH42"/>
    <mergeCell ref="M37:M42"/>
    <mergeCell ref="N37:N42"/>
    <mergeCell ref="BG25:BG30"/>
    <mergeCell ref="BG31:BG36"/>
    <mergeCell ref="BH31:BH36"/>
    <mergeCell ref="BH25:BH30"/>
    <mergeCell ref="A25:A30"/>
    <mergeCell ref="B25:B30"/>
    <mergeCell ref="C25:C30"/>
    <mergeCell ref="B55:B60"/>
    <mergeCell ref="C55:C60"/>
    <mergeCell ref="G55:G60"/>
    <mergeCell ref="M55:M60"/>
    <mergeCell ref="N55:N60"/>
    <mergeCell ref="O55:O60"/>
    <mergeCell ref="Q19:Q24"/>
    <mergeCell ref="BA19:BA24"/>
    <mergeCell ref="BB19:BB24"/>
    <mergeCell ref="BG19:BG24"/>
    <mergeCell ref="BH19:BH24"/>
    <mergeCell ref="A13:A18"/>
    <mergeCell ref="B13:B18"/>
    <mergeCell ref="C13:C18"/>
    <mergeCell ref="G13:G18"/>
    <mergeCell ref="M13:M18"/>
    <mergeCell ref="Q25:Q30"/>
    <mergeCell ref="BA25:BA30"/>
    <mergeCell ref="BB25:BB30"/>
    <mergeCell ref="O13:O18"/>
    <mergeCell ref="P13:P18"/>
    <mergeCell ref="Q13:Q18"/>
    <mergeCell ref="BA13:BA18"/>
    <mergeCell ref="BB13:BB18"/>
    <mergeCell ref="BG13:BG18"/>
    <mergeCell ref="BI25:BI30"/>
    <mergeCell ref="BJ4:BM5"/>
    <mergeCell ref="F121:F126"/>
    <mergeCell ref="F169:F174"/>
    <mergeCell ref="F175:F180"/>
    <mergeCell ref="F181:F186"/>
    <mergeCell ref="F187:F192"/>
    <mergeCell ref="F193:F198"/>
    <mergeCell ref="F199:F204"/>
    <mergeCell ref="F205:F210"/>
    <mergeCell ref="F211:F216"/>
    <mergeCell ref="F217:F222"/>
    <mergeCell ref="F223:F228"/>
    <mergeCell ref="F229:F234"/>
    <mergeCell ref="F235:F240"/>
    <mergeCell ref="F241:F246"/>
    <mergeCell ref="F247:F252"/>
    <mergeCell ref="F7:F12"/>
    <mergeCell ref="F19:F24"/>
    <mergeCell ref="F25:F30"/>
    <mergeCell ref="F79:F84"/>
    <mergeCell ref="F85:F90"/>
    <mergeCell ref="F91:F96"/>
    <mergeCell ref="F97:F102"/>
    <mergeCell ref="F103:F108"/>
    <mergeCell ref="F109:F114"/>
    <mergeCell ref="N13:N18"/>
    <mergeCell ref="N7:N12"/>
    <mergeCell ref="O7:O12"/>
    <mergeCell ref="N25:N30"/>
    <mergeCell ref="O25:O30"/>
    <mergeCell ref="O91:O96"/>
  </mergeCells>
  <conditionalFormatting sqref="Q7 S7:T7">
    <cfRule type="cellIs" dxfId="16" priority="16" operator="equal">
      <formula>"Extremo"</formula>
    </cfRule>
    <cfRule type="cellIs" dxfId="15" priority="17" operator="equal">
      <formula>"Alto"</formula>
    </cfRule>
    <cfRule type="cellIs" dxfId="14" priority="18" operator="equal">
      <formula>"Moderado"</formula>
    </cfRule>
    <cfRule type="cellIs" dxfId="13" priority="19" operator="equal">
      <formula>"Bajo"</formula>
    </cfRule>
  </conditionalFormatting>
  <conditionalFormatting sqref="Q13 S13:T13 Q19 S19:T19 Q25 S25:T25 Q31 S31:T31 Q37 S37:T37 Q43 S43:T43 Q49 S49:T49 Q55 S55:T55 Q61 S61:T61 Q67 S67:T67 Q73 S73:T73 Q79 S79:T79 Q85 S85:T85 Q91 S91:T91 Q97 S97:T97 Q103 S103:T103 Q109 S109:T109 Q115 S115:T115 Q121 S121:T121 Q127 S127:T127 Q133 S133:T133 Q139 S139:T139 Q145 S145:T145 Q151 S151:T151 Q157 S157:T157 Q163 S163:T163 Q169 S169:T169 Q175 S175:T175 Q181 S181:T181 Q187 S187:T187 Q193 S193:T193 Q199 S199:T199 Q205 S205:T205 Q211 S211:T211 Q217 S217:T217 Q223 S223:T223 Q229 S229:T229 Q235 S235:T235 Q241 S241:T241 Q247 S247:T247 Q253 S253:T253 Q259 S259:T259 Q265 S265:T265 Q271 S271:T271 Q277 S277:T277 Q283 S283:T283 Q289 S289:T289 Q295 S295:T295 Q301 S301:T301 Q307 S307:T307 Q313 S313:T313 Q319 S319:T319 Q325 S325:T325 Q331 S331:T331 Q337 S337:T337 Q343 S343:T343 Q349 S349:T349 Q355 S355:T355 Q361 S361:T361">
    <cfRule type="cellIs" dxfId="12" priority="8" operator="equal">
      <formula>"Extremo"</formula>
    </cfRule>
    <cfRule type="cellIs" dxfId="11" priority="9" operator="equal">
      <formula>"Alto"</formula>
    </cfRule>
    <cfRule type="cellIs" dxfId="10" priority="10" operator="equal">
      <formula>"Moderado"</formula>
    </cfRule>
    <cfRule type="cellIs" dxfId="9" priority="11" operator="equal">
      <formula>"Bajo"</formula>
    </cfRule>
  </conditionalFormatting>
  <conditionalFormatting sqref="BI7">
    <cfRule type="cellIs" dxfId="8" priority="12" operator="equal">
      <formula>"Extremo"</formula>
    </cfRule>
    <cfRule type="cellIs" dxfId="7" priority="13" operator="equal">
      <formula>"Alto"</formula>
    </cfRule>
    <cfRule type="cellIs" dxfId="6" priority="14" operator="equal">
      <formula>"Moderado"</formula>
    </cfRule>
    <cfRule type="cellIs" dxfId="5" priority="15" operator="equal">
      <formula>"Bajo"</formula>
    </cfRule>
  </conditionalFormatting>
  <conditionalFormatting sqref="BI13 BI19 BI25 BI31 BI37 BI43 BI49 BI55 BI61 BI67 BI73 BI79 BI85 BI91 BI97 BI103 BI109 BI115 BI121 BI127 BI133 BI139 BI145 BI151 BI157 BI163 BI169 BI175 BI181 BI187 BI193 BI199 BI205 BI211 BI217 BI223 BI229 BI235 BI241 BI247 BI253 BI259 BI265 BI271 BI277 BI283 BI289 BI295 BI301 BI307 BI313 BI319 BI325 BI331 BI337 BI343 BI349 BI355 BI361">
    <cfRule type="cellIs" dxfId="4" priority="4" operator="equal">
      <formula>"Extremo"</formula>
    </cfRule>
    <cfRule type="cellIs" dxfId="3" priority="5" operator="equal">
      <formula>"Alto"</formula>
    </cfRule>
    <cfRule type="cellIs" dxfId="2" priority="6" operator="equal">
      <formula>"Moderado"</formula>
    </cfRule>
    <cfRule type="cellIs" dxfId="1" priority="7" operator="equal">
      <formula>"Bajo"</formula>
    </cfRule>
  </conditionalFormatting>
  <dataValidations count="50">
    <dataValidation allowBlank="1" showInputMessage="1" showErrorMessage="1" prompt="Fuerte: 100_x000a__x000a_Moderado: Entre 50 y 99_x000a__x000a_Débil: Menor a 50" sqref="BB6"/>
    <dataValidation allowBlank="1" showInputMessage="1" showErrorMessage="1" prompt="Fuerte: 100_x000a__x000a_Moderado: 50_x000a__x000a_Débil: 0" sqref="AZ6"/>
    <dataValidation allowBlank="1" showInputMessage="1" showErrorMessage="1" prompt="Fuerte: Siempre se ejecuta_x000a__x000a_Moderado: Algunas veces_x000a__x000a_Débil: No se ejecuta " sqref="AN6:AO6"/>
    <dataValidation allowBlank="1" showInputMessage="1" showErrorMessage="1" prompt="Fuerte: Calificación entre 96 y 100_x000a__x000a_Moderado: Calificación entre 86 y 95_x000a__x000a_Débil: Calificación entre 0 y 85" sqref="AM6 AX6"/>
    <dataValidation allowBlank="1" showInputMessage="1" showErrorMessage="1" prompt="- Confiable (15)_x000a__x000a_- No Confiable (0)_x000a_" sqref="AF6:AG6"/>
    <dataValidation allowBlank="1" showInputMessage="1" showErrorMessage="1" prompt="- Prevenir (15)_x000a__x000a_- Detectar (10)_x000a__x000a_- No es un Control (0)" sqref="AD6:AE6"/>
    <dataValidation allowBlank="1" showInputMessage="1" showErrorMessage="1" prompt="- Oportuna (15)_x000a__x000a_- Inoportuna (0)_x000a_" sqref="AB6:AC6"/>
    <dataValidation allowBlank="1" showInputMessage="1" showErrorMessage="1" prompt="- Asignado (15)_x000a__x000a_- No Asignado (0)" sqref="X6:Y6"/>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W6"/>
    <dataValidation allowBlank="1" showInputMessage="1" showErrorMessage="1" prompt="Completa (10)_x000a__x000a_Incompleta (5)_x000a__x000a_No esxiste (0)" sqref="AJ6:AK6"/>
    <dataValidation allowBlank="1" showInputMessage="1" showErrorMessage="1" prompt="- Se investigan y se resuelven Oportunamente (15)_x000a__x000a_- No se investigan y resuelven Oportunamente (0)_x000a_" sqref="AH6:AI6"/>
    <dataValidation allowBlank="1" showInputMessage="1" showErrorMessage="1" prompt="- Adecuado (15)_x000a__x000a_- Inadecuado (0)_x000a_" sqref="Z6:AA6"/>
    <dataValidation allowBlank="1" showInputMessage="1" showErrorMessage="1" prompt="Promedio entre el diseño Total de Control y Total Solidez Individual " sqref="BA6"/>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AY6"/>
    <dataValidation allowBlank="1" showInputMessage="1" showErrorMessage="1" prompt="Si el resultado de las calificaciones del control o promedio en el diseño de los controles, está por debajo de 96%, se debe establecer un plan de acción que permita tener un control bien diseñado" sqref="AL6 AW6"/>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N6:P6"/>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M6"/>
    <dataValidation type="list" allowBlank="1" showInputMessage="1" showErrorMessage="1" sqref="V205:V366">
      <formula1>$H$13:$H$366</formula1>
    </dataValidation>
    <dataValidation type="list" allowBlank="1" showInputMessage="1" showErrorMessage="1" sqref="V31:V36">
      <formula1>$H$31:$H$36</formula1>
    </dataValidation>
    <dataValidation type="list" allowBlank="1" showInputMessage="1" showErrorMessage="1" sqref="V37:V42">
      <formula1>$H$37:$H$42</formula1>
    </dataValidation>
    <dataValidation type="list" allowBlank="1" showInputMessage="1" showErrorMessage="1" sqref="V43:V48">
      <formula1>$H$43:$H$48</formula1>
    </dataValidation>
    <dataValidation type="list" allowBlank="1" showInputMessage="1" showErrorMessage="1" sqref="V49:V54">
      <formula1>$H$49:$H$54</formula1>
    </dataValidation>
    <dataValidation type="list" allowBlank="1" showInputMessage="1" showErrorMessage="1" sqref="V55:V60">
      <formula1>$H$55:$H$60</formula1>
    </dataValidation>
    <dataValidation type="list" allowBlank="1" showInputMessage="1" showErrorMessage="1" sqref="V61:V66">
      <formula1>$H$61:$H$66</formula1>
    </dataValidation>
    <dataValidation type="list" allowBlank="1" showInputMessage="1" showErrorMessage="1" sqref="V67:V72">
      <formula1>$H$67:$H$72</formula1>
    </dataValidation>
    <dataValidation type="list" allowBlank="1" showInputMessage="1" showErrorMessage="1" sqref="V73:V78">
      <formula1>$H$73:$H$78</formula1>
    </dataValidation>
    <dataValidation type="list" allowBlank="1" showInputMessage="1" showErrorMessage="1" sqref="V79:V84">
      <formula1>$H$79:$H$84</formula1>
    </dataValidation>
    <dataValidation type="list" allowBlank="1" showInputMessage="1" showErrorMessage="1" sqref="V85:V90">
      <formula1>$H$85:$H$90</formula1>
    </dataValidation>
    <dataValidation type="list" allowBlank="1" showInputMessage="1" showErrorMessage="1" sqref="V91:V96">
      <formula1>$H$91:$H$96</formula1>
    </dataValidation>
    <dataValidation type="list" allowBlank="1" showInputMessage="1" showErrorMessage="1" sqref="V97:V102">
      <formula1>$H$97:$H$102</formula1>
    </dataValidation>
    <dataValidation type="list" allowBlank="1" showInputMessage="1" showErrorMessage="1" sqref="V103:V108">
      <formula1>$H$103:$H$108</formula1>
    </dataValidation>
    <dataValidation type="list" allowBlank="1" showInputMessage="1" showErrorMessage="1" sqref="V109:V114">
      <formula1>$H$109:$H$114</formula1>
    </dataValidation>
    <dataValidation type="list" allowBlank="1" showInputMessage="1" showErrorMessage="1" sqref="V115:V120">
      <formula1>$H$115:$H$120</formula1>
    </dataValidation>
    <dataValidation type="list" allowBlank="1" showInputMessage="1" showErrorMessage="1" sqref="V121:V126">
      <formula1>$H$121:$H$126</formula1>
    </dataValidation>
    <dataValidation type="list" allowBlank="1" showInputMessage="1" showErrorMessage="1" sqref="V127:V132">
      <formula1>$H$127:$H$132</formula1>
    </dataValidation>
    <dataValidation type="list" allowBlank="1" showInputMessage="1" showErrorMessage="1" sqref="V133:V138">
      <formula1>$H$133:$H$138</formula1>
    </dataValidation>
    <dataValidation type="list" allowBlank="1" showInputMessage="1" showErrorMessage="1" sqref="V139:V144">
      <formula1>$H$139:$H$144</formula1>
    </dataValidation>
    <dataValidation type="list" allowBlank="1" showInputMessage="1" showErrorMessage="1" sqref="V145:V150">
      <formula1>$H$145:$H$150</formula1>
    </dataValidation>
    <dataValidation type="list" allowBlank="1" showInputMessage="1" showErrorMessage="1" sqref="V151:V156">
      <formula1>$H$151:$H$156</formula1>
    </dataValidation>
    <dataValidation type="list" allowBlank="1" showInputMessage="1" showErrorMessage="1" sqref="V157:V162">
      <formula1>$H$157:$H$162</formula1>
    </dataValidation>
    <dataValidation type="list" allowBlank="1" showInputMessage="1" showErrorMessage="1" sqref="V163:V168">
      <formula1>$H$163:$H$168</formula1>
    </dataValidation>
    <dataValidation type="list" allowBlank="1" showInputMessage="1" showErrorMessage="1" sqref="V169:V174">
      <formula1>$H$169:$H$174</formula1>
    </dataValidation>
    <dataValidation type="list" allowBlank="1" showInputMessage="1" showErrorMessage="1" sqref="V175:V180">
      <formula1>$H$175:$H$180</formula1>
    </dataValidation>
    <dataValidation type="list" allowBlank="1" showInputMessage="1" showErrorMessage="1" sqref="V181:V186">
      <formula1>$H$181:$H$186</formula1>
    </dataValidation>
    <dataValidation type="list" allowBlank="1" showInputMessage="1" showErrorMessage="1" sqref="V187:V192">
      <formula1>$H$187:$H$192</formula1>
    </dataValidation>
    <dataValidation type="list" allowBlank="1" showInputMessage="1" showErrorMessage="1" sqref="V193:V198">
      <formula1>$H$193:$H$198</formula1>
    </dataValidation>
    <dataValidation type="list" allowBlank="1" showInputMessage="1" showErrorMessage="1" sqref="V199:V204">
      <formula1>$H$199:$H$204</formula1>
    </dataValidation>
    <dataValidation type="list" allowBlank="1" showInputMessage="1" showErrorMessage="1" sqref="H7:H366">
      <formula1>INDIRECT(E7)</formula1>
    </dataValidation>
    <dataValidation type="list" allowBlank="1" showInputMessage="1" showErrorMessage="1" sqref="G7:G18 J7:J366 T7:T366">
      <formula1>INDIRECT(F7)</formula1>
    </dataValidation>
    <dataValidation type="list" allowBlank="1" showInputMessage="1" showErrorMessage="1" sqref="V7:V30">
      <formula1>$J7:$J12</formula1>
    </dataValidation>
  </dataValidations>
  <printOptions horizontalCentered="1"/>
  <pageMargins left="0" right="0" top="0.35433070866141736" bottom="0.35433070866141736" header="0.31496062992125984" footer="0.31496062992125984"/>
  <pageSetup paperSize="5" scale="50" pageOrder="overThenDown" orientation="portrait"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Listados!$G$3:$G$7</xm:f>
          </x14:formula1>
          <xm:sqref>O7:O366</xm:sqref>
        </x14:dataValidation>
        <x14:dataValidation type="list" allowBlank="1" showInputMessage="1" showErrorMessage="1">
          <x14:formula1>
            <xm:f>Listados!$B$26:$B$27</xm:f>
          </x14:formula1>
          <xm:sqref>AB7:AB366 X7:X366 AD7:AD366 AF7:AF366 AH7:AH366 Z7:Z1048576</xm:sqref>
        </x14:dataValidation>
        <x14:dataValidation type="list" allowBlank="1" showInputMessage="1" showErrorMessage="1">
          <x14:formula1>
            <xm:f>Corrupción!$J$3:$J$7</xm:f>
          </x14:formula1>
          <xm:sqref>M7:M366</xm:sqref>
        </x14:dataValidation>
        <x14:dataValidation type="list" allowBlank="1" showInputMessage="1" showErrorMessage="1">
          <x14:formula1>
            <xm:f>Listados!$B$3:$B$20</xm:f>
          </x14:formula1>
          <xm:sqref>B7:B13 B19 B25 B31 B37 B43 B49 B55 B61 B67 B73 B79 B85 B91 B97 B103 B109 B115 B121 B127 B133 B139 B145 B151 B157 B163 B169 B175 B181 B187 B193 B199 B205 B211 B217 B223 B229 B235 B241 B247 B253 B259 B265 B271 B277 B283 B289 B295 B301 B307 B313 B319 B325 B331 B337 B343 B349 B355 B361</xm:sqref>
        </x14:dataValidation>
        <x14:dataValidation type="list" allowBlank="1" showInputMessage="1" showErrorMessage="1">
          <x14:formula1>
            <xm:f>Listados!$G$29:$G$30</xm:f>
          </x14:formula1>
          <xm:sqref>W7:W366</xm:sqref>
        </x14:dataValidation>
        <x14:dataValidation type="list" allowBlank="1" showInputMessage="1" showErrorMessage="1">
          <x14:formula1>
            <xm:f>Listados!$C$26:$C$28</xm:f>
          </x14:formula1>
          <xm:sqref>AJ7:AJ366</xm:sqref>
        </x14:dataValidation>
        <x14:dataValidation type="list" allowBlank="1" showInputMessage="1" showErrorMessage="1">
          <x14:formula1>
            <xm:f>Listados!$E$3:$E$4</xm:f>
          </x14:formula1>
          <xm:sqref>K7:K1048576</xm:sqref>
        </x14:dataValidation>
        <x14:dataValidation type="list" allowBlank="1" showInputMessage="1" showErrorMessage="1">
          <x14:formula1>
            <xm:f>'Seguridad Información'!$B$2:$B$8</xm:f>
          </x14:formula1>
          <xm:sqref>E7:E366</xm:sqref>
        </x14:dataValidation>
        <x14:dataValidation type="list" allowBlank="1" showInputMessage="1" showErrorMessage="1">
          <x14:formula1>
            <xm:f>'Seguridad Información'!$B$13:$H$13</xm:f>
          </x14:formula1>
          <xm:sqref>F7 F13 F19 F25 F31 F37 F43 F49 F55 F61 F67 F73 F79 F85 F91 F97 F103 F109 F115 F121 F127 F133 F139 F145 F151 F157 F163 F169 F175 F181 F187 F193 F199 F205 F211 F217 F223 F229 F235 F241 F247 F253 F259 F265 F271 F277 F283 F289 F295 F301 F307 F313 F319 F325 F331 F337 F343 F349 F355 F361</xm:sqref>
        </x14:dataValidation>
        <x14:dataValidation type="list" allowBlank="1" showInputMessage="1" showErrorMessage="1">
          <x14:formula1>
            <xm:f>'Seguridad Información'!$B$19:$H$19</xm:f>
          </x14:formula1>
          <xm:sqref>I7:I366</xm:sqref>
        </x14:dataValidation>
        <x14:dataValidation type="list" allowBlank="1" showInputMessage="1" showErrorMessage="1">
          <x14:formula1>
            <xm:f>'Seguridad Información'!$B$44:$O$44</xm:f>
          </x14:formula1>
          <xm:sqref>S7:S366</xm:sqref>
        </x14:dataValidation>
        <x14:dataValidation type="list" allowBlank="1" showInputMessage="1" showErrorMessage="1">
          <x14:formula1>
            <xm:f>'Seguridad Información'!$C$61:$C$63</xm:f>
          </x14:formula1>
          <xm:sqref>AN7:AN366</xm:sqref>
        </x14:dataValidation>
        <x14:dataValidation type="list" allowBlank="1" showInputMessage="1" showErrorMessage="1">
          <x14:formula1>
            <xm:f>'Seguridad Información'!$E$61:$E$64</xm:f>
          </x14:formula1>
          <xm:sqref>AP7:AP366</xm:sqref>
        </x14:dataValidation>
        <x14:dataValidation type="list" allowBlank="1" showInputMessage="1" showErrorMessage="1">
          <x14:formula1>
            <xm:f>'Seguridad Información'!$G$61:$G$64</xm:f>
          </x14:formula1>
          <xm:sqref>AR7:AR366</xm:sqref>
        </x14:dataValidation>
        <x14:dataValidation type="list" allowBlank="1" showInputMessage="1" showErrorMessage="1">
          <x14:formula1>
            <xm:f>'Seguridad Información'!$I$61:$I$65</xm:f>
          </x14:formula1>
          <xm:sqref>AT7:AT366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21"/>
  <sheetViews>
    <sheetView topLeftCell="A58" workbookViewId="0">
      <selection activeCell="A79" sqref="A79"/>
    </sheetView>
  </sheetViews>
  <sheetFormatPr baseColWidth="10" defaultColWidth="11.42578125" defaultRowHeight="15"/>
  <cols>
    <col min="7" max="7" width="27" customWidth="1"/>
    <col min="8" max="8" width="16.28515625" customWidth="1"/>
    <col min="9" max="9" width="20.140625" customWidth="1"/>
    <col min="11" max="11" width="76.42578125" customWidth="1"/>
    <col min="12" max="12" width="39.140625" customWidth="1"/>
  </cols>
  <sheetData>
    <row r="1" spans="2:13">
      <c r="B1" s="50" t="s">
        <v>813</v>
      </c>
      <c r="G1" s="647" t="s">
        <v>814</v>
      </c>
      <c r="H1" s="647"/>
      <c r="I1" s="647"/>
      <c r="J1" s="647"/>
      <c r="K1" s="647"/>
      <c r="L1" s="647"/>
      <c r="M1" s="647"/>
    </row>
    <row r="2" spans="2:13">
      <c r="B2" s="197" t="s">
        <v>815</v>
      </c>
      <c r="G2" s="197" t="s">
        <v>815</v>
      </c>
      <c r="H2" s="199" t="s">
        <v>816</v>
      </c>
      <c r="I2" s="197" t="s">
        <v>817</v>
      </c>
      <c r="J2" s="197" t="s">
        <v>818</v>
      </c>
      <c r="K2" s="197" t="s">
        <v>819</v>
      </c>
      <c r="L2" s="200" t="s">
        <v>820</v>
      </c>
      <c r="M2" s="197" t="s">
        <v>821</v>
      </c>
    </row>
    <row r="3" spans="2:13">
      <c r="B3" s="197" t="s">
        <v>821</v>
      </c>
      <c r="G3" s="197" t="s">
        <v>822</v>
      </c>
      <c r="H3" s="199" t="s">
        <v>823</v>
      </c>
      <c r="I3" s="197" t="s">
        <v>824</v>
      </c>
      <c r="J3" s="197" t="s">
        <v>825</v>
      </c>
      <c r="K3" s="197" t="s">
        <v>826</v>
      </c>
      <c r="L3" s="200" t="s">
        <v>827</v>
      </c>
      <c r="M3" s="197" t="s">
        <v>828</v>
      </c>
    </row>
    <row r="4" spans="2:13">
      <c r="B4" s="197" t="s">
        <v>819</v>
      </c>
      <c r="G4" s="197" t="s">
        <v>829</v>
      </c>
      <c r="I4" s="197" t="s">
        <v>830</v>
      </c>
      <c r="J4" s="197" t="s">
        <v>831</v>
      </c>
      <c r="K4" s="197" t="s">
        <v>832</v>
      </c>
      <c r="L4" s="200" t="s">
        <v>833</v>
      </c>
      <c r="M4" s="197" t="s">
        <v>834</v>
      </c>
    </row>
    <row r="5" spans="2:13">
      <c r="B5" s="197" t="s">
        <v>835</v>
      </c>
      <c r="G5" s="197" t="s">
        <v>836</v>
      </c>
      <c r="I5" s="197" t="s">
        <v>837</v>
      </c>
      <c r="J5" s="197" t="s">
        <v>838</v>
      </c>
      <c r="K5" s="197" t="s">
        <v>839</v>
      </c>
      <c r="L5" s="200" t="s">
        <v>840</v>
      </c>
      <c r="M5" s="197" t="s">
        <v>841</v>
      </c>
    </row>
    <row r="6" spans="2:13">
      <c r="B6" s="197" t="s">
        <v>842</v>
      </c>
      <c r="G6" s="197" t="s">
        <v>843</v>
      </c>
      <c r="J6" s="197" t="s">
        <v>844</v>
      </c>
      <c r="K6" s="197" t="s">
        <v>845</v>
      </c>
      <c r="L6" s="200" t="s">
        <v>846</v>
      </c>
      <c r="M6" s="197" t="s">
        <v>847</v>
      </c>
    </row>
    <row r="7" spans="2:13">
      <c r="B7" s="197" t="s">
        <v>848</v>
      </c>
      <c r="G7" s="197" t="s">
        <v>849</v>
      </c>
      <c r="J7" s="197" t="s">
        <v>850</v>
      </c>
      <c r="K7" s="197" t="s">
        <v>851</v>
      </c>
      <c r="L7" s="200" t="s">
        <v>852</v>
      </c>
      <c r="M7" s="197"/>
    </row>
    <row r="8" spans="2:13">
      <c r="B8" s="197" t="s">
        <v>853</v>
      </c>
      <c r="G8" s="197" t="s">
        <v>854</v>
      </c>
      <c r="J8" s="197" t="s">
        <v>855</v>
      </c>
      <c r="K8" s="197" t="s">
        <v>856</v>
      </c>
      <c r="L8" s="200" t="s">
        <v>857</v>
      </c>
      <c r="M8" s="197"/>
    </row>
    <row r="9" spans="2:13">
      <c r="G9" s="197" t="s">
        <v>858</v>
      </c>
      <c r="J9" s="197" t="s">
        <v>859</v>
      </c>
      <c r="K9" s="197" t="s">
        <v>860</v>
      </c>
      <c r="M9" s="197"/>
    </row>
    <row r="10" spans="2:13">
      <c r="J10" s="197" t="s">
        <v>861</v>
      </c>
      <c r="K10" s="197" t="s">
        <v>862</v>
      </c>
      <c r="M10" s="197"/>
    </row>
    <row r="11" spans="2:13">
      <c r="K11" s="197" t="s">
        <v>863</v>
      </c>
      <c r="M11" s="197"/>
    </row>
    <row r="12" spans="2:13">
      <c r="B12" s="648" t="s">
        <v>864</v>
      </c>
      <c r="C12" s="649"/>
      <c r="D12" s="649"/>
      <c r="E12" s="649"/>
      <c r="F12" s="649"/>
      <c r="G12" s="649"/>
      <c r="H12" s="650"/>
      <c r="K12" s="197" t="s">
        <v>865</v>
      </c>
    </row>
    <row r="13" spans="2:13">
      <c r="B13" s="197" t="s">
        <v>866</v>
      </c>
      <c r="C13" s="200" t="s">
        <v>867</v>
      </c>
      <c r="D13" s="197" t="s">
        <v>868</v>
      </c>
      <c r="E13" s="197" t="s">
        <v>869</v>
      </c>
      <c r="F13" s="197" t="s">
        <v>870</v>
      </c>
      <c r="G13" s="200" t="s">
        <v>871</v>
      </c>
      <c r="H13" s="197" t="s">
        <v>872</v>
      </c>
      <c r="K13" s="197" t="s">
        <v>873</v>
      </c>
    </row>
    <row r="14" spans="2:13">
      <c r="B14" s="197" t="s">
        <v>874</v>
      </c>
      <c r="C14" s="200" t="s">
        <v>875</v>
      </c>
      <c r="D14" s="197" t="s">
        <v>876</v>
      </c>
      <c r="E14" s="197" t="s">
        <v>877</v>
      </c>
      <c r="F14" s="197" t="s">
        <v>878</v>
      </c>
      <c r="G14" s="200" t="s">
        <v>879</v>
      </c>
      <c r="H14" s="197" t="s">
        <v>880</v>
      </c>
      <c r="K14" s="197" t="s">
        <v>881</v>
      </c>
    </row>
    <row r="15" spans="2:13">
      <c r="B15" s="197" t="s">
        <v>882</v>
      </c>
      <c r="D15" s="197" t="s">
        <v>883</v>
      </c>
      <c r="H15" s="197" t="s">
        <v>884</v>
      </c>
      <c r="K15" s="197" t="s">
        <v>885</v>
      </c>
    </row>
    <row r="16" spans="2:13">
      <c r="B16" s="197" t="s">
        <v>886</v>
      </c>
      <c r="D16" s="197" t="s">
        <v>887</v>
      </c>
      <c r="H16" s="197" t="s">
        <v>888</v>
      </c>
      <c r="K16" s="197" t="s">
        <v>889</v>
      </c>
    </row>
    <row r="17" spans="2:11">
      <c r="H17" s="197" t="s">
        <v>890</v>
      </c>
      <c r="K17" s="197" t="s">
        <v>891</v>
      </c>
    </row>
    <row r="18" spans="2:11">
      <c r="B18" s="648" t="s">
        <v>892</v>
      </c>
      <c r="C18" s="649"/>
      <c r="D18" s="649"/>
      <c r="E18" s="649"/>
      <c r="F18" s="649"/>
      <c r="G18" s="649"/>
      <c r="H18" s="650"/>
      <c r="K18" s="197" t="s">
        <v>893</v>
      </c>
    </row>
    <row r="19" spans="2:11">
      <c r="B19" s="201" t="s">
        <v>894</v>
      </c>
      <c r="C19" s="202" t="s">
        <v>895</v>
      </c>
      <c r="D19" s="201" t="s">
        <v>896</v>
      </c>
      <c r="E19" s="201" t="s">
        <v>897</v>
      </c>
      <c r="F19" s="201" t="s">
        <v>898</v>
      </c>
      <c r="G19" s="202" t="s">
        <v>899</v>
      </c>
      <c r="H19" s="201" t="s">
        <v>900</v>
      </c>
    </row>
    <row r="20" spans="2:11">
      <c r="B20" s="51" t="s">
        <v>901</v>
      </c>
      <c r="C20" s="51" t="s">
        <v>902</v>
      </c>
      <c r="D20" s="51" t="s">
        <v>903</v>
      </c>
      <c r="E20" s="51" t="s">
        <v>904</v>
      </c>
      <c r="F20" s="51" t="s">
        <v>905</v>
      </c>
      <c r="G20" s="51" t="s">
        <v>906</v>
      </c>
      <c r="H20" s="51" t="s">
        <v>907</v>
      </c>
    </row>
    <row r="21" spans="2:11">
      <c r="B21" s="51" t="s">
        <v>908</v>
      </c>
      <c r="C21" s="51" t="s">
        <v>909</v>
      </c>
      <c r="D21" s="51" t="s">
        <v>910</v>
      </c>
      <c r="E21" s="51" t="s">
        <v>911</v>
      </c>
      <c r="G21" s="51" t="s">
        <v>912</v>
      </c>
      <c r="H21" s="51" t="s">
        <v>913</v>
      </c>
    </row>
    <row r="22" spans="2:11">
      <c r="B22" s="51" t="s">
        <v>914</v>
      </c>
      <c r="C22" s="51" t="s">
        <v>915</v>
      </c>
      <c r="D22" s="51" t="s">
        <v>916</v>
      </c>
      <c r="E22" s="51" t="s">
        <v>917</v>
      </c>
      <c r="G22" s="51" t="s">
        <v>918</v>
      </c>
      <c r="H22" s="51" t="s">
        <v>919</v>
      </c>
    </row>
    <row r="23" spans="2:11">
      <c r="B23" s="51" t="s">
        <v>908</v>
      </c>
      <c r="C23" s="51" t="s">
        <v>920</v>
      </c>
      <c r="D23" s="51" t="s">
        <v>921</v>
      </c>
      <c r="E23" s="51" t="s">
        <v>922</v>
      </c>
      <c r="G23" s="51" t="s">
        <v>923</v>
      </c>
      <c r="H23" s="51" t="s">
        <v>924</v>
      </c>
    </row>
    <row r="24" spans="2:11">
      <c r="B24" s="51" t="s">
        <v>925</v>
      </c>
      <c r="C24" s="51" t="s">
        <v>926</v>
      </c>
      <c r="D24" s="51" t="s">
        <v>927</v>
      </c>
      <c r="E24" s="51" t="s">
        <v>928</v>
      </c>
      <c r="G24" s="51" t="s">
        <v>929</v>
      </c>
      <c r="H24" s="51" t="s">
        <v>930</v>
      </c>
    </row>
    <row r="25" spans="2:11">
      <c r="B25" s="51" t="s">
        <v>931</v>
      </c>
      <c r="D25" s="51" t="s">
        <v>932</v>
      </c>
      <c r="E25" s="51" t="s">
        <v>933</v>
      </c>
      <c r="G25" s="51" t="s">
        <v>934</v>
      </c>
      <c r="H25" s="51" t="s">
        <v>935</v>
      </c>
    </row>
    <row r="26" spans="2:11">
      <c r="B26" s="51" t="s">
        <v>936</v>
      </c>
      <c r="D26" s="51" t="s">
        <v>937</v>
      </c>
      <c r="E26" s="51" t="s">
        <v>938</v>
      </c>
      <c r="H26" s="51" t="s">
        <v>939</v>
      </c>
    </row>
    <row r="27" spans="2:11">
      <c r="B27" s="51" t="s">
        <v>940</v>
      </c>
      <c r="D27" s="51" t="s">
        <v>941</v>
      </c>
      <c r="E27" s="51" t="s">
        <v>942</v>
      </c>
      <c r="H27" s="51" t="s">
        <v>943</v>
      </c>
    </row>
    <row r="28" spans="2:11">
      <c r="B28" s="51" t="s">
        <v>944</v>
      </c>
      <c r="D28" s="51" t="s">
        <v>945</v>
      </c>
      <c r="E28" s="51" t="s">
        <v>946</v>
      </c>
      <c r="H28" s="51" t="s">
        <v>947</v>
      </c>
    </row>
    <row r="29" spans="2:11">
      <c r="B29" s="51" t="s">
        <v>948</v>
      </c>
      <c r="D29" s="51" t="s">
        <v>949</v>
      </c>
      <c r="E29" s="51" t="s">
        <v>950</v>
      </c>
      <c r="H29" s="51" t="s">
        <v>951</v>
      </c>
    </row>
    <row r="30" spans="2:11">
      <c r="B30" s="51" t="s">
        <v>952</v>
      </c>
      <c r="D30" s="51" t="s">
        <v>953</v>
      </c>
      <c r="E30" s="51" t="s">
        <v>954</v>
      </c>
      <c r="H30" s="51" t="s">
        <v>955</v>
      </c>
    </row>
    <row r="31" spans="2:11">
      <c r="B31" s="51" t="s">
        <v>956</v>
      </c>
      <c r="D31" s="51" t="s">
        <v>957</v>
      </c>
      <c r="E31" s="51" t="s">
        <v>958</v>
      </c>
      <c r="H31" s="51" t="s">
        <v>959</v>
      </c>
    </row>
    <row r="32" spans="2:11">
      <c r="B32" s="51" t="s">
        <v>960</v>
      </c>
      <c r="D32" s="51" t="s">
        <v>961</v>
      </c>
      <c r="E32" s="51" t="s">
        <v>962</v>
      </c>
      <c r="H32" s="51" t="s">
        <v>963</v>
      </c>
    </row>
    <row r="33" spans="2:15">
      <c r="D33" s="51" t="s">
        <v>964</v>
      </c>
      <c r="H33" s="51" t="s">
        <v>965</v>
      </c>
    </row>
    <row r="34" spans="2:15">
      <c r="H34" s="51" t="s">
        <v>966</v>
      </c>
    </row>
    <row r="35" spans="2:15">
      <c r="H35" s="51" t="s">
        <v>967</v>
      </c>
    </row>
    <row r="36" spans="2:15">
      <c r="H36" s="51" t="s">
        <v>968</v>
      </c>
    </row>
    <row r="37" spans="2:15">
      <c r="H37" s="51" t="s">
        <v>969</v>
      </c>
    </row>
    <row r="38" spans="2:15">
      <c r="H38" s="51" t="s">
        <v>850</v>
      </c>
    </row>
    <row r="39" spans="2:15">
      <c r="H39" s="51" t="s">
        <v>970</v>
      </c>
    </row>
    <row r="40" spans="2:15">
      <c r="H40" s="51" t="s">
        <v>971</v>
      </c>
    </row>
    <row r="41" spans="2:15">
      <c r="H41" s="51" t="s">
        <v>972</v>
      </c>
    </row>
    <row r="44" spans="2:15">
      <c r="B44" s="75" t="s">
        <v>973</v>
      </c>
      <c r="C44" s="75" t="s">
        <v>974</v>
      </c>
      <c r="D44" s="75" t="s">
        <v>975</v>
      </c>
      <c r="E44" s="75" t="s">
        <v>976</v>
      </c>
      <c r="F44" s="75" t="s">
        <v>977</v>
      </c>
      <c r="G44" s="75" t="s">
        <v>978</v>
      </c>
      <c r="H44" s="75" t="s">
        <v>979</v>
      </c>
      <c r="I44" s="75" t="s">
        <v>980</v>
      </c>
      <c r="J44" s="75" t="s">
        <v>981</v>
      </c>
      <c r="K44" s="75" t="s">
        <v>982</v>
      </c>
      <c r="L44" s="75" t="s">
        <v>983</v>
      </c>
      <c r="M44" s="75" t="s">
        <v>984</v>
      </c>
      <c r="N44" s="75" t="s">
        <v>985</v>
      </c>
      <c r="O44" s="75" t="s">
        <v>986</v>
      </c>
    </row>
    <row r="45" spans="2:15">
      <c r="B45" s="74" t="s">
        <v>987</v>
      </c>
      <c r="C45" s="74" t="s">
        <v>988</v>
      </c>
      <c r="D45" s="74" t="s">
        <v>989</v>
      </c>
      <c r="E45" s="74" t="s">
        <v>990</v>
      </c>
      <c r="F45" s="74" t="s">
        <v>991</v>
      </c>
      <c r="G45" s="74" t="s">
        <v>992</v>
      </c>
      <c r="H45" s="74" t="s">
        <v>993</v>
      </c>
      <c r="I45" s="74" t="s">
        <v>994</v>
      </c>
      <c r="J45" s="74" t="s">
        <v>995</v>
      </c>
      <c r="K45" s="74" t="s">
        <v>996</v>
      </c>
      <c r="L45" s="74" t="s">
        <v>997</v>
      </c>
      <c r="M45" s="74" t="s">
        <v>998</v>
      </c>
      <c r="N45" s="74" t="s">
        <v>999</v>
      </c>
      <c r="O45" s="74" t="s">
        <v>1000</v>
      </c>
    </row>
    <row r="46" spans="2:15">
      <c r="B46" s="74" t="s">
        <v>1001</v>
      </c>
      <c r="C46" s="74" t="s">
        <v>1002</v>
      </c>
      <c r="D46" s="74" t="s">
        <v>1003</v>
      </c>
      <c r="E46" s="74" t="s">
        <v>1004</v>
      </c>
      <c r="F46" s="74" t="s">
        <v>1005</v>
      </c>
      <c r="G46" s="74" t="s">
        <v>1006</v>
      </c>
      <c r="H46" s="74" t="s">
        <v>1007</v>
      </c>
      <c r="I46" s="74" t="s">
        <v>1008</v>
      </c>
      <c r="J46" s="74" t="s">
        <v>1009</v>
      </c>
      <c r="K46" s="74" t="s">
        <v>1010</v>
      </c>
      <c r="L46" s="74" t="s">
        <v>1011</v>
      </c>
      <c r="M46" s="74" t="s">
        <v>1012</v>
      </c>
      <c r="N46" s="74" t="s">
        <v>1013</v>
      </c>
      <c r="O46" s="74" t="s">
        <v>1014</v>
      </c>
    </row>
    <row r="47" spans="2:15">
      <c r="C47" s="74" t="s">
        <v>1015</v>
      </c>
      <c r="D47" s="74" t="s">
        <v>1016</v>
      </c>
      <c r="E47" s="74" t="s">
        <v>1017</v>
      </c>
      <c r="F47" s="74" t="s">
        <v>1018</v>
      </c>
      <c r="H47" s="74" t="s">
        <v>1019</v>
      </c>
      <c r="I47" s="74" t="s">
        <v>1020</v>
      </c>
      <c r="J47" s="74" t="s">
        <v>1021</v>
      </c>
      <c r="K47" s="74" t="s">
        <v>1022</v>
      </c>
      <c r="L47" s="74" t="s">
        <v>1023</v>
      </c>
      <c r="M47" s="74" t="s">
        <v>1024</v>
      </c>
      <c r="N47" s="74" t="s">
        <v>1025</v>
      </c>
      <c r="O47" s="74" t="s">
        <v>1026</v>
      </c>
    </row>
    <row r="48" spans="2:15">
      <c r="B48" s="74"/>
      <c r="C48" s="74" t="s">
        <v>1027</v>
      </c>
      <c r="D48" s="74" t="s">
        <v>1028</v>
      </c>
      <c r="E48" s="74" t="s">
        <v>1029</v>
      </c>
      <c r="F48" s="74" t="s">
        <v>1030</v>
      </c>
      <c r="H48" s="74" t="s">
        <v>1031</v>
      </c>
      <c r="I48" s="74" t="s">
        <v>1032</v>
      </c>
      <c r="J48" s="74" t="s">
        <v>1033</v>
      </c>
      <c r="K48" s="74" t="s">
        <v>1034</v>
      </c>
      <c r="L48" s="74" t="s">
        <v>1035</v>
      </c>
      <c r="M48" s="74" t="s">
        <v>1036</v>
      </c>
      <c r="N48" s="74" t="s">
        <v>1037</v>
      </c>
      <c r="O48" s="74" t="s">
        <v>1038</v>
      </c>
    </row>
    <row r="49" spans="2:15">
      <c r="C49" s="74" t="s">
        <v>1039</v>
      </c>
      <c r="D49" s="74" t="s">
        <v>1040</v>
      </c>
      <c r="E49" s="74" t="s">
        <v>1041</v>
      </c>
      <c r="F49" s="74" t="s">
        <v>1042</v>
      </c>
      <c r="H49" s="74" t="s">
        <v>1043</v>
      </c>
      <c r="I49" s="74" t="s">
        <v>1044</v>
      </c>
      <c r="J49" s="74" t="s">
        <v>1045</v>
      </c>
      <c r="K49" s="74" t="s">
        <v>1046</v>
      </c>
      <c r="L49" s="74" t="s">
        <v>1047</v>
      </c>
      <c r="M49" s="74" t="s">
        <v>1048</v>
      </c>
      <c r="N49" s="74"/>
      <c r="O49" s="74" t="s">
        <v>1049</v>
      </c>
    </row>
    <row r="50" spans="2:15">
      <c r="C50" s="74" t="s">
        <v>1050</v>
      </c>
      <c r="D50" s="74" t="s">
        <v>1051</v>
      </c>
      <c r="E50" s="74" t="s">
        <v>1052</v>
      </c>
      <c r="F50" s="74" t="s">
        <v>1053</v>
      </c>
      <c r="H50" s="74" t="s">
        <v>1054</v>
      </c>
      <c r="I50" s="74" t="s">
        <v>1055</v>
      </c>
      <c r="J50" s="74" t="s">
        <v>1056</v>
      </c>
      <c r="K50" s="74" t="s">
        <v>1057</v>
      </c>
      <c r="M50" s="74" t="s">
        <v>1058</v>
      </c>
      <c r="O50" s="74" t="s">
        <v>1059</v>
      </c>
    </row>
    <row r="51" spans="2:15">
      <c r="C51" s="74" t="s">
        <v>1060</v>
      </c>
      <c r="E51" s="74" t="s">
        <v>1061</v>
      </c>
      <c r="F51" s="74" t="s">
        <v>1062</v>
      </c>
      <c r="H51" s="74" t="s">
        <v>1063</v>
      </c>
      <c r="I51" s="74" t="s">
        <v>1064</v>
      </c>
      <c r="J51" s="74" t="s">
        <v>1065</v>
      </c>
      <c r="K51" s="74" t="s">
        <v>1066</v>
      </c>
      <c r="M51" s="74" t="s">
        <v>1067</v>
      </c>
      <c r="O51" s="74" t="s">
        <v>1068</v>
      </c>
    </row>
    <row r="52" spans="2:15">
      <c r="D52" s="74"/>
      <c r="E52" s="74" t="s">
        <v>1069</v>
      </c>
      <c r="F52" s="74" t="s">
        <v>1070</v>
      </c>
      <c r="H52" s="74" t="s">
        <v>1071</v>
      </c>
      <c r="I52" s="74" t="s">
        <v>1072</v>
      </c>
      <c r="K52" s="74" t="s">
        <v>1073</v>
      </c>
      <c r="O52" s="74" t="s">
        <v>1074</v>
      </c>
    </row>
    <row r="53" spans="2:15">
      <c r="E53" s="74" t="s">
        <v>1075</v>
      </c>
      <c r="F53" s="74" t="s">
        <v>1076</v>
      </c>
      <c r="H53" s="74" t="s">
        <v>1077</v>
      </c>
      <c r="I53" s="74" t="s">
        <v>1078</v>
      </c>
      <c r="K53" s="74" t="s">
        <v>1079</v>
      </c>
    </row>
    <row r="54" spans="2:15">
      <c r="E54" s="74"/>
      <c r="F54" s="74" t="s">
        <v>1080</v>
      </c>
      <c r="H54" s="74" t="s">
        <v>1081</v>
      </c>
      <c r="I54" s="74" t="s">
        <v>1082</v>
      </c>
      <c r="K54" s="74" t="s">
        <v>1083</v>
      </c>
    </row>
    <row r="55" spans="2:15">
      <c r="F55" s="74" t="s">
        <v>1084</v>
      </c>
      <c r="H55" s="74" t="s">
        <v>1085</v>
      </c>
      <c r="I55" s="74" t="s">
        <v>1086</v>
      </c>
      <c r="K55" s="74" t="s">
        <v>1087</v>
      </c>
    </row>
    <row r="56" spans="2:15">
      <c r="F56" s="74" t="s">
        <v>1088</v>
      </c>
      <c r="H56" s="74" t="s">
        <v>1089</v>
      </c>
      <c r="I56" s="74" t="s">
        <v>1090</v>
      </c>
      <c r="K56" s="74" t="s">
        <v>1091</v>
      </c>
    </row>
    <row r="57" spans="2:15">
      <c r="F57" s="74" t="s">
        <v>1092</v>
      </c>
      <c r="H57" s="74" t="s">
        <v>1093</v>
      </c>
      <c r="I57" s="74" t="s">
        <v>1094</v>
      </c>
      <c r="K57" s="74" t="s">
        <v>1095</v>
      </c>
    </row>
    <row r="58" spans="2:15">
      <c r="F58" s="74" t="s">
        <v>1096</v>
      </c>
      <c r="H58" s="74" t="s">
        <v>1097</v>
      </c>
      <c r="I58" s="74" t="s">
        <v>1098</v>
      </c>
    </row>
    <row r="59" spans="2:15">
      <c r="B59" s="74"/>
      <c r="H59" s="74" t="s">
        <v>1099</v>
      </c>
      <c r="I59" s="74"/>
      <c r="K59" s="74"/>
    </row>
    <row r="60" spans="2:15">
      <c r="C60" s="76" t="s">
        <v>1100</v>
      </c>
      <c r="E60" s="76" t="s">
        <v>1101</v>
      </c>
      <c r="G60" t="s">
        <v>1102</v>
      </c>
      <c r="I60" s="76" t="s">
        <v>1103</v>
      </c>
    </row>
    <row r="61" spans="2:15">
      <c r="C61" t="s">
        <v>1104</v>
      </c>
      <c r="D61" s="80">
        <v>100</v>
      </c>
      <c r="E61" s="76" t="s">
        <v>1105</v>
      </c>
      <c r="F61">
        <v>100</v>
      </c>
      <c r="G61" t="s">
        <v>1106</v>
      </c>
      <c r="H61">
        <v>100</v>
      </c>
      <c r="I61" s="76" t="s">
        <v>1107</v>
      </c>
      <c r="J61" s="81">
        <v>100</v>
      </c>
      <c r="K61" s="74"/>
    </row>
    <row r="62" spans="2:15">
      <c r="C62" s="76" t="s">
        <v>1108</v>
      </c>
      <c r="D62" s="80">
        <v>60</v>
      </c>
      <c r="E62" s="76" t="s">
        <v>1109</v>
      </c>
      <c r="F62">
        <v>60</v>
      </c>
      <c r="G62" s="76" t="s">
        <v>1110</v>
      </c>
      <c r="H62">
        <v>60</v>
      </c>
      <c r="I62" s="74" t="s">
        <v>1111</v>
      </c>
      <c r="J62" s="81">
        <v>60</v>
      </c>
    </row>
    <row r="63" spans="2:15">
      <c r="C63" t="s">
        <v>1112</v>
      </c>
      <c r="D63" s="80">
        <v>20</v>
      </c>
      <c r="E63" s="76" t="s">
        <v>1113</v>
      </c>
      <c r="F63" s="74">
        <v>40</v>
      </c>
      <c r="G63" s="76" t="s">
        <v>1114</v>
      </c>
      <c r="H63" s="74">
        <v>40</v>
      </c>
      <c r="I63" s="74" t="s">
        <v>1115</v>
      </c>
      <c r="J63" s="81">
        <v>20</v>
      </c>
    </row>
    <row r="64" spans="2:15">
      <c r="E64" s="76" t="s">
        <v>1116</v>
      </c>
      <c r="F64">
        <v>0</v>
      </c>
      <c r="G64" t="s">
        <v>1117</v>
      </c>
      <c r="H64">
        <v>0</v>
      </c>
      <c r="I64" s="74" t="s">
        <v>1118</v>
      </c>
      <c r="J64" s="81">
        <v>0</v>
      </c>
    </row>
    <row r="65" spans="2:11">
      <c r="I65" s="74" t="s">
        <v>1119</v>
      </c>
      <c r="J65" t="s">
        <v>1120</v>
      </c>
    </row>
    <row r="68" spans="2:11">
      <c r="F68" s="74"/>
    </row>
    <row r="70" spans="2:11">
      <c r="B70" s="74"/>
      <c r="K70" s="75"/>
    </row>
    <row r="71" spans="2:11">
      <c r="B71" s="74"/>
    </row>
    <row r="86" spans="2:11">
      <c r="B86" s="75"/>
    </row>
    <row r="87" spans="2:11">
      <c r="F87" s="74" t="s">
        <v>695</v>
      </c>
      <c r="K87" s="75"/>
    </row>
    <row r="110" spans="6:6">
      <c r="F110" s="74"/>
    </row>
    <row r="121" spans="6:6">
      <c r="F121" s="74"/>
    </row>
  </sheetData>
  <sheetProtection algorithmName="SHA-512" hashValue="ir0+NBvpf7lUGCyLq83BfIlGTJJDDh7Zqx/6H1WQLKHvds4O7oC70fmP58jV8I3NJf/sDem/sbCBokcKmezj7w==" saltValue="SVpnOM6QaQMttH5ezqZ/Tw==" spinCount="100000" sheet="1" objects="1" scenarios="1"/>
  <sortState ref="C20:D93">
    <sortCondition ref="D20:D93"/>
  </sortState>
  <mergeCells count="3">
    <mergeCell ref="G1:M1"/>
    <mergeCell ref="B12:H12"/>
    <mergeCell ref="B18:H1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
  <sheetViews>
    <sheetView zoomScale="120" zoomScaleNormal="120" workbookViewId="0">
      <selection activeCell="E20" sqref="E20"/>
    </sheetView>
  </sheetViews>
  <sheetFormatPr baseColWidth="10" defaultColWidth="11.42578125" defaultRowHeight="15"/>
  <cols>
    <col min="2" max="2" width="2.140625" bestFit="1" customWidth="1"/>
    <col min="3" max="3" width="14.42578125" bestFit="1" customWidth="1"/>
    <col min="4" max="5" width="39.140625" customWidth="1"/>
  </cols>
  <sheetData>
    <row r="2" spans="2:5" ht="15.75" thickBot="1"/>
    <row r="3" spans="2:5">
      <c r="B3" s="651" t="s">
        <v>1121</v>
      </c>
      <c r="C3" s="652"/>
      <c r="D3" s="652"/>
      <c r="E3" s="653"/>
    </row>
    <row r="4" spans="2:5" ht="15.75" thickBot="1">
      <c r="B4" s="654" t="s">
        <v>1122</v>
      </c>
      <c r="C4" s="655"/>
      <c r="D4" s="112" t="s">
        <v>1123</v>
      </c>
      <c r="E4" s="82" t="s">
        <v>1124</v>
      </c>
    </row>
    <row r="5" spans="2:5" ht="25.5">
      <c r="B5" s="83">
        <v>5</v>
      </c>
      <c r="C5" s="84" t="s">
        <v>63</v>
      </c>
      <c r="D5" s="85" t="s">
        <v>1125</v>
      </c>
      <c r="E5" s="86" t="s">
        <v>1126</v>
      </c>
    </row>
    <row r="6" spans="2:5" ht="25.5">
      <c r="B6" s="87">
        <v>4</v>
      </c>
      <c r="C6" s="203" t="s">
        <v>53</v>
      </c>
      <c r="D6" s="204" t="s">
        <v>1127</v>
      </c>
      <c r="E6" s="88" t="s">
        <v>1128</v>
      </c>
    </row>
    <row r="7" spans="2:5" ht="25.5">
      <c r="B7" s="87">
        <v>3</v>
      </c>
      <c r="C7" s="203" t="s">
        <v>44</v>
      </c>
      <c r="D7" s="204" t="s">
        <v>1129</v>
      </c>
      <c r="E7" s="88" t="s">
        <v>1130</v>
      </c>
    </row>
    <row r="8" spans="2:5" ht="25.5">
      <c r="B8" s="87">
        <v>2</v>
      </c>
      <c r="C8" s="203" t="s">
        <v>31</v>
      </c>
      <c r="D8" s="204" t="s">
        <v>1131</v>
      </c>
      <c r="E8" s="88" t="s">
        <v>1132</v>
      </c>
    </row>
    <row r="9" spans="2:5" ht="26.25" thickBot="1">
      <c r="B9" s="89">
        <v>1</v>
      </c>
      <c r="C9" s="90" t="s">
        <v>1133</v>
      </c>
      <c r="D9" s="91" t="s">
        <v>1134</v>
      </c>
      <c r="E9" s="92" t="s">
        <v>1135</v>
      </c>
    </row>
  </sheetData>
  <sheetProtection algorithmName="SHA-512" hashValue="YCjIHHY7/gVy63gS5EtK4CtmItvBNGmFK2Wt4gKOD19AXGdL6Mo68oy+vEZdfdIQH038XPdtUKqShEMZCwvZ2A==" saltValue="NqEw9QCXL6YpHoOPUIbsjQ==" spinCount="100000" sheet="1" objects="1" scenarios="1"/>
  <mergeCells count="2">
    <mergeCell ref="B3:E3"/>
    <mergeCell ref="B4:C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16"/>
  <sheetViews>
    <sheetView topLeftCell="B1" workbookViewId="0">
      <selection activeCell="G7" sqref="G7"/>
    </sheetView>
  </sheetViews>
  <sheetFormatPr baseColWidth="10" defaultColWidth="11.42578125" defaultRowHeight="15"/>
  <cols>
    <col min="3" max="3" width="24.85546875" bestFit="1" customWidth="1"/>
    <col min="4" max="4" width="53.28515625" bestFit="1" customWidth="1"/>
    <col min="5" max="5" width="45.5703125" bestFit="1" customWidth="1"/>
    <col min="6" max="6" width="30.5703125" customWidth="1"/>
    <col min="7" max="7" width="18.7109375" customWidth="1"/>
  </cols>
  <sheetData>
    <row r="3" spans="3:9" ht="15.75" thickBot="1"/>
    <row r="4" spans="3:9">
      <c r="C4" s="656" t="s">
        <v>1136</v>
      </c>
      <c r="D4" s="657"/>
      <c r="E4" s="657"/>
      <c r="F4" s="657"/>
      <c r="G4" s="658"/>
    </row>
    <row r="5" spans="3:9" ht="15.75" thickBot="1">
      <c r="C5" s="659"/>
      <c r="D5" s="660"/>
      <c r="E5" s="660"/>
      <c r="F5" s="660"/>
      <c r="G5" s="661"/>
    </row>
    <row r="6" spans="3:9">
      <c r="C6" s="24"/>
      <c r="D6" s="24"/>
      <c r="E6" s="24"/>
      <c r="F6" s="24"/>
      <c r="G6" s="24"/>
    </row>
    <row r="7" spans="3:9">
      <c r="C7" t="s">
        <v>1123</v>
      </c>
      <c r="D7" t="s">
        <v>1137</v>
      </c>
      <c r="E7" t="s">
        <v>1138</v>
      </c>
      <c r="F7" t="s">
        <v>1139</v>
      </c>
      <c r="G7" t="s">
        <v>1140</v>
      </c>
    </row>
    <row r="8" spans="3:9" ht="70.5" customHeight="1">
      <c r="C8" s="23"/>
      <c r="D8" s="23" t="s">
        <v>1141</v>
      </c>
      <c r="E8" s="23" t="s">
        <v>1142</v>
      </c>
      <c r="F8" s="23" t="s">
        <v>1143</v>
      </c>
      <c r="G8" s="23" t="s">
        <v>1144</v>
      </c>
    </row>
    <row r="9" spans="3:9" ht="75">
      <c r="C9" s="23"/>
      <c r="D9" s="23" t="s">
        <v>1145</v>
      </c>
    </row>
    <row r="10" spans="3:9">
      <c r="C10" s="23"/>
    </row>
    <row r="11" spans="3:9">
      <c r="C11" s="23"/>
    </row>
    <row r="16" spans="3:9">
      <c r="I16" s="23"/>
    </row>
  </sheetData>
  <mergeCells count="1">
    <mergeCell ref="C4:G5"/>
  </mergeCell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8"/>
  <sheetViews>
    <sheetView topLeftCell="J1" workbookViewId="0">
      <selection activeCell="S7" sqref="S7"/>
    </sheetView>
  </sheetViews>
  <sheetFormatPr baseColWidth="10" defaultColWidth="11.42578125" defaultRowHeight="15"/>
  <cols>
    <col min="2" max="2" width="13.85546875" customWidth="1"/>
    <col min="3" max="3" width="11.42578125" customWidth="1"/>
    <col min="4" max="4" width="13.28515625" customWidth="1"/>
    <col min="5" max="5" width="12.28515625" bestFit="1" customWidth="1"/>
    <col min="6" max="6" width="23.5703125" customWidth="1"/>
    <col min="7" max="7" width="24.85546875" customWidth="1"/>
    <col min="8" max="8" width="17.7109375" customWidth="1"/>
    <col min="10" max="10" width="17.140625" customWidth="1"/>
    <col min="11" max="11" width="19.5703125" customWidth="1"/>
    <col min="12" max="12" width="37.28515625" customWidth="1"/>
    <col min="13" max="13" width="21.42578125" customWidth="1"/>
  </cols>
  <sheetData>
    <row r="2" spans="2:16">
      <c r="B2" s="10" t="s">
        <v>1</v>
      </c>
      <c r="C2" s="10" t="s">
        <v>1</v>
      </c>
      <c r="D2" s="10" t="s">
        <v>3</v>
      </c>
      <c r="E2" s="10" t="s">
        <v>5</v>
      </c>
      <c r="F2" s="10" t="s">
        <v>6</v>
      </c>
      <c r="G2" s="10" t="s">
        <v>7</v>
      </c>
      <c r="H2" s="10" t="s">
        <v>8</v>
      </c>
      <c r="J2" s="10" t="s">
        <v>5</v>
      </c>
      <c r="K2" s="10" t="s">
        <v>6</v>
      </c>
      <c r="L2" s="10" t="s">
        <v>9</v>
      </c>
      <c r="O2" s="10" t="s">
        <v>10</v>
      </c>
    </row>
    <row r="3" spans="2:16">
      <c r="B3" t="s">
        <v>1146</v>
      </c>
      <c r="C3" t="s">
        <v>1147</v>
      </c>
      <c r="D3" t="s">
        <v>1148</v>
      </c>
      <c r="E3" s="11" t="s">
        <v>17</v>
      </c>
      <c r="F3" s="11" t="s">
        <v>18</v>
      </c>
      <c r="G3" t="s">
        <v>19</v>
      </c>
      <c r="H3" t="s">
        <v>20</v>
      </c>
      <c r="J3" s="11" t="s">
        <v>21</v>
      </c>
      <c r="K3" s="11" t="s">
        <v>18</v>
      </c>
      <c r="L3" t="s">
        <v>22</v>
      </c>
      <c r="M3" t="s">
        <v>23</v>
      </c>
      <c r="O3" t="s">
        <v>1149</v>
      </c>
      <c r="P3" t="s">
        <v>24</v>
      </c>
    </row>
    <row r="4" spans="2:16">
      <c r="B4" t="s">
        <v>1150</v>
      </c>
      <c r="C4" t="s">
        <v>1151</v>
      </c>
      <c r="D4" t="s">
        <v>52</v>
      </c>
      <c r="E4" s="11" t="s">
        <v>31</v>
      </c>
      <c r="F4" s="11" t="s">
        <v>32</v>
      </c>
      <c r="G4" s="11" t="s">
        <v>33</v>
      </c>
      <c r="H4" t="s">
        <v>34</v>
      </c>
      <c r="J4" s="11" t="s">
        <v>31</v>
      </c>
      <c r="K4" s="11" t="s">
        <v>32</v>
      </c>
      <c r="L4" t="s">
        <v>35</v>
      </c>
      <c r="M4" t="s">
        <v>23</v>
      </c>
      <c r="O4" t="s">
        <v>36</v>
      </c>
      <c r="P4" t="s">
        <v>37</v>
      </c>
    </row>
    <row r="5" spans="2:16">
      <c r="B5" t="s">
        <v>1152</v>
      </c>
      <c r="C5" t="s">
        <v>1153</v>
      </c>
      <c r="D5" t="s">
        <v>69</v>
      </c>
      <c r="E5" s="11" t="s">
        <v>42</v>
      </c>
      <c r="F5" s="11" t="s">
        <v>36</v>
      </c>
      <c r="G5" t="s">
        <v>43</v>
      </c>
      <c r="J5" s="11" t="s">
        <v>44</v>
      </c>
      <c r="K5" s="11" t="s">
        <v>36</v>
      </c>
      <c r="L5" t="s">
        <v>45</v>
      </c>
      <c r="M5" t="s">
        <v>36</v>
      </c>
      <c r="O5" t="s">
        <v>46</v>
      </c>
      <c r="P5" t="s">
        <v>47</v>
      </c>
    </row>
    <row r="6" spans="2:16">
      <c r="B6" t="s">
        <v>1154</v>
      </c>
      <c r="C6" t="s">
        <v>1154</v>
      </c>
      <c r="D6" t="s">
        <v>62</v>
      </c>
      <c r="E6" s="11" t="s">
        <v>53</v>
      </c>
      <c r="F6" s="11" t="s">
        <v>54</v>
      </c>
      <c r="G6" t="s">
        <v>55</v>
      </c>
      <c r="J6" s="11" t="s">
        <v>53</v>
      </c>
      <c r="K6" s="11" t="s">
        <v>54</v>
      </c>
      <c r="L6" t="s">
        <v>56</v>
      </c>
      <c r="M6" t="s">
        <v>46</v>
      </c>
      <c r="O6" t="s">
        <v>57</v>
      </c>
      <c r="P6" t="s">
        <v>58</v>
      </c>
    </row>
    <row r="7" spans="2:16">
      <c r="B7" t="s">
        <v>1155</v>
      </c>
      <c r="C7" t="s">
        <v>1156</v>
      </c>
      <c r="D7" t="s">
        <v>15</v>
      </c>
      <c r="E7" s="11" t="s">
        <v>63</v>
      </c>
      <c r="F7" s="11" t="s">
        <v>64</v>
      </c>
      <c r="G7" s="11"/>
      <c r="J7" s="11" t="s">
        <v>63</v>
      </c>
      <c r="K7" s="11" t="s">
        <v>64</v>
      </c>
      <c r="L7" t="s">
        <v>65</v>
      </c>
      <c r="M7" t="s">
        <v>57</v>
      </c>
    </row>
    <row r="8" spans="2:16">
      <c r="B8" t="s">
        <v>1156</v>
      </c>
      <c r="C8" t="s">
        <v>1155</v>
      </c>
      <c r="D8" t="s">
        <v>41</v>
      </c>
      <c r="L8" t="s">
        <v>70</v>
      </c>
      <c r="M8" t="s">
        <v>23</v>
      </c>
    </row>
    <row r="9" spans="2:16">
      <c r="B9" t="s">
        <v>1151</v>
      </c>
      <c r="C9" t="s">
        <v>1150</v>
      </c>
      <c r="D9" t="s">
        <v>29</v>
      </c>
      <c r="L9" t="s">
        <v>73</v>
      </c>
      <c r="M9" t="s">
        <v>23</v>
      </c>
    </row>
    <row r="10" spans="2:16">
      <c r="B10" t="s">
        <v>1157</v>
      </c>
      <c r="C10" t="s">
        <v>1158</v>
      </c>
      <c r="L10" t="s">
        <v>76</v>
      </c>
      <c r="M10" t="s">
        <v>36</v>
      </c>
    </row>
    <row r="11" spans="2:16">
      <c r="B11" t="s">
        <v>1147</v>
      </c>
      <c r="C11" t="s">
        <v>92</v>
      </c>
      <c r="L11" t="s">
        <v>78</v>
      </c>
      <c r="M11" t="s">
        <v>46</v>
      </c>
    </row>
    <row r="12" spans="2:16">
      <c r="B12" t="s">
        <v>1159</v>
      </c>
      <c r="C12" t="s">
        <v>1159</v>
      </c>
      <c r="L12" t="s">
        <v>81</v>
      </c>
      <c r="M12" t="s">
        <v>57</v>
      </c>
    </row>
    <row r="13" spans="2:16">
      <c r="B13" t="s">
        <v>1160</v>
      </c>
      <c r="C13" t="s">
        <v>1161</v>
      </c>
      <c r="L13" t="s">
        <v>85</v>
      </c>
      <c r="M13" t="s">
        <v>23</v>
      </c>
    </row>
    <row r="14" spans="2:16">
      <c r="B14" t="s">
        <v>1153</v>
      </c>
      <c r="C14" t="s">
        <v>98</v>
      </c>
      <c r="L14" t="s">
        <v>88</v>
      </c>
      <c r="M14" t="s">
        <v>36</v>
      </c>
    </row>
    <row r="15" spans="2:16">
      <c r="B15" t="s">
        <v>1161</v>
      </c>
      <c r="C15" t="s">
        <v>86</v>
      </c>
      <c r="L15" t="s">
        <v>91</v>
      </c>
      <c r="M15" t="s">
        <v>46</v>
      </c>
    </row>
    <row r="16" spans="2:16">
      <c r="B16" t="s">
        <v>1162</v>
      </c>
      <c r="C16" t="s">
        <v>1163</v>
      </c>
      <c r="L16" t="s">
        <v>94</v>
      </c>
      <c r="M16" t="s">
        <v>57</v>
      </c>
    </row>
    <row r="17" spans="2:13">
      <c r="B17" t="s">
        <v>98</v>
      </c>
      <c r="C17" t="s">
        <v>1164</v>
      </c>
      <c r="L17" t="s">
        <v>97</v>
      </c>
      <c r="M17" t="s">
        <v>57</v>
      </c>
    </row>
    <row r="18" spans="2:13">
      <c r="B18" t="s">
        <v>1165</v>
      </c>
      <c r="C18" t="s">
        <v>1165</v>
      </c>
      <c r="L18" t="s">
        <v>100</v>
      </c>
      <c r="M18" t="s">
        <v>36</v>
      </c>
    </row>
    <row r="19" spans="2:13">
      <c r="B19" t="s">
        <v>1164</v>
      </c>
      <c r="C19" t="s">
        <v>1152</v>
      </c>
      <c r="L19" t="s">
        <v>103</v>
      </c>
      <c r="M19" t="s">
        <v>46</v>
      </c>
    </row>
    <row r="20" spans="2:13">
      <c r="B20" t="s">
        <v>92</v>
      </c>
      <c r="C20" t="s">
        <v>1162</v>
      </c>
      <c r="L20" t="s">
        <v>106</v>
      </c>
      <c r="M20" t="s">
        <v>46</v>
      </c>
    </row>
    <row r="21" spans="2:13">
      <c r="B21" t="s">
        <v>86</v>
      </c>
      <c r="C21" t="s">
        <v>1157</v>
      </c>
      <c r="L21" t="s">
        <v>107</v>
      </c>
      <c r="M21" t="s">
        <v>57</v>
      </c>
    </row>
    <row r="22" spans="2:13">
      <c r="B22" t="s">
        <v>1163</v>
      </c>
      <c r="C22" t="s">
        <v>1160</v>
      </c>
      <c r="L22" t="s">
        <v>108</v>
      </c>
      <c r="M22" t="s">
        <v>57</v>
      </c>
    </row>
    <row r="23" spans="2:13">
      <c r="B23" t="s">
        <v>1158</v>
      </c>
      <c r="C23" t="s">
        <v>1146</v>
      </c>
      <c r="L23" t="s">
        <v>109</v>
      </c>
      <c r="M23" t="s">
        <v>46</v>
      </c>
    </row>
    <row r="24" spans="2:13">
      <c r="L24" t="s">
        <v>110</v>
      </c>
      <c r="M24" t="s">
        <v>46</v>
      </c>
    </row>
    <row r="25" spans="2:13">
      <c r="B25" s="10" t="s">
        <v>111</v>
      </c>
      <c r="D25" s="10" t="s">
        <v>113</v>
      </c>
      <c r="F25" s="10" t="s">
        <v>114</v>
      </c>
      <c r="L25" t="s">
        <v>115</v>
      </c>
      <c r="M25" t="s">
        <v>57</v>
      </c>
    </row>
    <row r="26" spans="2:13">
      <c r="B26" t="s">
        <v>116</v>
      </c>
      <c r="D26" t="s">
        <v>25</v>
      </c>
      <c r="F26" t="s">
        <v>20</v>
      </c>
      <c r="L26" t="s">
        <v>119</v>
      </c>
      <c r="M26" t="s">
        <v>57</v>
      </c>
    </row>
    <row r="27" spans="2:13">
      <c r="B27" t="s">
        <v>120</v>
      </c>
      <c r="D27" t="s">
        <v>36</v>
      </c>
      <c r="F27" t="s">
        <v>123</v>
      </c>
      <c r="L27" t="s">
        <v>124</v>
      </c>
      <c r="M27" t="s">
        <v>57</v>
      </c>
    </row>
    <row r="28" spans="2:13">
      <c r="D28" t="s">
        <v>48</v>
      </c>
    </row>
  </sheetData>
  <sheetProtection algorithmName="SHA-512" hashValue="NPKkYXgavLSzkSgJQaknIt700GWt4nvdm9YyMBFp1mKE7NScaYdnftH9NCEixnWAF+neYR5N8Xd7AULtGR6wIw==" saltValue="W5Hho+MnLKu7AHwbVgeFAg==" spinCount="100000" sheet="1" objects="1" scenarios="1"/>
  <customSheetViews>
    <customSheetView guid="{82BC0C9B-70E2-44EC-8408-64CC9B36E280}" state="hidden" topLeftCell="C1">
      <selection activeCell="F23" sqref="F23"/>
      <pageMargins left="0" right="0" top="0" bottom="0" header="0" footer="0"/>
      <pageSetup orientation="portrait" r:id="rId1"/>
    </customSheetView>
    <customSheetView guid="{795C8354-6623-430F-B16F-866AD45BC174}" state="hidden" topLeftCell="C1">
      <selection activeCell="F23" sqref="F23"/>
      <pageMargins left="0" right="0" top="0" bottom="0" header="0" footer="0"/>
      <pageSetup orientation="portrait" r:id="rId2"/>
    </customSheetView>
    <customSheetView guid="{F8FDF2EC-A9AD-41AC-8138-AA3657B53E6D}" state="hidden" topLeftCell="C1">
      <selection activeCell="F23" sqref="F23"/>
      <pageMargins left="0" right="0" top="0" bottom="0" header="0" footer="0"/>
      <pageSetup orientation="portrait" r:id="rId3"/>
    </customSheetView>
  </customSheetViews>
  <pageMargins left="0.7" right="0.7" top="0.75" bottom="0.75" header="0.3" footer="0.3"/>
  <pageSetup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F28"/>
  <sheetViews>
    <sheetView topLeftCell="A16" zoomScale="130" zoomScaleNormal="130" workbookViewId="0">
      <selection activeCell="D28" sqref="D28"/>
    </sheetView>
  </sheetViews>
  <sheetFormatPr baseColWidth="10" defaultColWidth="11.42578125" defaultRowHeight="15"/>
  <cols>
    <col min="4" max="4" width="47.7109375" bestFit="1" customWidth="1"/>
    <col min="5" max="5" width="54.140625" customWidth="1"/>
    <col min="6" max="6" width="27.140625" customWidth="1"/>
  </cols>
  <sheetData>
    <row r="5" spans="3:6" ht="14.25" customHeight="1" thickBot="1"/>
    <row r="6" spans="3:6" ht="15.75" thickBot="1">
      <c r="C6" s="32" t="s">
        <v>1166</v>
      </c>
      <c r="D6" s="33" t="s">
        <v>1167</v>
      </c>
      <c r="E6" s="34" t="s">
        <v>1168</v>
      </c>
    </row>
    <row r="7" spans="3:6" ht="30">
      <c r="C7" s="35" t="s">
        <v>1169</v>
      </c>
      <c r="D7" s="205" t="s">
        <v>1170</v>
      </c>
      <c r="E7" s="137" t="s">
        <v>1171</v>
      </c>
      <c r="F7" s="100"/>
    </row>
    <row r="8" spans="3:6" ht="30">
      <c r="C8" s="36" t="s">
        <v>1172</v>
      </c>
      <c r="D8" s="206" t="s">
        <v>1173</v>
      </c>
      <c r="E8" s="138" t="s">
        <v>1174</v>
      </c>
      <c r="F8" s="128"/>
    </row>
    <row r="9" spans="3:6" ht="51">
      <c r="C9" s="37" t="s">
        <v>1175</v>
      </c>
      <c r="D9" s="207" t="s">
        <v>1176</v>
      </c>
      <c r="E9" s="139" t="s">
        <v>1177</v>
      </c>
      <c r="F9" s="208" t="s">
        <v>1178</v>
      </c>
    </row>
    <row r="10" spans="3:6" ht="45">
      <c r="C10" s="38" t="s">
        <v>1179</v>
      </c>
      <c r="D10" s="209" t="s">
        <v>1180</v>
      </c>
      <c r="E10" s="140" t="s">
        <v>1181</v>
      </c>
    </row>
    <row r="11" spans="3:6" ht="30">
      <c r="C11" s="39" t="s">
        <v>1182</v>
      </c>
      <c r="D11" s="210" t="s">
        <v>1183</v>
      </c>
      <c r="E11" s="141" t="s">
        <v>1184</v>
      </c>
    </row>
    <row r="12" spans="3:6" ht="30">
      <c r="C12" s="40" t="s">
        <v>1185</v>
      </c>
      <c r="D12" s="211" t="s">
        <v>1186</v>
      </c>
      <c r="E12" s="142" t="s">
        <v>1187</v>
      </c>
    </row>
    <row r="13" spans="3:6">
      <c r="C13" s="41" t="s">
        <v>1188</v>
      </c>
      <c r="D13" s="212" t="s">
        <v>1189</v>
      </c>
      <c r="E13" s="143" t="s">
        <v>766</v>
      </c>
    </row>
    <row r="14" spans="3:6" ht="30">
      <c r="C14" s="41" t="s">
        <v>1190</v>
      </c>
      <c r="D14" s="212" t="s">
        <v>1191</v>
      </c>
      <c r="E14" s="143" t="s">
        <v>1192</v>
      </c>
    </row>
    <row r="15" spans="3:6" ht="30.75" thickBot="1">
      <c r="C15" s="42" t="s">
        <v>1193</v>
      </c>
      <c r="D15" s="43" t="s">
        <v>1194</v>
      </c>
      <c r="E15" s="44" t="s">
        <v>1195</v>
      </c>
    </row>
    <row r="16" spans="3:6" ht="15.75" thickBot="1"/>
    <row r="17" spans="3:6" ht="15.75" thickBot="1">
      <c r="C17" s="662" t="s">
        <v>1196</v>
      </c>
      <c r="D17" s="663"/>
      <c r="E17" s="664"/>
    </row>
    <row r="18" spans="3:6" ht="15.75" thickBot="1"/>
    <row r="19" spans="3:6">
      <c r="C19" s="665" t="str">
        <f>+CONCATENATE(E7," ",E8," ",E9," ",E10," ",E11," ",E12)</f>
        <v>El tesorero, el secretario general y/o el cordinador del grupo de gestión financiera, cada vez que se requiera realizar un movimiento bancario y con el fin de prevenir que los movimientos que se den por ventanilla sean suplantados, todas las solicitudes de débitos o traslados se realizarán mediante oficio con dos firmas de aprobación que se encuentren autorizadas ante la entidad bancaria. Si no se cuenta con las dos firmas de aprobación, no se podrá realizar el débito o traslado bancario. Como evidencia queda el oficio radicado ante entidad bancaria con las dos firmas.</v>
      </c>
      <c r="D19" s="666"/>
      <c r="E19" s="667"/>
      <c r="F19" t="s">
        <v>1197</v>
      </c>
    </row>
    <row r="20" spans="3:6">
      <c r="C20" s="668"/>
      <c r="D20" s="669"/>
      <c r="E20" s="670"/>
    </row>
    <row r="21" spans="3:6">
      <c r="C21" s="668"/>
      <c r="D21" s="669"/>
      <c r="E21" s="670"/>
      <c r="F21" t="s">
        <v>1198</v>
      </c>
    </row>
    <row r="22" spans="3:6">
      <c r="C22" s="668"/>
      <c r="D22" s="669"/>
      <c r="E22" s="670"/>
      <c r="F22" t="s">
        <v>756</v>
      </c>
    </row>
    <row r="23" spans="3:6">
      <c r="C23" s="668"/>
      <c r="D23" s="669"/>
      <c r="E23" s="670"/>
    </row>
    <row r="24" spans="3:6">
      <c r="C24" s="668"/>
      <c r="D24" s="669"/>
      <c r="E24" s="670"/>
    </row>
    <row r="25" spans="3:6" ht="87" customHeight="1" thickBot="1">
      <c r="C25" s="671"/>
      <c r="D25" s="672"/>
      <c r="E25" s="673"/>
    </row>
    <row r="28" spans="3:6">
      <c r="D28" t="s">
        <v>1199</v>
      </c>
    </row>
  </sheetData>
  <mergeCells count="2">
    <mergeCell ref="C17:E17"/>
    <mergeCell ref="C19:E2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'https://minjusticiagovco-my.sharepoint.com/C:/Users/DIGITAL EXITO/Downloads/[Corrupción (1).xlsx]Hoja2'!#REF!</xm:f>
          </x14:formula1>
          <xm:sqref>E13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J20"/>
  <sheetViews>
    <sheetView showGridLines="0" workbookViewId="0">
      <selection activeCell="K1" sqref="K1:K1048576"/>
    </sheetView>
  </sheetViews>
  <sheetFormatPr baseColWidth="10" defaultColWidth="9.28515625" defaultRowHeight="15"/>
  <cols>
    <col min="1" max="5" width="3.7109375" customWidth="1"/>
    <col min="6" max="6" width="1.28515625" customWidth="1"/>
    <col min="7" max="36" width="3.7109375" customWidth="1"/>
  </cols>
  <sheetData>
    <row r="1" spans="3:36" ht="18" customHeight="1"/>
    <row r="4" spans="3:36" ht="51" customHeight="1">
      <c r="C4" s="1"/>
      <c r="D4" s="1"/>
      <c r="E4" s="683" t="s">
        <v>1200</v>
      </c>
      <c r="F4" s="1"/>
      <c r="G4" s="675" t="s">
        <v>1201</v>
      </c>
      <c r="H4" s="675"/>
      <c r="I4" s="675"/>
      <c r="J4" s="675"/>
      <c r="K4" s="675"/>
      <c r="L4" s="675"/>
      <c r="M4" s="678"/>
      <c r="N4" s="678"/>
      <c r="O4" s="678"/>
      <c r="P4" s="678"/>
      <c r="Q4" s="678"/>
      <c r="R4" s="678"/>
      <c r="S4" s="678"/>
      <c r="T4" s="678"/>
      <c r="U4" s="674"/>
      <c r="V4" s="674"/>
      <c r="W4" s="674"/>
      <c r="X4" s="674"/>
      <c r="Y4" s="674">
        <v>3</v>
      </c>
      <c r="Z4" s="674"/>
      <c r="AA4" s="674"/>
      <c r="AB4" s="674"/>
      <c r="AC4" s="674"/>
      <c r="AD4" s="674"/>
      <c r="AE4" s="674"/>
      <c r="AF4" s="674"/>
      <c r="AG4" s="1"/>
      <c r="AH4" s="1"/>
      <c r="AI4" s="1"/>
      <c r="AJ4" s="2"/>
    </row>
    <row r="5" spans="3:36" ht="51" customHeight="1">
      <c r="C5" s="1"/>
      <c r="D5" s="1"/>
      <c r="E5" s="683"/>
      <c r="F5" s="1"/>
      <c r="G5" s="675" t="s">
        <v>1202</v>
      </c>
      <c r="H5" s="675"/>
      <c r="I5" s="675"/>
      <c r="J5" s="675"/>
      <c r="K5" s="675"/>
      <c r="L5" s="675"/>
      <c r="M5" s="677">
        <v>2</v>
      </c>
      <c r="N5" s="677"/>
      <c r="O5" s="677"/>
      <c r="P5" s="677"/>
      <c r="Q5" s="678"/>
      <c r="R5" s="678"/>
      <c r="S5" s="678"/>
      <c r="T5" s="678"/>
      <c r="U5" s="678">
        <v>7</v>
      </c>
      <c r="V5" s="678"/>
      <c r="W5" s="678"/>
      <c r="X5" s="678"/>
      <c r="Y5" s="674">
        <v>5</v>
      </c>
      <c r="Z5" s="674"/>
      <c r="AA5" s="674"/>
      <c r="AB5" s="674"/>
      <c r="AC5" s="674"/>
      <c r="AD5" s="674"/>
      <c r="AE5" s="674"/>
      <c r="AF5" s="674"/>
      <c r="AG5" s="1"/>
      <c r="AH5" s="1"/>
      <c r="AI5" s="1"/>
      <c r="AJ5" s="2"/>
    </row>
    <row r="6" spans="3:36" ht="51" customHeight="1">
      <c r="C6" s="1"/>
      <c r="D6" s="1"/>
      <c r="E6" s="683"/>
      <c r="F6" s="1"/>
      <c r="G6" s="675" t="s">
        <v>1203</v>
      </c>
      <c r="H6" s="675"/>
      <c r="I6" s="675"/>
      <c r="J6" s="675"/>
      <c r="K6" s="675"/>
      <c r="L6" s="675"/>
      <c r="M6" s="676">
        <v>1</v>
      </c>
      <c r="N6" s="676"/>
      <c r="O6" s="676"/>
      <c r="P6" s="676"/>
      <c r="Q6" s="677">
        <v>1</v>
      </c>
      <c r="R6" s="677"/>
      <c r="S6" s="677"/>
      <c r="T6" s="677"/>
      <c r="U6" s="678">
        <v>3</v>
      </c>
      <c r="V6" s="678"/>
      <c r="W6" s="678"/>
      <c r="X6" s="678"/>
      <c r="Y6" s="674">
        <v>2</v>
      </c>
      <c r="Z6" s="674"/>
      <c r="AA6" s="674"/>
      <c r="AB6" s="674"/>
      <c r="AC6" s="674">
        <v>2</v>
      </c>
      <c r="AD6" s="674"/>
      <c r="AE6" s="674"/>
      <c r="AF6" s="674"/>
      <c r="AG6" s="1"/>
      <c r="AH6" s="1"/>
      <c r="AI6" s="1"/>
      <c r="AJ6" s="3"/>
    </row>
    <row r="7" spans="3:36" ht="51" customHeight="1">
      <c r="C7" s="1"/>
      <c r="D7" s="1"/>
      <c r="E7" s="683"/>
      <c r="F7" s="1"/>
      <c r="G7" s="675" t="s">
        <v>1204</v>
      </c>
      <c r="H7" s="675"/>
      <c r="I7" s="675"/>
      <c r="J7" s="675"/>
      <c r="K7" s="675"/>
      <c r="L7" s="675"/>
      <c r="M7" s="676"/>
      <c r="N7" s="676"/>
      <c r="O7" s="676"/>
      <c r="P7" s="676"/>
      <c r="Q7" s="676">
        <v>6</v>
      </c>
      <c r="R7" s="676"/>
      <c r="S7" s="676"/>
      <c r="T7" s="676"/>
      <c r="U7" s="677">
        <v>2</v>
      </c>
      <c r="V7" s="677"/>
      <c r="W7" s="677"/>
      <c r="X7" s="677"/>
      <c r="Y7" s="678">
        <v>1</v>
      </c>
      <c r="Z7" s="678"/>
      <c r="AA7" s="678"/>
      <c r="AB7" s="678"/>
      <c r="AC7" s="674"/>
      <c r="AD7" s="674"/>
      <c r="AE7" s="674"/>
      <c r="AF7" s="674"/>
      <c r="AG7" s="1"/>
      <c r="AH7" s="1"/>
      <c r="AI7" s="1"/>
      <c r="AJ7" s="3" t="s">
        <v>1149</v>
      </c>
    </row>
    <row r="8" spans="3:36" ht="51" customHeight="1">
      <c r="C8" s="1"/>
      <c r="D8" s="1"/>
      <c r="E8" s="683"/>
      <c r="F8" s="1"/>
      <c r="G8" s="675" t="s">
        <v>1205</v>
      </c>
      <c r="H8" s="675"/>
      <c r="I8" s="675"/>
      <c r="J8" s="675"/>
      <c r="K8" s="675"/>
      <c r="L8" s="675"/>
      <c r="M8" s="676">
        <v>2</v>
      </c>
      <c r="N8" s="676"/>
      <c r="O8" s="676"/>
      <c r="P8" s="676"/>
      <c r="Q8" s="676">
        <v>3</v>
      </c>
      <c r="R8" s="676"/>
      <c r="S8" s="676"/>
      <c r="T8" s="676"/>
      <c r="U8" s="677">
        <v>3</v>
      </c>
      <c r="V8" s="677"/>
      <c r="W8" s="677"/>
      <c r="X8" s="677"/>
      <c r="Y8" s="678">
        <v>3</v>
      </c>
      <c r="Z8" s="678"/>
      <c r="AA8" s="678"/>
      <c r="AB8" s="678"/>
      <c r="AC8" s="674">
        <v>6</v>
      </c>
      <c r="AD8" s="674"/>
      <c r="AE8" s="674"/>
      <c r="AF8" s="674"/>
      <c r="AG8" s="1"/>
      <c r="AH8" s="1"/>
      <c r="AI8" s="1"/>
      <c r="AJ8" s="2"/>
    </row>
    <row r="9" spans="3:36" ht="45" customHeight="1">
      <c r="C9" s="1"/>
      <c r="D9" s="1"/>
      <c r="E9" s="683"/>
      <c r="F9" s="1"/>
      <c r="G9" s="682"/>
      <c r="H9" s="682"/>
      <c r="I9" s="682"/>
      <c r="J9" s="682"/>
      <c r="K9" s="682"/>
      <c r="L9" s="682"/>
      <c r="M9" s="675" t="s">
        <v>1206</v>
      </c>
      <c r="N9" s="675"/>
      <c r="O9" s="675"/>
      <c r="P9" s="675"/>
      <c r="Q9" s="675" t="s">
        <v>1207</v>
      </c>
      <c r="R9" s="675"/>
      <c r="S9" s="675"/>
      <c r="T9" s="675"/>
      <c r="U9" s="675" t="s">
        <v>1208</v>
      </c>
      <c r="V9" s="675"/>
      <c r="W9" s="675"/>
      <c r="X9" s="675"/>
      <c r="Y9" s="675" t="s">
        <v>1209</v>
      </c>
      <c r="Z9" s="675"/>
      <c r="AA9" s="675"/>
      <c r="AB9" s="675"/>
      <c r="AC9" s="675" t="s">
        <v>1210</v>
      </c>
      <c r="AD9" s="675"/>
      <c r="AE9" s="675"/>
      <c r="AF9" s="675"/>
      <c r="AG9" s="1"/>
      <c r="AH9" s="1"/>
      <c r="AI9" s="1"/>
      <c r="AJ9" s="3" t="s">
        <v>1211</v>
      </c>
    </row>
    <row r="10" spans="3:36" ht="11.25" customHeight="1">
      <c r="C10" s="1"/>
      <c r="D10" s="1"/>
      <c r="E10" s="1"/>
      <c r="F10" s="1"/>
      <c r="G10" s="13"/>
      <c r="H10" s="13"/>
      <c r="I10" s="13"/>
      <c r="J10" s="13"/>
      <c r="K10" s="13"/>
      <c r="L10" s="13"/>
      <c r="M10" s="12"/>
      <c r="N10" s="12"/>
      <c r="O10" s="12"/>
      <c r="P10" s="12"/>
      <c r="Q10" s="12"/>
      <c r="R10" s="12"/>
      <c r="S10" s="12"/>
      <c r="T10" s="12"/>
      <c r="U10" s="12"/>
      <c r="V10" s="12"/>
      <c r="W10" s="12"/>
      <c r="X10" s="12"/>
      <c r="Y10" s="12"/>
      <c r="Z10" s="12"/>
      <c r="AA10" s="12"/>
      <c r="AB10" s="12"/>
      <c r="AC10" s="12"/>
      <c r="AD10" s="12"/>
      <c r="AE10" s="12"/>
      <c r="AF10" s="12"/>
      <c r="AG10" s="1"/>
      <c r="AH10" s="1"/>
      <c r="AI10" s="1"/>
      <c r="AJ10" s="3"/>
    </row>
    <row r="11" spans="3:36" ht="20.25" customHeight="1">
      <c r="C11" s="1"/>
      <c r="D11" s="1"/>
      <c r="E11" s="1"/>
      <c r="F11" s="1"/>
      <c r="G11" s="681" t="s">
        <v>154</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1"/>
      <c r="AH11" s="1"/>
      <c r="AI11" s="1"/>
      <c r="AJ11" s="2"/>
    </row>
    <row r="12" spans="3:36">
      <c r="C12" s="1"/>
      <c r="D12" s="1"/>
      <c r="E12" s="1"/>
      <c r="F12" s="1"/>
      <c r="G12" s="1"/>
      <c r="H12" s="1"/>
      <c r="I12" s="4"/>
      <c r="J12" s="5"/>
      <c r="K12" s="6"/>
      <c r="L12" s="7"/>
      <c r="M12" s="7"/>
      <c r="N12" s="6"/>
      <c r="O12" s="7"/>
      <c r="P12" s="7"/>
      <c r="Q12" s="6"/>
      <c r="R12" s="7"/>
      <c r="S12" s="7"/>
      <c r="T12" s="6"/>
      <c r="U12" s="7"/>
      <c r="V12" s="7"/>
      <c r="W12" s="7"/>
      <c r="X12" s="1"/>
      <c r="Y12" s="1"/>
      <c r="Z12" s="1"/>
      <c r="AA12" s="1"/>
      <c r="AB12" s="1"/>
      <c r="AC12" s="1"/>
      <c r="AD12" s="1"/>
      <c r="AE12" s="1"/>
      <c r="AF12" s="1"/>
      <c r="AG12" s="1"/>
      <c r="AH12" s="1"/>
      <c r="AI12" s="1"/>
      <c r="AJ12" s="1"/>
    </row>
    <row r="13" spans="3:36">
      <c r="C13" s="1"/>
      <c r="D13" s="1"/>
      <c r="E13" s="1"/>
      <c r="F13" s="1"/>
      <c r="G13" s="1"/>
      <c r="H13" s="1"/>
      <c r="I13" s="118"/>
      <c r="J13" s="1"/>
      <c r="K13" s="1"/>
      <c r="L13" s="1"/>
      <c r="M13" s="119" t="s">
        <v>1212</v>
      </c>
      <c r="N13" s="120" t="s">
        <v>1213</v>
      </c>
      <c r="O13" s="121"/>
      <c r="P13" s="8"/>
      <c r="Q13" s="122" t="s">
        <v>1214</v>
      </c>
      <c r="R13" s="120" t="s">
        <v>1215</v>
      </c>
      <c r="S13" s="121"/>
      <c r="T13" s="8"/>
      <c r="U13" s="123" t="s">
        <v>1216</v>
      </c>
      <c r="V13" s="120" t="s">
        <v>1217</v>
      </c>
      <c r="W13" s="124"/>
      <c r="X13" s="8"/>
      <c r="Y13" s="125" t="s">
        <v>1218</v>
      </c>
      <c r="Z13" s="120" t="s">
        <v>1219</v>
      </c>
      <c r="AA13" s="8"/>
      <c r="AB13" s="1"/>
      <c r="AC13" s="1"/>
      <c r="AD13" s="1"/>
      <c r="AE13" s="1"/>
      <c r="AF13" s="1"/>
      <c r="AG13" s="1"/>
      <c r="AH13" s="1"/>
      <c r="AI13" s="1"/>
      <c r="AJ13" s="1"/>
    </row>
    <row r="14" spans="3:36">
      <c r="C14" s="1"/>
      <c r="D14" s="1"/>
      <c r="E14" s="1"/>
      <c r="F14" s="1"/>
      <c r="G14" s="1"/>
      <c r="H14" s="1"/>
      <c r="I14" s="126"/>
      <c r="J14" s="6"/>
      <c r="K14" s="5"/>
      <c r="L14" s="127"/>
      <c r="M14" s="126"/>
      <c r="N14" s="6"/>
      <c r="O14" s="126"/>
      <c r="P14" s="126"/>
      <c r="Q14" s="6"/>
      <c r="R14" s="126"/>
      <c r="S14" s="126"/>
      <c r="T14" s="6"/>
      <c r="U14" s="126"/>
      <c r="V14" s="126"/>
      <c r="W14" s="126"/>
      <c r="X14" s="1"/>
      <c r="Y14" s="1"/>
      <c r="Z14" s="1"/>
      <c r="AA14" s="1"/>
      <c r="AB14" s="1"/>
      <c r="AC14" s="1"/>
      <c r="AD14" s="1"/>
      <c r="AE14" s="1"/>
      <c r="AF14" s="1"/>
      <c r="AG14" s="1"/>
      <c r="AH14" s="1"/>
      <c r="AI14" s="1"/>
      <c r="AJ14" s="1"/>
    </row>
    <row r="15" spans="3:36">
      <c r="C15" s="680" t="s">
        <v>1220</v>
      </c>
      <c r="D15" s="680"/>
      <c r="E15" s="680"/>
      <c r="F15" s="680"/>
      <c r="G15" s="680"/>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row>
    <row r="16" spans="3:36">
      <c r="C16" s="1"/>
      <c r="D16" s="1"/>
      <c r="E16" s="1"/>
      <c r="F16" s="1"/>
      <c r="G16" s="1"/>
      <c r="H16" s="1"/>
      <c r="I16" s="1"/>
      <c r="J16" s="1"/>
      <c r="K16" s="9"/>
      <c r="L16" s="9"/>
      <c r="M16" s="1"/>
      <c r="N16" s="1"/>
      <c r="O16" s="1"/>
      <c r="P16" s="1"/>
      <c r="Q16" s="1"/>
      <c r="R16" s="1"/>
      <c r="S16" s="1"/>
      <c r="T16" s="1"/>
      <c r="U16" s="1"/>
      <c r="V16" s="1"/>
      <c r="W16" s="1"/>
      <c r="X16" s="1"/>
      <c r="Y16" s="1"/>
      <c r="Z16" s="1"/>
      <c r="AA16" s="1"/>
      <c r="AB16" s="1"/>
      <c r="AC16" s="1"/>
      <c r="AD16" s="1"/>
      <c r="AE16" s="1"/>
      <c r="AF16" s="1"/>
      <c r="AG16" s="1"/>
      <c r="AH16" s="1"/>
      <c r="AI16" s="1"/>
      <c r="AJ16" s="1"/>
    </row>
    <row r="17" spans="3:36">
      <c r="C17" s="1"/>
      <c r="D17" s="1"/>
      <c r="E17" s="1"/>
      <c r="F17" s="1"/>
      <c r="G17" s="1"/>
      <c r="H17" s="1"/>
      <c r="I17" s="126"/>
      <c r="J17" s="6"/>
      <c r="K17" s="5"/>
      <c r="L17" s="5"/>
      <c r="M17" s="6"/>
      <c r="N17" s="6"/>
      <c r="O17" s="6"/>
      <c r="P17" s="6"/>
      <c r="Q17" s="6"/>
      <c r="R17" s="6"/>
      <c r="S17" s="6"/>
      <c r="T17" s="6"/>
      <c r="U17" s="6"/>
      <c r="V17" s="6"/>
      <c r="W17" s="6"/>
      <c r="X17" s="1"/>
      <c r="Y17" s="1"/>
      <c r="Z17" s="1"/>
      <c r="AA17" s="1"/>
      <c r="AB17" s="1"/>
      <c r="AC17" s="1"/>
      <c r="AD17" s="1"/>
      <c r="AE17" s="1"/>
      <c r="AF17" s="1"/>
      <c r="AG17" s="1"/>
      <c r="AH17" s="1"/>
      <c r="AI17" s="1"/>
      <c r="AJ17" s="1"/>
    </row>
    <row r="18" spans="3:36" ht="32.25" customHeight="1">
      <c r="C18" s="679" t="s">
        <v>1221</v>
      </c>
      <c r="D18" s="679"/>
      <c r="E18" s="679"/>
      <c r="F18" s="679"/>
      <c r="G18" s="679"/>
      <c r="H18" s="679"/>
      <c r="I18" s="679"/>
      <c r="J18" s="679"/>
      <c r="K18" s="679"/>
      <c r="L18" s="679"/>
      <c r="M18" s="679"/>
      <c r="N18" s="679"/>
      <c r="O18" s="679"/>
      <c r="P18" s="679"/>
      <c r="Q18" s="679"/>
      <c r="R18" s="679"/>
      <c r="S18" s="679"/>
      <c r="T18" s="679"/>
      <c r="U18" s="679"/>
      <c r="V18" s="679"/>
      <c r="W18" s="679"/>
      <c r="X18" s="679"/>
      <c r="Y18" s="679"/>
      <c r="Z18" s="679"/>
      <c r="AA18" s="679"/>
      <c r="AB18" s="679"/>
      <c r="AC18" s="679"/>
      <c r="AD18" s="679"/>
      <c r="AE18" s="679"/>
      <c r="AF18" s="679"/>
      <c r="AG18" s="679"/>
      <c r="AH18" s="679"/>
      <c r="AI18" s="679"/>
      <c r="AJ18" s="679"/>
    </row>
    <row r="19" spans="3:36">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3:36">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sheetData>
  <customSheetViews>
    <customSheetView guid="{82BC0C9B-70E2-44EC-8408-64CC9B36E280}" showGridLines="0" state="hidden">
      <selection activeCell="G5" sqref="G5:L5"/>
      <pageMargins left="0" right="0" top="0" bottom="0" header="0" footer="0"/>
      <pageSetup orientation="portrait" r:id="rId1"/>
    </customSheetView>
    <customSheetView guid="{795C8354-6623-430F-B16F-866AD45BC174}" showGridLines="0" state="hidden">
      <selection activeCell="G5" sqref="G5:L5"/>
      <pageMargins left="0" right="0" top="0" bottom="0" header="0" footer="0"/>
      <pageSetup orientation="portrait" r:id="rId2"/>
    </customSheetView>
    <customSheetView guid="{F8FDF2EC-A9AD-41AC-8138-AA3657B53E6D}" showGridLines="0" state="hidden">
      <selection activeCell="G5" sqref="G5:L5"/>
      <pageMargins left="0" right="0" top="0" bottom="0" header="0" footer="0"/>
      <pageSetup orientation="portrait" r:id="rId3"/>
    </customSheetView>
  </customSheetViews>
  <mergeCells count="40">
    <mergeCell ref="Y5:AB5"/>
    <mergeCell ref="AC5:AF5"/>
    <mergeCell ref="Y4:AB4"/>
    <mergeCell ref="AC4:AF4"/>
    <mergeCell ref="G4:L4"/>
    <mergeCell ref="M4:P4"/>
    <mergeCell ref="Q4:T4"/>
    <mergeCell ref="U4:X4"/>
    <mergeCell ref="G5:L5"/>
    <mergeCell ref="M5:P5"/>
    <mergeCell ref="Q5:T5"/>
    <mergeCell ref="U5:X5"/>
    <mergeCell ref="C18:AJ18"/>
    <mergeCell ref="C15:AJ15"/>
    <mergeCell ref="G11:AF11"/>
    <mergeCell ref="G9:L9"/>
    <mergeCell ref="AC8:AF8"/>
    <mergeCell ref="G8:L8"/>
    <mergeCell ref="M8:P8"/>
    <mergeCell ref="Q8:T8"/>
    <mergeCell ref="U8:X8"/>
    <mergeCell ref="Y8:AB8"/>
    <mergeCell ref="AC9:AF9"/>
    <mergeCell ref="E4:E9"/>
    <mergeCell ref="G6:L6"/>
    <mergeCell ref="M6:P6"/>
    <mergeCell ref="Q6:T6"/>
    <mergeCell ref="U6:X6"/>
    <mergeCell ref="G7:L7"/>
    <mergeCell ref="M7:P7"/>
    <mergeCell ref="Q7:T7"/>
    <mergeCell ref="U7:X7"/>
    <mergeCell ref="Y7:AB7"/>
    <mergeCell ref="AC6:AF6"/>
    <mergeCell ref="Y6:AB6"/>
    <mergeCell ref="M9:P9"/>
    <mergeCell ref="Q9:T9"/>
    <mergeCell ref="U9:X9"/>
    <mergeCell ref="Y9:AB9"/>
    <mergeCell ref="AC7:AF7"/>
  </mergeCells>
  <pageMargins left="0.7" right="0.7" top="0.75" bottom="0.75" header="0.3" footer="0.3"/>
  <pageSetup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2"/>
  <sheetViews>
    <sheetView topLeftCell="A20" workbookViewId="0">
      <selection activeCell="I25" sqref="I25"/>
    </sheetView>
  </sheetViews>
  <sheetFormatPr baseColWidth="10" defaultRowHeight="15"/>
  <sheetData>
    <row r="2" spans="1:24" ht="15.75" thickBot="1">
      <c r="A2" s="10" t="s">
        <v>0</v>
      </c>
      <c r="B2" s="10" t="s">
        <v>1</v>
      </c>
      <c r="C2" s="10" t="s">
        <v>2</v>
      </c>
      <c r="D2" s="10" t="s">
        <v>3</v>
      </c>
      <c r="E2" s="10" t="s">
        <v>4</v>
      </c>
      <c r="F2" s="10" t="s">
        <v>5</v>
      </c>
      <c r="G2" s="10" t="s">
        <v>6</v>
      </c>
      <c r="H2" s="10" t="s">
        <v>7</v>
      </c>
      <c r="I2" s="10" t="s">
        <v>8</v>
      </c>
      <c r="K2" s="10" t="s">
        <v>5</v>
      </c>
      <c r="L2" s="10" t="s">
        <v>6</v>
      </c>
      <c r="M2" s="10" t="s">
        <v>9</v>
      </c>
      <c r="P2" s="10" t="s">
        <v>10</v>
      </c>
      <c r="S2" s="386" t="s">
        <v>11</v>
      </c>
      <c r="T2" s="386"/>
      <c r="U2" s="386"/>
      <c r="V2" s="386"/>
      <c r="W2" t="s">
        <v>12</v>
      </c>
    </row>
    <row r="3" spans="1:24" ht="144" thickBot="1">
      <c r="A3" s="25" t="s">
        <v>13</v>
      </c>
      <c r="B3" s="113" t="s">
        <v>14</v>
      </c>
      <c r="C3" s="113" t="s">
        <v>14</v>
      </c>
      <c r="D3" s="25" t="s">
        <v>15</v>
      </c>
      <c r="E3" s="25" t="s">
        <v>16</v>
      </c>
      <c r="F3" s="11" t="s">
        <v>17</v>
      </c>
      <c r="G3" s="11" t="s">
        <v>18</v>
      </c>
      <c r="H3" t="s">
        <v>19</v>
      </c>
      <c r="I3" t="s">
        <v>20</v>
      </c>
      <c r="K3" s="11" t="s">
        <v>21</v>
      </c>
      <c r="L3" s="11" t="s">
        <v>18</v>
      </c>
      <c r="M3" t="s">
        <v>22</v>
      </c>
      <c r="N3" t="s">
        <v>23</v>
      </c>
      <c r="P3" t="s">
        <v>23</v>
      </c>
      <c r="Q3" t="s">
        <v>24</v>
      </c>
      <c r="S3" t="s">
        <v>25</v>
      </c>
      <c r="T3" t="s">
        <v>25</v>
      </c>
      <c r="U3" t="str">
        <f>+CONCATENATE(S3,T3)</f>
        <v>FuerteFuerte</v>
      </c>
      <c r="V3" t="s">
        <v>25</v>
      </c>
      <c r="W3" s="46" t="s">
        <v>26</v>
      </c>
      <c r="X3" s="45"/>
    </row>
    <row r="4" spans="1:24" ht="409.6" thickBot="1">
      <c r="A4" s="25" t="s">
        <v>13</v>
      </c>
      <c r="B4" s="113" t="s">
        <v>27</v>
      </c>
      <c r="C4" s="114" t="s">
        <v>28</v>
      </c>
      <c r="D4" s="25" t="s">
        <v>29</v>
      </c>
      <c r="E4" s="25" t="s">
        <v>30</v>
      </c>
      <c r="F4" s="11" t="s">
        <v>31</v>
      </c>
      <c r="G4" s="11" t="s">
        <v>32</v>
      </c>
      <c r="H4" s="11" t="s">
        <v>33</v>
      </c>
      <c r="I4" t="s">
        <v>34</v>
      </c>
      <c r="K4" s="11" t="s">
        <v>31</v>
      </c>
      <c r="L4" s="11" t="s">
        <v>32</v>
      </c>
      <c r="M4" t="s">
        <v>35</v>
      </c>
      <c r="N4" t="s">
        <v>23</v>
      </c>
      <c r="P4" t="s">
        <v>36</v>
      </c>
      <c r="Q4" t="s">
        <v>37</v>
      </c>
      <c r="S4" t="s">
        <v>25</v>
      </c>
      <c r="T4" t="s">
        <v>36</v>
      </c>
      <c r="U4" t="str">
        <f t="shared" ref="U4:U11" si="0">+CONCATENATE(S4,T4)</f>
        <v>FuerteModerado</v>
      </c>
      <c r="V4" t="s">
        <v>36</v>
      </c>
      <c r="W4" s="46" t="s">
        <v>38</v>
      </c>
    </row>
    <row r="5" spans="1:24" ht="409.6" thickBot="1">
      <c r="A5" s="25" t="s">
        <v>13</v>
      </c>
      <c r="B5" s="113" t="s">
        <v>39</v>
      </c>
      <c r="C5" s="115" t="s">
        <v>40</v>
      </c>
      <c r="D5" s="25" t="s">
        <v>41</v>
      </c>
      <c r="E5" s="25"/>
      <c r="F5" s="11" t="s">
        <v>42</v>
      </c>
      <c r="G5" s="11" t="s">
        <v>36</v>
      </c>
      <c r="H5" t="s">
        <v>43</v>
      </c>
      <c r="K5" s="11" t="s">
        <v>44</v>
      </c>
      <c r="L5" s="11" t="s">
        <v>36</v>
      </c>
      <c r="M5" t="s">
        <v>45</v>
      </c>
      <c r="N5" t="s">
        <v>36</v>
      </c>
      <c r="P5" t="s">
        <v>46</v>
      </c>
      <c r="Q5" t="s">
        <v>47</v>
      </c>
      <c r="S5" t="s">
        <v>25</v>
      </c>
      <c r="T5" t="s">
        <v>48</v>
      </c>
      <c r="U5" t="str">
        <f t="shared" si="0"/>
        <v>FuerteDébil</v>
      </c>
      <c r="V5" t="s">
        <v>48</v>
      </c>
      <c r="W5" s="46" t="s">
        <v>49</v>
      </c>
    </row>
    <row r="6" spans="1:24" ht="409.6" thickBot="1">
      <c r="A6" s="25" t="s">
        <v>13</v>
      </c>
      <c r="B6" s="113" t="s">
        <v>50</v>
      </c>
      <c r="C6" s="115" t="s">
        <v>51</v>
      </c>
      <c r="D6" s="25" t="s">
        <v>52</v>
      </c>
      <c r="E6" s="25"/>
      <c r="F6" s="11" t="s">
        <v>53</v>
      </c>
      <c r="G6" s="11" t="s">
        <v>54</v>
      </c>
      <c r="H6" t="s">
        <v>55</v>
      </c>
      <c r="K6" s="11" t="s">
        <v>53</v>
      </c>
      <c r="L6" s="11" t="s">
        <v>54</v>
      </c>
      <c r="M6" t="s">
        <v>56</v>
      </c>
      <c r="N6" t="s">
        <v>46</v>
      </c>
      <c r="P6" t="s">
        <v>57</v>
      </c>
      <c r="Q6" t="s">
        <v>58</v>
      </c>
      <c r="S6" t="s">
        <v>36</v>
      </c>
      <c r="T6" t="s">
        <v>25</v>
      </c>
      <c r="U6" t="str">
        <f t="shared" si="0"/>
        <v>ModeradoFuerte</v>
      </c>
      <c r="V6" t="s">
        <v>36</v>
      </c>
      <c r="W6" s="46" t="s">
        <v>59</v>
      </c>
    </row>
    <row r="7" spans="1:24" ht="409.5">
      <c r="A7" s="25" t="s">
        <v>13</v>
      </c>
      <c r="B7" s="113" t="s">
        <v>60</v>
      </c>
      <c r="C7" s="115" t="s">
        <v>61</v>
      </c>
      <c r="D7" s="25" t="s">
        <v>62</v>
      </c>
      <c r="E7" s="25"/>
      <c r="F7" s="11" t="s">
        <v>63</v>
      </c>
      <c r="G7" s="11" t="s">
        <v>64</v>
      </c>
      <c r="H7" s="11"/>
      <c r="K7" s="11" t="s">
        <v>63</v>
      </c>
      <c r="L7" s="11" t="s">
        <v>64</v>
      </c>
      <c r="M7" t="s">
        <v>65</v>
      </c>
      <c r="N7" t="s">
        <v>57</v>
      </c>
      <c r="S7" t="s">
        <v>36</v>
      </c>
      <c r="T7" t="s">
        <v>36</v>
      </c>
      <c r="U7" t="str">
        <f t="shared" si="0"/>
        <v>ModeradoModerado</v>
      </c>
      <c r="V7" t="s">
        <v>36</v>
      </c>
      <c r="W7" s="46" t="s">
        <v>66</v>
      </c>
    </row>
    <row r="8" spans="1:24" ht="21">
      <c r="A8" s="25" t="s">
        <v>67</v>
      </c>
      <c r="B8" s="113" t="s">
        <v>68</v>
      </c>
      <c r="C8" s="113" t="s">
        <v>68</v>
      </c>
      <c r="D8" s="25" t="s">
        <v>69</v>
      </c>
      <c r="E8" s="25"/>
      <c r="K8" s="11" t="s">
        <v>21</v>
      </c>
      <c r="L8">
        <v>1</v>
      </c>
      <c r="M8" t="s">
        <v>70</v>
      </c>
      <c r="N8" t="s">
        <v>23</v>
      </c>
      <c r="S8" t="s">
        <v>36</v>
      </c>
      <c r="T8" t="s">
        <v>48</v>
      </c>
      <c r="U8" t="str">
        <f t="shared" si="0"/>
        <v>ModeradoDébil</v>
      </c>
      <c r="V8" t="s">
        <v>48</v>
      </c>
    </row>
    <row r="9" spans="1:24" ht="409.5">
      <c r="A9" s="25" t="s">
        <v>67</v>
      </c>
      <c r="B9" s="113" t="s">
        <v>71</v>
      </c>
      <c r="C9" s="116" t="s">
        <v>72</v>
      </c>
      <c r="D9" s="25"/>
      <c r="E9" s="25"/>
      <c r="K9" s="11" t="s">
        <v>31</v>
      </c>
      <c r="L9">
        <v>2</v>
      </c>
      <c r="M9" t="s">
        <v>73</v>
      </c>
      <c r="N9" t="s">
        <v>23</v>
      </c>
      <c r="S9" t="s">
        <v>48</v>
      </c>
      <c r="T9" t="s">
        <v>25</v>
      </c>
      <c r="U9" t="str">
        <f t="shared" si="0"/>
        <v>DébilFuerte</v>
      </c>
      <c r="V9" t="s">
        <v>48</v>
      </c>
    </row>
    <row r="10" spans="1:24" ht="409.5">
      <c r="A10" s="25" t="s">
        <v>67</v>
      </c>
      <c r="B10" s="113" t="s">
        <v>74</v>
      </c>
      <c r="C10" s="116" t="s">
        <v>75</v>
      </c>
      <c r="D10" s="25"/>
      <c r="E10" s="25"/>
      <c r="K10" s="11" t="s">
        <v>44</v>
      </c>
      <c r="L10">
        <v>3</v>
      </c>
      <c r="M10" t="s">
        <v>76</v>
      </c>
      <c r="N10" t="s">
        <v>36</v>
      </c>
      <c r="S10" t="s">
        <v>48</v>
      </c>
      <c r="T10" t="s">
        <v>36</v>
      </c>
      <c r="U10" t="str">
        <f t="shared" si="0"/>
        <v>DébilModerado</v>
      </c>
      <c r="V10" t="s">
        <v>48</v>
      </c>
    </row>
    <row r="11" spans="1:24" ht="21">
      <c r="A11" s="25" t="s">
        <v>67</v>
      </c>
      <c r="B11" s="25" t="s">
        <v>77</v>
      </c>
      <c r="C11" s="25" t="s">
        <v>77</v>
      </c>
      <c r="D11" s="25"/>
      <c r="E11" s="25"/>
      <c r="K11" s="11" t="s">
        <v>53</v>
      </c>
      <c r="L11">
        <v>4</v>
      </c>
      <c r="M11" t="s">
        <v>78</v>
      </c>
      <c r="N11" t="s">
        <v>46</v>
      </c>
      <c r="S11" t="s">
        <v>48</v>
      </c>
      <c r="T11" t="s">
        <v>48</v>
      </c>
      <c r="U11" t="str">
        <f t="shared" si="0"/>
        <v>DébilDébil</v>
      </c>
      <c r="V11" t="s">
        <v>48</v>
      </c>
    </row>
    <row r="12" spans="1:24" ht="409.5">
      <c r="A12" s="25" t="s">
        <v>67</v>
      </c>
      <c r="B12" s="25" t="s">
        <v>79</v>
      </c>
      <c r="C12" s="26" t="s">
        <v>80</v>
      </c>
      <c r="D12" s="25"/>
      <c r="E12" s="25"/>
      <c r="K12" s="11" t="s">
        <v>63</v>
      </c>
      <c r="L12">
        <v>5</v>
      </c>
      <c r="M12" t="s">
        <v>81</v>
      </c>
      <c r="N12" t="s">
        <v>57</v>
      </c>
    </row>
    <row r="13" spans="1:24" ht="409.5">
      <c r="A13" s="25" t="s">
        <v>82</v>
      </c>
      <c r="B13" s="25" t="s">
        <v>83</v>
      </c>
      <c r="C13" s="104" t="s">
        <v>84</v>
      </c>
      <c r="D13" s="25"/>
      <c r="E13" s="25"/>
      <c r="K13" s="11" t="s">
        <v>18</v>
      </c>
      <c r="L13">
        <v>1</v>
      </c>
      <c r="M13" t="s">
        <v>85</v>
      </c>
      <c r="N13" t="s">
        <v>23</v>
      </c>
    </row>
    <row r="14" spans="1:24" ht="409.5">
      <c r="A14" s="25" t="s">
        <v>82</v>
      </c>
      <c r="B14" s="25" t="s">
        <v>86</v>
      </c>
      <c r="C14" s="104" t="s">
        <v>87</v>
      </c>
      <c r="D14" s="25"/>
      <c r="E14" s="25"/>
      <c r="K14" s="11" t="s">
        <v>32</v>
      </c>
      <c r="L14">
        <v>2</v>
      </c>
      <c r="M14" t="s">
        <v>88</v>
      </c>
      <c r="N14" t="s">
        <v>36</v>
      </c>
    </row>
    <row r="15" spans="1:24" ht="409.5">
      <c r="A15" s="25" t="s">
        <v>82</v>
      </c>
      <c r="B15" s="25" t="s">
        <v>89</v>
      </c>
      <c r="C15" s="104" t="s">
        <v>90</v>
      </c>
      <c r="D15" s="25"/>
      <c r="E15" s="25"/>
      <c r="K15" s="11" t="s">
        <v>36</v>
      </c>
      <c r="L15">
        <v>3</v>
      </c>
      <c r="M15" t="s">
        <v>91</v>
      </c>
      <c r="N15" t="s">
        <v>46</v>
      </c>
    </row>
    <row r="16" spans="1:24" ht="409.5">
      <c r="A16" s="25" t="s">
        <v>82</v>
      </c>
      <c r="B16" s="25" t="s">
        <v>92</v>
      </c>
      <c r="C16" s="104" t="s">
        <v>93</v>
      </c>
      <c r="D16" s="25"/>
      <c r="E16" s="25"/>
      <c r="K16" s="11" t="s">
        <v>54</v>
      </c>
      <c r="L16">
        <v>4</v>
      </c>
      <c r="M16" t="s">
        <v>94</v>
      </c>
      <c r="N16" t="s">
        <v>57</v>
      </c>
    </row>
    <row r="17" spans="1:14" ht="409.5">
      <c r="A17" s="25" t="s">
        <v>82</v>
      </c>
      <c r="B17" s="25" t="s">
        <v>95</v>
      </c>
      <c r="C17" s="104" t="s">
        <v>96</v>
      </c>
      <c r="D17" s="25"/>
      <c r="E17" s="25"/>
      <c r="K17" s="11" t="s">
        <v>64</v>
      </c>
      <c r="L17">
        <v>5</v>
      </c>
      <c r="M17" t="s">
        <v>97</v>
      </c>
      <c r="N17" t="s">
        <v>57</v>
      </c>
    </row>
    <row r="18" spans="1:14" ht="409.5">
      <c r="A18" s="25" t="s">
        <v>82</v>
      </c>
      <c r="B18" s="25" t="s">
        <v>98</v>
      </c>
      <c r="C18" s="104" t="s">
        <v>99</v>
      </c>
      <c r="D18" s="25"/>
      <c r="E18" s="25"/>
      <c r="J18">
        <v>-1</v>
      </c>
      <c r="K18" s="11" t="s">
        <v>21</v>
      </c>
      <c r="M18" t="s">
        <v>100</v>
      </c>
      <c r="N18" t="s">
        <v>36</v>
      </c>
    </row>
    <row r="19" spans="1:14" ht="409.5">
      <c r="A19" s="25" t="s">
        <v>13</v>
      </c>
      <c r="B19" s="25" t="s">
        <v>101</v>
      </c>
      <c r="C19" s="104" t="s">
        <v>102</v>
      </c>
      <c r="D19" s="25"/>
      <c r="E19" s="25"/>
      <c r="J19">
        <v>0</v>
      </c>
      <c r="K19" s="11" t="s">
        <v>21</v>
      </c>
      <c r="M19" t="s">
        <v>103</v>
      </c>
      <c r="N19" t="s">
        <v>46</v>
      </c>
    </row>
    <row r="20" spans="1:14" ht="409.5">
      <c r="A20" s="25" t="s">
        <v>9</v>
      </c>
      <c r="B20" s="25" t="s">
        <v>104</v>
      </c>
      <c r="C20" s="104" t="s">
        <v>105</v>
      </c>
      <c r="D20" s="25"/>
      <c r="E20" s="25"/>
      <c r="J20">
        <v>1</v>
      </c>
      <c r="K20" s="11" t="s">
        <v>21</v>
      </c>
      <c r="M20" t="s">
        <v>106</v>
      </c>
      <c r="N20" t="s">
        <v>46</v>
      </c>
    </row>
    <row r="21" spans="1:14">
      <c r="J21">
        <v>2</v>
      </c>
      <c r="K21" s="11" t="s">
        <v>31</v>
      </c>
      <c r="M21" t="s">
        <v>107</v>
      </c>
      <c r="N21" t="s">
        <v>57</v>
      </c>
    </row>
    <row r="22" spans="1:14">
      <c r="J22">
        <v>3</v>
      </c>
      <c r="K22" s="11" t="s">
        <v>44</v>
      </c>
      <c r="M22" t="s">
        <v>108</v>
      </c>
      <c r="N22" t="s">
        <v>57</v>
      </c>
    </row>
    <row r="23" spans="1:14">
      <c r="J23">
        <v>4</v>
      </c>
      <c r="K23" s="11" t="s">
        <v>53</v>
      </c>
      <c r="M23" t="s">
        <v>109</v>
      </c>
      <c r="N23" t="s">
        <v>46</v>
      </c>
    </row>
    <row r="24" spans="1:14">
      <c r="J24">
        <v>5</v>
      </c>
      <c r="K24" s="11" t="s">
        <v>63</v>
      </c>
      <c r="M24" t="s">
        <v>110</v>
      </c>
      <c r="N24" t="s">
        <v>46</v>
      </c>
    </row>
    <row r="25" spans="1:14">
      <c r="B25" s="10" t="s">
        <v>111</v>
      </c>
      <c r="C25" s="10" t="s">
        <v>112</v>
      </c>
      <c r="E25" s="10" t="s">
        <v>113</v>
      </c>
      <c r="G25" s="10" t="s">
        <v>114</v>
      </c>
      <c r="I25" s="10" t="s">
        <v>1303</v>
      </c>
      <c r="M25" t="s">
        <v>115</v>
      </c>
      <c r="N25" t="s">
        <v>57</v>
      </c>
    </row>
    <row r="26" spans="1:14">
      <c r="B26" t="s">
        <v>116</v>
      </c>
      <c r="C26" t="s">
        <v>117</v>
      </c>
      <c r="E26" t="s">
        <v>118</v>
      </c>
      <c r="G26" t="s">
        <v>20</v>
      </c>
      <c r="I26" t="s">
        <v>20</v>
      </c>
      <c r="J26">
        <v>-1</v>
      </c>
      <c r="K26" s="11" t="s">
        <v>18</v>
      </c>
      <c r="M26" t="s">
        <v>119</v>
      </c>
      <c r="N26" t="s">
        <v>57</v>
      </c>
    </row>
    <row r="27" spans="1:14">
      <c r="B27" t="s">
        <v>120</v>
      </c>
      <c r="C27" t="s">
        <v>121</v>
      </c>
      <c r="E27" t="s">
        <v>122</v>
      </c>
      <c r="G27" t="s">
        <v>123</v>
      </c>
      <c r="I27" t="s">
        <v>1304</v>
      </c>
      <c r="J27">
        <v>0</v>
      </c>
      <c r="K27" s="11" t="s">
        <v>18</v>
      </c>
      <c r="M27" t="s">
        <v>124</v>
      </c>
      <c r="N27" t="s">
        <v>57</v>
      </c>
    </row>
    <row r="28" spans="1:14">
      <c r="C28" t="s">
        <v>125</v>
      </c>
      <c r="E28" t="s">
        <v>126</v>
      </c>
      <c r="J28">
        <v>1</v>
      </c>
      <c r="K28" s="11" t="s">
        <v>18</v>
      </c>
    </row>
    <row r="29" spans="1:14">
      <c r="G29" t="s">
        <v>20</v>
      </c>
      <c r="J29">
        <v>2</v>
      </c>
      <c r="K29" s="11" t="s">
        <v>32</v>
      </c>
    </row>
    <row r="30" spans="1:14">
      <c r="G30" t="s">
        <v>127</v>
      </c>
      <c r="J30">
        <v>3</v>
      </c>
      <c r="K30" s="11" t="s">
        <v>36</v>
      </c>
    </row>
    <row r="31" spans="1:14">
      <c r="J31">
        <v>4</v>
      </c>
      <c r="K31" s="11" t="s">
        <v>54</v>
      </c>
    </row>
    <row r="32" spans="1:14">
      <c r="J32">
        <v>5</v>
      </c>
      <c r="K32" s="11" t="s">
        <v>64</v>
      </c>
    </row>
  </sheetData>
  <mergeCells count="1">
    <mergeCell ref="S2:V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J20"/>
  <sheetViews>
    <sheetView showGridLines="0" topLeftCell="A4" workbookViewId="0">
      <selection activeCell="E4" sqref="E4:AF11"/>
    </sheetView>
  </sheetViews>
  <sheetFormatPr baseColWidth="10" defaultColWidth="9.28515625" defaultRowHeight="15"/>
  <cols>
    <col min="1" max="5" width="3.7109375" customWidth="1"/>
    <col min="6" max="6" width="1.28515625" customWidth="1"/>
    <col min="7" max="36" width="3.7109375" customWidth="1"/>
  </cols>
  <sheetData>
    <row r="1" spans="3:36" ht="18" customHeight="1"/>
    <row r="4" spans="3:36" ht="51" customHeight="1">
      <c r="C4" s="1"/>
      <c r="D4" s="1"/>
      <c r="E4" s="683" t="s">
        <v>1200</v>
      </c>
      <c r="F4" s="1"/>
      <c r="G4" s="685" t="s">
        <v>1201</v>
      </c>
      <c r="H4" s="685"/>
      <c r="I4" s="685"/>
      <c r="J4" s="685"/>
      <c r="K4" s="685"/>
      <c r="L4" s="685"/>
      <c r="M4" s="687"/>
      <c r="N4" s="687"/>
      <c r="O4" s="687"/>
      <c r="P4" s="687"/>
      <c r="Q4" s="687"/>
      <c r="R4" s="687"/>
      <c r="S4" s="687"/>
      <c r="T4" s="687"/>
      <c r="U4" s="684"/>
      <c r="V4" s="684"/>
      <c r="W4" s="684"/>
      <c r="X4" s="684"/>
      <c r="Y4" s="684"/>
      <c r="Z4" s="684"/>
      <c r="AA4" s="684"/>
      <c r="AB4" s="684"/>
      <c r="AC4" s="684"/>
      <c r="AD4" s="684"/>
      <c r="AE4" s="684"/>
      <c r="AF4" s="684"/>
      <c r="AG4" s="1"/>
      <c r="AH4" s="1"/>
      <c r="AI4" s="1"/>
      <c r="AJ4" s="2"/>
    </row>
    <row r="5" spans="3:36" ht="51" customHeight="1">
      <c r="C5" s="1"/>
      <c r="D5" s="1"/>
      <c r="E5" s="683"/>
      <c r="F5" s="1"/>
      <c r="G5" s="685" t="s">
        <v>1202</v>
      </c>
      <c r="H5" s="685"/>
      <c r="I5" s="685"/>
      <c r="J5" s="685"/>
      <c r="K5" s="685"/>
      <c r="L5" s="685"/>
      <c r="M5" s="686"/>
      <c r="N5" s="686"/>
      <c r="O5" s="686"/>
      <c r="P5" s="686"/>
      <c r="Q5" s="687"/>
      <c r="R5" s="687"/>
      <c r="S5" s="687"/>
      <c r="T5" s="687"/>
      <c r="U5" s="687"/>
      <c r="V5" s="687"/>
      <c r="W5" s="687"/>
      <c r="X5" s="687"/>
      <c r="Y5" s="684">
        <v>1</v>
      </c>
      <c r="Z5" s="684"/>
      <c r="AA5" s="684"/>
      <c r="AB5" s="684"/>
      <c r="AC5" s="684"/>
      <c r="AD5" s="684"/>
      <c r="AE5" s="684"/>
      <c r="AF5" s="684"/>
      <c r="AG5" s="1"/>
      <c r="AH5" s="1"/>
      <c r="AI5" s="1"/>
      <c r="AJ5" s="2"/>
    </row>
    <row r="6" spans="3:36" ht="51" customHeight="1">
      <c r="C6" s="1"/>
      <c r="D6" s="1"/>
      <c r="E6" s="683"/>
      <c r="F6" s="1"/>
      <c r="G6" s="685" t="s">
        <v>1203</v>
      </c>
      <c r="H6" s="685"/>
      <c r="I6" s="685"/>
      <c r="J6" s="685"/>
      <c r="K6" s="685"/>
      <c r="L6" s="685"/>
      <c r="M6" s="688"/>
      <c r="N6" s="688"/>
      <c r="O6" s="688"/>
      <c r="P6" s="688"/>
      <c r="Q6" s="686"/>
      <c r="R6" s="686"/>
      <c r="S6" s="686"/>
      <c r="T6" s="686"/>
      <c r="U6" s="687"/>
      <c r="V6" s="687"/>
      <c r="W6" s="687"/>
      <c r="X6" s="687"/>
      <c r="Y6" s="684">
        <v>2</v>
      </c>
      <c r="Z6" s="684"/>
      <c r="AA6" s="684"/>
      <c r="AB6" s="684"/>
      <c r="AC6" s="684">
        <v>1</v>
      </c>
      <c r="AD6" s="684"/>
      <c r="AE6" s="684"/>
      <c r="AF6" s="684"/>
      <c r="AG6" s="1"/>
      <c r="AH6" s="1"/>
      <c r="AI6" s="1"/>
      <c r="AJ6" s="3"/>
    </row>
    <row r="7" spans="3:36" ht="51" customHeight="1">
      <c r="C7" s="1"/>
      <c r="D7" s="1"/>
      <c r="E7" s="683"/>
      <c r="F7" s="1"/>
      <c r="G7" s="685" t="s">
        <v>1204</v>
      </c>
      <c r="H7" s="685"/>
      <c r="I7" s="685"/>
      <c r="J7" s="685"/>
      <c r="K7" s="685"/>
      <c r="L7" s="685"/>
      <c r="M7" s="688"/>
      <c r="N7" s="688"/>
      <c r="O7" s="688"/>
      <c r="P7" s="688"/>
      <c r="Q7" s="688"/>
      <c r="R7" s="688"/>
      <c r="S7" s="688"/>
      <c r="T7" s="688"/>
      <c r="U7" s="686"/>
      <c r="V7" s="686"/>
      <c r="W7" s="686"/>
      <c r="X7" s="686"/>
      <c r="Y7" s="687">
        <v>1</v>
      </c>
      <c r="Z7" s="687"/>
      <c r="AA7" s="687"/>
      <c r="AB7" s="687"/>
      <c r="AC7" s="684"/>
      <c r="AD7" s="684"/>
      <c r="AE7" s="684"/>
      <c r="AF7" s="684"/>
      <c r="AG7" s="1"/>
      <c r="AH7" s="1"/>
      <c r="AI7" s="1"/>
      <c r="AJ7" s="3" t="s">
        <v>1149</v>
      </c>
    </row>
    <row r="8" spans="3:36" ht="51" customHeight="1">
      <c r="C8" s="1"/>
      <c r="D8" s="1"/>
      <c r="E8" s="683"/>
      <c r="F8" s="1"/>
      <c r="G8" s="685" t="s">
        <v>1205</v>
      </c>
      <c r="H8" s="685"/>
      <c r="I8" s="685"/>
      <c r="J8" s="685"/>
      <c r="K8" s="685"/>
      <c r="L8" s="685"/>
      <c r="M8" s="688"/>
      <c r="N8" s="688"/>
      <c r="O8" s="688"/>
      <c r="P8" s="688"/>
      <c r="Q8" s="688"/>
      <c r="R8" s="688"/>
      <c r="S8" s="688"/>
      <c r="T8" s="688"/>
      <c r="U8" s="686"/>
      <c r="V8" s="686"/>
      <c r="W8" s="686"/>
      <c r="X8" s="686"/>
      <c r="Y8" s="687">
        <v>5</v>
      </c>
      <c r="Z8" s="687"/>
      <c r="AA8" s="687"/>
      <c r="AB8" s="687"/>
      <c r="AC8" s="684">
        <v>4</v>
      </c>
      <c r="AD8" s="684"/>
      <c r="AE8" s="684"/>
      <c r="AF8" s="684"/>
      <c r="AG8" s="1"/>
      <c r="AH8" s="1"/>
      <c r="AI8" s="1"/>
      <c r="AJ8" s="2"/>
    </row>
    <row r="9" spans="3:36" ht="45" customHeight="1">
      <c r="C9" s="1"/>
      <c r="D9" s="1"/>
      <c r="E9" s="683"/>
      <c r="F9" s="1"/>
      <c r="G9" s="689"/>
      <c r="H9" s="689"/>
      <c r="I9" s="689"/>
      <c r="J9" s="689"/>
      <c r="K9" s="689"/>
      <c r="L9" s="689"/>
      <c r="M9" s="685" t="s">
        <v>1206</v>
      </c>
      <c r="N9" s="685"/>
      <c r="O9" s="685"/>
      <c r="P9" s="685"/>
      <c r="Q9" s="685" t="s">
        <v>1207</v>
      </c>
      <c r="R9" s="685"/>
      <c r="S9" s="685"/>
      <c r="T9" s="685"/>
      <c r="U9" s="685" t="s">
        <v>1208</v>
      </c>
      <c r="V9" s="685"/>
      <c r="W9" s="685"/>
      <c r="X9" s="685"/>
      <c r="Y9" s="685" t="s">
        <v>1209</v>
      </c>
      <c r="Z9" s="685"/>
      <c r="AA9" s="685"/>
      <c r="AB9" s="685"/>
      <c r="AC9" s="685" t="s">
        <v>1210</v>
      </c>
      <c r="AD9" s="685"/>
      <c r="AE9" s="685"/>
      <c r="AF9" s="685"/>
      <c r="AG9" s="1"/>
      <c r="AH9" s="1"/>
      <c r="AI9" s="1"/>
      <c r="AJ9" s="3" t="s">
        <v>1211</v>
      </c>
    </row>
    <row r="10" spans="3:36" ht="11.25" customHeight="1">
      <c r="C10" s="1"/>
      <c r="D10" s="1"/>
      <c r="E10" s="1"/>
      <c r="F10" s="1"/>
      <c r="G10" s="13"/>
      <c r="H10" s="13"/>
      <c r="I10" s="13"/>
      <c r="J10" s="13"/>
      <c r="K10" s="13"/>
      <c r="L10" s="13"/>
      <c r="M10" s="12"/>
      <c r="N10" s="12"/>
      <c r="O10" s="12"/>
      <c r="P10" s="12"/>
      <c r="Q10" s="12"/>
      <c r="R10" s="12"/>
      <c r="S10" s="12"/>
      <c r="T10" s="12"/>
      <c r="U10" s="12"/>
      <c r="V10" s="12"/>
      <c r="W10" s="12"/>
      <c r="X10" s="12"/>
      <c r="Y10" s="12"/>
      <c r="Z10" s="12"/>
      <c r="AA10" s="12"/>
      <c r="AB10" s="12"/>
      <c r="AC10" s="12"/>
      <c r="AD10" s="12"/>
      <c r="AE10" s="12"/>
      <c r="AF10" s="12"/>
      <c r="AG10" s="1"/>
      <c r="AH10" s="1"/>
      <c r="AI10" s="1"/>
      <c r="AJ10" s="3"/>
    </row>
    <row r="11" spans="3:36" ht="20.25" customHeight="1">
      <c r="C11" s="1"/>
      <c r="D11" s="1"/>
      <c r="E11" s="1"/>
      <c r="F11" s="1"/>
      <c r="G11" s="681" t="s">
        <v>154</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1"/>
      <c r="AH11" s="1"/>
      <c r="AI11" s="1"/>
      <c r="AJ11" s="2"/>
    </row>
    <row r="12" spans="3:36">
      <c r="C12" s="1"/>
      <c r="D12" s="1"/>
      <c r="E12" s="1"/>
      <c r="F12" s="1"/>
      <c r="G12" s="1"/>
      <c r="H12" s="1"/>
      <c r="I12" s="4"/>
      <c r="J12" s="5"/>
      <c r="K12" s="6"/>
      <c r="L12" s="7"/>
      <c r="M12" s="7"/>
      <c r="N12" s="6"/>
      <c r="O12" s="7"/>
      <c r="P12" s="7"/>
      <c r="Q12" s="6"/>
      <c r="R12" s="7"/>
      <c r="S12" s="7"/>
      <c r="T12" s="6"/>
      <c r="U12" s="7"/>
      <c r="V12" s="7"/>
      <c r="W12" s="7"/>
      <c r="X12" s="1"/>
      <c r="Y12" s="1"/>
      <c r="Z12" s="1"/>
      <c r="AA12" s="1"/>
      <c r="AB12" s="1"/>
      <c r="AC12" s="1"/>
      <c r="AD12" s="1"/>
      <c r="AE12" s="1"/>
      <c r="AF12" s="1"/>
      <c r="AG12" s="1"/>
      <c r="AH12" s="1"/>
      <c r="AI12" s="1"/>
      <c r="AJ12" s="1"/>
    </row>
    <row r="13" spans="3:36">
      <c r="C13" s="1"/>
      <c r="D13" s="1"/>
      <c r="E13" s="1"/>
      <c r="F13" s="1"/>
      <c r="G13" s="1"/>
      <c r="H13" s="1"/>
      <c r="I13" s="118"/>
      <c r="J13" s="1"/>
      <c r="K13" s="1"/>
      <c r="L13" s="1"/>
      <c r="M13" s="119" t="s">
        <v>1212</v>
      </c>
      <c r="N13" s="120" t="s">
        <v>1213</v>
      </c>
      <c r="O13" s="121"/>
      <c r="P13" s="8"/>
      <c r="Q13" s="122" t="s">
        <v>1214</v>
      </c>
      <c r="R13" s="120" t="s">
        <v>1215</v>
      </c>
      <c r="S13" s="121"/>
      <c r="T13" s="8"/>
      <c r="U13" s="123" t="s">
        <v>1216</v>
      </c>
      <c r="V13" s="120" t="s">
        <v>1217</v>
      </c>
      <c r="W13" s="124"/>
      <c r="X13" s="8"/>
      <c r="Y13" s="125" t="s">
        <v>1218</v>
      </c>
      <c r="Z13" s="120" t="s">
        <v>1219</v>
      </c>
      <c r="AA13" s="8"/>
      <c r="AB13" s="1"/>
      <c r="AC13" s="1"/>
      <c r="AD13" s="1"/>
      <c r="AE13" s="1"/>
      <c r="AF13" s="1"/>
      <c r="AG13" s="1"/>
      <c r="AH13" s="1"/>
      <c r="AI13" s="1"/>
      <c r="AJ13" s="1"/>
    </row>
    <row r="14" spans="3:36">
      <c r="C14" s="1"/>
      <c r="D14" s="1"/>
      <c r="E14" s="1"/>
      <c r="F14" s="1"/>
      <c r="G14" s="1"/>
      <c r="H14" s="1"/>
      <c r="I14" s="126"/>
      <c r="J14" s="6"/>
      <c r="K14" s="5"/>
      <c r="L14" s="127"/>
      <c r="M14" s="126"/>
      <c r="N14" s="6"/>
      <c r="O14" s="126"/>
      <c r="P14" s="126"/>
      <c r="Q14" s="6"/>
      <c r="R14" s="126"/>
      <c r="S14" s="126"/>
      <c r="T14" s="6"/>
      <c r="U14" s="126"/>
      <c r="V14" s="126"/>
      <c r="W14" s="126"/>
      <c r="X14" s="1"/>
      <c r="Y14" s="1"/>
      <c r="Z14" s="1"/>
      <c r="AA14" s="1"/>
      <c r="AB14" s="1"/>
      <c r="AC14" s="1"/>
      <c r="AD14" s="1"/>
      <c r="AE14" s="1"/>
      <c r="AF14" s="1"/>
      <c r="AG14" s="1"/>
      <c r="AH14" s="1"/>
      <c r="AI14" s="1"/>
      <c r="AJ14" s="1"/>
    </row>
    <row r="15" spans="3:36">
      <c r="C15" s="680" t="s">
        <v>1220</v>
      </c>
      <c r="D15" s="680"/>
      <c r="E15" s="680"/>
      <c r="F15" s="680"/>
      <c r="G15" s="680"/>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row>
    <row r="16" spans="3:36">
      <c r="C16" s="1"/>
      <c r="D16" s="1"/>
      <c r="E16" s="1"/>
      <c r="F16" s="1"/>
      <c r="G16" s="1"/>
      <c r="H16" s="1"/>
      <c r="I16" s="1"/>
      <c r="J16" s="1"/>
      <c r="K16" s="9"/>
      <c r="L16" s="9"/>
      <c r="M16" s="1"/>
      <c r="N16" s="1"/>
      <c r="O16" s="1"/>
      <c r="P16" s="1"/>
      <c r="Q16" s="1"/>
      <c r="R16" s="1"/>
      <c r="S16" s="1"/>
      <c r="T16" s="1"/>
      <c r="U16" s="1"/>
      <c r="V16" s="1"/>
      <c r="W16" s="1"/>
      <c r="X16" s="1"/>
      <c r="Y16" s="1"/>
      <c r="Z16" s="1"/>
      <c r="AA16" s="1"/>
      <c r="AB16" s="1"/>
      <c r="AC16" s="1"/>
      <c r="AD16" s="1"/>
      <c r="AE16" s="1"/>
      <c r="AF16" s="1"/>
      <c r="AG16" s="1"/>
      <c r="AH16" s="1"/>
      <c r="AI16" s="1"/>
      <c r="AJ16" s="1"/>
    </row>
    <row r="17" spans="3:36">
      <c r="C17" s="1"/>
      <c r="D17" s="1"/>
      <c r="E17" s="1"/>
      <c r="F17" s="1"/>
      <c r="G17" s="1"/>
      <c r="H17" s="1"/>
      <c r="I17" s="126"/>
      <c r="J17" s="6"/>
      <c r="K17" s="5"/>
      <c r="L17" s="5"/>
      <c r="M17" s="6"/>
      <c r="N17" s="6"/>
      <c r="O17" s="6"/>
      <c r="P17" s="6"/>
      <c r="Q17" s="6"/>
      <c r="R17" s="6"/>
      <c r="S17" s="6"/>
      <c r="T17" s="6"/>
      <c r="U17" s="6"/>
      <c r="V17" s="6"/>
      <c r="W17" s="6"/>
      <c r="X17" s="1"/>
      <c r="Y17" s="1"/>
      <c r="Z17" s="1"/>
      <c r="AA17" s="1"/>
      <c r="AB17" s="1"/>
      <c r="AC17" s="1"/>
      <c r="AD17" s="1"/>
      <c r="AE17" s="1"/>
      <c r="AF17" s="1"/>
      <c r="AG17" s="1"/>
      <c r="AH17" s="1"/>
      <c r="AI17" s="1"/>
      <c r="AJ17" s="1"/>
    </row>
    <row r="18" spans="3:36" ht="32.25" customHeight="1">
      <c r="C18" s="679" t="s">
        <v>1221</v>
      </c>
      <c r="D18" s="679"/>
      <c r="E18" s="679"/>
      <c r="F18" s="679"/>
      <c r="G18" s="679"/>
      <c r="H18" s="679"/>
      <c r="I18" s="679"/>
      <c r="J18" s="679"/>
      <c r="K18" s="679"/>
      <c r="L18" s="679"/>
      <c r="M18" s="679"/>
      <c r="N18" s="679"/>
      <c r="O18" s="679"/>
      <c r="P18" s="679"/>
      <c r="Q18" s="679"/>
      <c r="R18" s="679"/>
      <c r="S18" s="679"/>
      <c r="T18" s="679"/>
      <c r="U18" s="679"/>
      <c r="V18" s="679"/>
      <c r="W18" s="679"/>
      <c r="X18" s="679"/>
      <c r="Y18" s="679"/>
      <c r="Z18" s="679"/>
      <c r="AA18" s="679"/>
      <c r="AB18" s="679"/>
      <c r="AC18" s="679"/>
      <c r="AD18" s="679"/>
      <c r="AE18" s="679"/>
      <c r="AF18" s="679"/>
      <c r="AG18" s="679"/>
      <c r="AH18" s="679"/>
      <c r="AI18" s="679"/>
      <c r="AJ18" s="679"/>
    </row>
    <row r="19" spans="3:36">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3:36">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sheetData>
  <mergeCells count="40">
    <mergeCell ref="C15:AJ15"/>
    <mergeCell ref="C18:AJ18"/>
    <mergeCell ref="G9:L9"/>
    <mergeCell ref="M9:P9"/>
    <mergeCell ref="Q9:T9"/>
    <mergeCell ref="U9:X9"/>
    <mergeCell ref="Y9:AB9"/>
    <mergeCell ref="AC9:AF9"/>
    <mergeCell ref="E4:E9"/>
    <mergeCell ref="AC8:AF8"/>
    <mergeCell ref="Y6:AB6"/>
    <mergeCell ref="AC6:AF6"/>
    <mergeCell ref="G7:L7"/>
    <mergeCell ref="Y7:AB7"/>
    <mergeCell ref="AC7:AF7"/>
    <mergeCell ref="U8:X8"/>
    <mergeCell ref="Y8:AB8"/>
    <mergeCell ref="G11:AF11"/>
    <mergeCell ref="G6:L6"/>
    <mergeCell ref="M6:P6"/>
    <mergeCell ref="Q6:T6"/>
    <mergeCell ref="U6:X6"/>
    <mergeCell ref="G8:L8"/>
    <mergeCell ref="M8:P8"/>
    <mergeCell ref="Q8:T8"/>
    <mergeCell ref="M7:P7"/>
    <mergeCell ref="Q7:T7"/>
    <mergeCell ref="U7:X7"/>
    <mergeCell ref="AC4:AF4"/>
    <mergeCell ref="G5:L5"/>
    <mergeCell ref="M5:P5"/>
    <mergeCell ref="Q5:T5"/>
    <mergeCell ref="U5:X5"/>
    <mergeCell ref="Y5:AB5"/>
    <mergeCell ref="AC5:AF5"/>
    <mergeCell ref="G4:L4"/>
    <mergeCell ref="M4:P4"/>
    <mergeCell ref="Q4:T4"/>
    <mergeCell ref="U4:X4"/>
    <mergeCell ref="Y4:AB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nti_corrupcion" ma:contentTypeID="0x01010065DBA66042D2F54CA6004B821B3BE609030048AC1BDCAA982A4F931871916B101222" ma:contentTypeVersion="30" ma:contentTypeDescription="" ma:contentTypeScope="" ma:versionID="4c689cd1695fd2efd9d757c666e85b4d">
  <xsd:schema xmlns:xsd="http://www.w3.org/2001/XMLSchema" xmlns:xs="http://www.w3.org/2001/XMLSchema" xmlns:p="http://schemas.microsoft.com/office/2006/metadata/properties" xmlns:ns1="81cc8fc0-8d1e-4295-8f37-5d076116407c" targetNamespace="http://schemas.microsoft.com/office/2006/metadata/properties" ma:root="true" ma:fieldsID="00a45a224652d91e9d79c5a51571cc99" ns1:_="">
    <xsd:import namespace="81cc8fc0-8d1e-4295-8f37-5d076116407c"/>
    <xsd:element name="properties">
      <xsd:complexType>
        <xsd:sequence>
          <xsd:element name="documentManagement">
            <xsd:complexType>
              <xsd:all>
                <xsd:element ref="ns1:MJFechaExpedicion" minOccurs="0"/>
                <xsd:element ref="ns1:MJCategoria" minOccurs="0"/>
                <xsd:element ref="ns1:_dlc_DocId" minOccurs="0"/>
                <xsd:element ref="ns1:_dlc_DocIdUrl" minOccurs="0"/>
                <xsd:element ref="ns1: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MJFechaExpedicion" ma:index="0" nillable="true" ma:displayName="Fecha Expedición" ma:default="[today]" ma:format="DateTime" ma:internalName="MJFechaExpedicion">
      <xsd:simpleType>
        <xsd:restriction base="dms:DateTime"/>
      </xsd:simpleType>
    </xsd:element>
    <xsd:element name="MJCategoria" ma:index="10" nillable="true" ma:displayName="Categoria" ma:internalName="MJCategoria">
      <xsd:simpleType>
        <xsd:restriction base="dms:Text">
          <xsd:maxLength value="255"/>
        </xsd:restriction>
      </xsd:simpleType>
    </xsd:element>
    <xsd:element name="_dlc_DocId" ma:index="11" nillable="true" ma:displayName="Valor de Id. de documento" ma:description="El valor del identificador de documento asignado a este elemento." ma:internalName="_dlc_DocId" ma:readOnly="true">
      <xsd:simpleType>
        <xsd:restriction base="dms:Text"/>
      </xsd:simpleType>
    </xsd:element>
    <xsd:element name="_dlc_DocIdUrl" ma:index="12"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81cc8fc0-8d1e-4295-8f37-5d076116407c">2TV4CCKVFCYA-90719747-145</_dlc_DocId>
    <_dlc_DocIdUrl xmlns="81cc8fc0-8d1e-4295-8f37-5d076116407c">
      <Url>https://www.minjusticia.gov.co/servicio-ciudadano/_layouts/15/DocIdRedir.aspx?ID=2TV4CCKVFCYA-90719747-145</Url>
      <Description>2TV4CCKVFCYA-90719747-145</Description>
    </_dlc_DocIdUrl>
    <MJCategoria xmlns="81cc8fc0-8d1e-4295-8f37-5d076116407c">Seguimiento OCI</MJCategoria>
    <MJFechaExpedicion xmlns="81cc8fc0-8d1e-4295-8f37-5d076116407c">2025-01-15T22:14:00+00:00</MJFechaExpedicion>
  </documentManagement>
</p:properties>
</file>

<file path=customXml/itemProps1.xml><?xml version="1.0" encoding="utf-8"?>
<ds:datastoreItem xmlns:ds="http://schemas.openxmlformats.org/officeDocument/2006/customXml" ds:itemID="{482869FB-31B7-4FEC-9920-1ECC3D0AAB65}">
  <ds:schemaRefs>
    <ds:schemaRef ds:uri="http://schemas.microsoft.com/sharepoint/v3/contenttype/forms"/>
  </ds:schemaRefs>
</ds:datastoreItem>
</file>

<file path=customXml/itemProps2.xml><?xml version="1.0" encoding="utf-8"?>
<ds:datastoreItem xmlns:ds="http://schemas.openxmlformats.org/officeDocument/2006/customXml" ds:itemID="{576BF830-B68B-469B-B981-AEB89B999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cc8fc0-8d1e-4295-8f37-5d0761164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7C039C-E796-435E-B1E0-B1A5579BB542}">
  <ds:schemaRefs>
    <ds:schemaRef ds:uri="http://schemas.microsoft.com/sharepoint/events"/>
  </ds:schemaRefs>
</ds:datastoreItem>
</file>

<file path=customXml/itemProps4.xml><?xml version="1.0" encoding="utf-8"?>
<ds:datastoreItem xmlns:ds="http://schemas.openxmlformats.org/officeDocument/2006/customXml" ds:itemID="{181A7456-32F0-4857-AC4B-929E42F9FF2A}">
  <ds:schemaRefs>
    <ds:schemaRef ds:uri="http://purl.org/dc/terms/"/>
    <ds:schemaRef ds:uri="http://schemas.openxmlformats.org/package/2006/metadata/core-propertie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81cc8fc0-8d1e-4295-8f37-5d076116407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44</vt:i4>
      </vt:variant>
    </vt:vector>
  </HeadingPairs>
  <TitlesOfParts>
    <vt:vector size="57" baseType="lpstr">
      <vt:lpstr>Listados</vt:lpstr>
      <vt:lpstr>Matriz Riesgos Gestión</vt:lpstr>
      <vt:lpstr>Matriz Riesgos Corrupción</vt:lpstr>
      <vt:lpstr>Hoja1</vt:lpstr>
      <vt:lpstr>Matriz Riesgos Seg. Información</vt:lpstr>
      <vt:lpstr>Seguridad Información</vt:lpstr>
      <vt:lpstr>Probabilidad Seguridad Informac</vt:lpstr>
      <vt:lpstr>Riesgo Corrupción</vt:lpstr>
      <vt:lpstr>Corrupción</vt:lpstr>
      <vt:lpstr>CONTROLES</vt:lpstr>
      <vt:lpstr>Matriz de calificación</vt:lpstr>
      <vt:lpstr>Hoja</vt:lpstr>
      <vt:lpstr>Matriz de calificación (2)</vt:lpstr>
      <vt:lpstr>_10._CIFRADO.</vt:lpstr>
      <vt:lpstr>_11._SEGURIDAD_FÍSICA_Y_AMBIENTAL.</vt:lpstr>
      <vt:lpstr>_12._SEGURIDAD_EN_LA_OPERATIVA.</vt:lpstr>
      <vt:lpstr>_13._SEGURIDAD_EN_LAS_TELECOMUNICACIONES.</vt:lpstr>
      <vt:lpstr>_14._ADQUISICIÓN__DESARROLLO_Y_MANTENIMIENTO_DE_LOS_SISTEMAS_DE_INFORMACIÓN.</vt:lpstr>
      <vt:lpstr>_15._RELACIONES_CON_SUMINISTRADORES.</vt:lpstr>
      <vt:lpstr>_16._GESTIÓN_DE_INCIDENTES_EN_LA_SEGURIDAD_DE_LA_INFORMACIÓN.</vt:lpstr>
      <vt:lpstr>_17._ASPECTOS_DE_SEGURIDAD_DE_LA_INFORMACION_EN_LA_GESTIÓN_DE_LA_CONTINUIDAD_DEL_NEGOCIO.</vt:lpstr>
      <vt:lpstr>_18._CUMPLIMIENTO.</vt:lpstr>
      <vt:lpstr>_5._POLÍTICAS_DE_SEGURIDAD.</vt:lpstr>
      <vt:lpstr>_6._ASPECTOS_ORGANIZATIVOS_DE_LA_SEGURIDAD_DE_LA_INFORMAC.</vt:lpstr>
      <vt:lpstr>_7._SEGURIDAD_LIGADA_A_LOS_RECURSOS_HUMANOS.</vt:lpstr>
      <vt:lpstr>_8._GESTIÓN_DE_ACTIVOS.</vt:lpstr>
      <vt:lpstr>_9._CONTROL_DE_ACCESOS.</vt:lpstr>
      <vt:lpstr>'Matriz Riesgos Corrupción'!Área_de_impresión</vt:lpstr>
      <vt:lpstr>'Matriz Riesgos Gestión'!Área_de_impresión</vt:lpstr>
      <vt:lpstr>'Matriz Riesgos Seg. Información'!Área_de_impresión</vt:lpstr>
      <vt:lpstr>CD</vt:lpstr>
      <vt:lpstr>CI</vt:lpstr>
      <vt:lpstr>CID</vt:lpstr>
      <vt:lpstr>Confidencialidad</vt:lpstr>
      <vt:lpstr>CONFIDENCIALIDAD.</vt:lpstr>
      <vt:lpstr>CONFIDENCIALIDAD_</vt:lpstr>
      <vt:lpstr>Confidencialidad_Disponibilidad</vt:lpstr>
      <vt:lpstr>CONFIDENCIALIDAD_DISPONIBILIDAD.</vt:lpstr>
      <vt:lpstr>CONFIDENCIALIDAD_DISPONIBILIDAD_</vt:lpstr>
      <vt:lpstr>Confidencialidad_integridad</vt:lpstr>
      <vt:lpstr>CONFIDENCIALIDAD_INTEGRIDAD.</vt:lpstr>
      <vt:lpstr>CONFIDENCIALIDAD_INTEGRIDAD_</vt:lpstr>
      <vt:lpstr>Confidencialidad_Integridad_Disponibilidad</vt:lpstr>
      <vt:lpstr>CONFIDENCIALIDAD_INTEGRIDAD_DISPONIBILIDAD.</vt:lpstr>
      <vt:lpstr>CONFIDENCIALIDAD_INTEGRIDAD_DISPONIBILIDAD_</vt:lpstr>
      <vt:lpstr>Disponibilidad</vt:lpstr>
      <vt:lpstr>DISPONIBILIDAD.</vt:lpstr>
      <vt:lpstr>DISPONIBILIDAD_</vt:lpstr>
      <vt:lpstr>Integridad</vt:lpstr>
      <vt:lpstr>INTEGRIDAD.</vt:lpstr>
      <vt:lpstr>INTEGRIDAD_</vt:lpstr>
      <vt:lpstr>Integridad_Disponibilidad</vt:lpstr>
      <vt:lpstr>INTEGRIDAD_DISPONIBILIDAD.</vt:lpstr>
      <vt:lpstr>INTEGRIDAD_DISPONIBILIDAD_</vt:lpstr>
      <vt:lpstr>'Matriz Riesgos Corrupción'!Títulos_a_imprimir</vt:lpstr>
      <vt:lpstr>'Matriz Riesgos Gestión'!Títulos_a_imprimir</vt:lpstr>
      <vt:lpstr>'Matriz Riesgos Seg. Información'!Títulos_a_imprimir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mapa de riesgos de corrupción 3er cuatrimestre 2024</dc:title>
  <dc:subject/>
  <dc:creator>jose leonardo carrillo cortes</dc:creator>
  <cp:keywords/>
  <dc:description/>
  <cp:lastModifiedBy>LILIAN STEFANNY DIAZ ORTIZ</cp:lastModifiedBy>
  <cp:revision/>
  <dcterms:created xsi:type="dcterms:W3CDTF">2014-12-15T18:53:48Z</dcterms:created>
  <dcterms:modified xsi:type="dcterms:W3CDTF">2025-01-14T15:06:53Z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0x01010065DBA66042D2F54CA6004B821B3BE609030048AC1BDCAA982A4F931871916B101222</vt:lpwstr>
  </property>
  <property fmtid="{D5CDD505-2E9C-101B-9397-08002B2CF9AE}" pid="3" name="_dlc_DocIdItemGuid">
    <vt:lpwstr>8b427757-db22-474d-8679-321c5be5fdc5</vt:lpwstr>
  </property>
</Properties>
</file>